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iagofur/Documents/stonitalia/cocinas-std/"/>
    </mc:Choice>
  </mc:AlternateContent>
  <xr:revisionPtr revIDLastSave="0" documentId="13_ncr:1_{E087708D-81FE-B448-A0C0-82B73C028DBA}" xr6:coauthVersionLast="47" xr6:coauthVersionMax="47" xr10:uidLastSave="{00000000-0000-0000-0000-000000000000}"/>
  <bookViews>
    <workbookView xWindow="0" yWindow="660" windowWidth="30240" windowHeight="17500" activeTab="3" xr2:uid="{00000000-000D-0000-FFFF-FFFF00000000}"/>
  </bookViews>
  <sheets>
    <sheet name="MUEBLES" sheetId="6" r:id="rId1"/>
    <sheet name="📊 Resumen y Cotización" sheetId="1" r:id="rId2"/>
    <sheet name="🧱 Cubiertas" sheetId="9" r:id="rId3"/>
    <sheet name="📋 Explosión y Despiece Bla" sheetId="2" r:id="rId4"/>
    <sheet name="📋 Explosión y Despiece Mad" sheetId="7" r:id="rId5"/>
    <sheet name="⚙️ Configuración Costos" sheetId="4" r:id="rId6"/>
    <sheet name="🔎 Auditoría de Costo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8" l="1"/>
  <c r="D57" i="8"/>
  <c r="C57" i="8"/>
  <c r="E57" i="8" s="1"/>
  <c r="G56" i="8"/>
  <c r="D56" i="8"/>
  <c r="C56" i="8"/>
  <c r="B34" i="9"/>
  <c r="A34" i="9"/>
  <c r="C34" i="9" s="1"/>
  <c r="B33" i="9"/>
  <c r="A33" i="9"/>
  <c r="C33" i="9" s="1"/>
  <c r="Q421" i="7"/>
  <c r="O421" i="7"/>
  <c r="T421" i="7" s="1"/>
  <c r="N421" i="7"/>
  <c r="R421" i="7" s="1"/>
  <c r="M421" i="7"/>
  <c r="Q420" i="7"/>
  <c r="O420" i="7"/>
  <c r="T420" i="7" s="1"/>
  <c r="N420" i="7"/>
  <c r="R420" i="7" s="1"/>
  <c r="M420" i="7"/>
  <c r="Q419" i="7"/>
  <c r="O419" i="7"/>
  <c r="T419" i="7" s="1"/>
  <c r="N419" i="7"/>
  <c r="M419" i="7"/>
  <c r="Q418" i="7"/>
  <c r="O418" i="7"/>
  <c r="T418" i="7" s="1"/>
  <c r="N418" i="7"/>
  <c r="R418" i="7" s="1"/>
  <c r="M418" i="7"/>
  <c r="Q417" i="7"/>
  <c r="O417" i="7"/>
  <c r="T417" i="7" s="1"/>
  <c r="N417" i="7"/>
  <c r="M417" i="7"/>
  <c r="Q416" i="7"/>
  <c r="N416" i="7"/>
  <c r="M416" i="7"/>
  <c r="Q415" i="7"/>
  <c r="N415" i="7"/>
  <c r="M415" i="7"/>
  <c r="Q414" i="7"/>
  <c r="N414" i="7"/>
  <c r="M414" i="7"/>
  <c r="Q413" i="7"/>
  <c r="N413" i="7"/>
  <c r="M413" i="7"/>
  <c r="Q412" i="7"/>
  <c r="N412" i="7"/>
  <c r="M412" i="7"/>
  <c r="Q411" i="7"/>
  <c r="N411" i="7"/>
  <c r="M411" i="7"/>
  <c r="Q410" i="7"/>
  <c r="N410" i="7"/>
  <c r="M410" i="7"/>
  <c r="Q409" i="7"/>
  <c r="N409" i="7"/>
  <c r="M409" i="7"/>
  <c r="Q408" i="7"/>
  <c r="R408" i="7" s="1"/>
  <c r="N408" i="7"/>
  <c r="N422" i="7" s="1"/>
  <c r="M408" i="7"/>
  <c r="M422" i="7" s="1"/>
  <c r="Q405" i="7"/>
  <c r="O405" i="7"/>
  <c r="T405" i="7" s="1"/>
  <c r="N405" i="7"/>
  <c r="M405" i="7"/>
  <c r="Q404" i="7"/>
  <c r="O404" i="7"/>
  <c r="T404" i="7" s="1"/>
  <c r="N404" i="7"/>
  <c r="R404" i="7" s="1"/>
  <c r="M404" i="7"/>
  <c r="Q403" i="7"/>
  <c r="R403" i="7" s="1"/>
  <c r="N403" i="7"/>
  <c r="M403" i="7"/>
  <c r="Q402" i="7"/>
  <c r="N402" i="7"/>
  <c r="M402" i="7"/>
  <c r="Q401" i="7"/>
  <c r="N401" i="7"/>
  <c r="R401" i="7" s="1"/>
  <c r="M401" i="7"/>
  <c r="Q400" i="7"/>
  <c r="N400" i="7"/>
  <c r="N406" i="7" s="1"/>
  <c r="M400" i="7"/>
  <c r="Q399" i="7"/>
  <c r="N399" i="7"/>
  <c r="R399" i="7" s="1"/>
  <c r="M399" i="7"/>
  <c r="M406" i="7" s="1"/>
  <c r="Q393" i="2"/>
  <c r="O393" i="2"/>
  <c r="T393" i="2" s="1"/>
  <c r="N393" i="2"/>
  <c r="M393" i="2"/>
  <c r="Q392" i="2"/>
  <c r="O392" i="2"/>
  <c r="T392" i="2" s="1"/>
  <c r="N392" i="2"/>
  <c r="M392" i="2"/>
  <c r="Q391" i="2"/>
  <c r="O391" i="2"/>
  <c r="T391" i="2" s="1"/>
  <c r="N391" i="2"/>
  <c r="M391" i="2"/>
  <c r="Q390" i="2"/>
  <c r="O390" i="2"/>
  <c r="T390" i="2" s="1"/>
  <c r="N390" i="2"/>
  <c r="M390" i="2"/>
  <c r="Q389" i="2"/>
  <c r="N389" i="2"/>
  <c r="M389" i="2"/>
  <c r="Q388" i="2"/>
  <c r="N388" i="2"/>
  <c r="M388" i="2"/>
  <c r="Q387" i="2"/>
  <c r="N387" i="2"/>
  <c r="R387" i="2" s="1"/>
  <c r="M387" i="2"/>
  <c r="Q386" i="2"/>
  <c r="N386" i="2"/>
  <c r="M386" i="2"/>
  <c r="Q385" i="2"/>
  <c r="N385" i="2"/>
  <c r="M385" i="2"/>
  <c r="Q384" i="2"/>
  <c r="N384" i="2"/>
  <c r="M384" i="2"/>
  <c r="Q383" i="2"/>
  <c r="N383" i="2"/>
  <c r="R383" i="2" s="1"/>
  <c r="M383" i="2"/>
  <c r="Q382" i="2"/>
  <c r="N382" i="2"/>
  <c r="M382" i="2"/>
  <c r="Q381" i="2"/>
  <c r="N381" i="2"/>
  <c r="M381" i="2"/>
  <c r="Q378" i="2"/>
  <c r="O378" i="2"/>
  <c r="T378" i="2" s="1"/>
  <c r="N378" i="2"/>
  <c r="R378" i="2" s="1"/>
  <c r="M378" i="2"/>
  <c r="Q377" i="2"/>
  <c r="N377" i="2"/>
  <c r="M377" i="2"/>
  <c r="Q376" i="2"/>
  <c r="N376" i="2"/>
  <c r="M376" i="2"/>
  <c r="Q375" i="2"/>
  <c r="N375" i="2"/>
  <c r="M375" i="2"/>
  <c r="Q374" i="2"/>
  <c r="N374" i="2"/>
  <c r="M374" i="2"/>
  <c r="Q373" i="2"/>
  <c r="N373" i="2"/>
  <c r="M373" i="2"/>
  <c r="E53" i="9"/>
  <c r="F53" i="9" s="1"/>
  <c r="E47" i="9"/>
  <c r="F47" i="9" s="1"/>
  <c r="E46" i="9"/>
  <c r="F46" i="9" s="1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D76" i="8"/>
  <c r="C76" i="8"/>
  <c r="D70" i="8"/>
  <c r="C70" i="8"/>
  <c r="D69" i="8"/>
  <c r="C69" i="8"/>
  <c r="Q613" i="2"/>
  <c r="O613" i="2"/>
  <c r="T613" i="2" s="1"/>
  <c r="N613" i="2"/>
  <c r="M613" i="2"/>
  <c r="A613" i="2" a="1"/>
  <c r="A613" i="2" s="1"/>
  <c r="Q612" i="2"/>
  <c r="O612" i="2"/>
  <c r="T612" i="2" s="1"/>
  <c r="V612" i="2" s="1"/>
  <c r="N612" i="2"/>
  <c r="M612" i="2"/>
  <c r="A612" i="2" a="1"/>
  <c r="A612" i="2" s="1"/>
  <c r="Q611" i="2"/>
  <c r="O611" i="2"/>
  <c r="T611" i="2" s="1"/>
  <c r="N611" i="2"/>
  <c r="M611" i="2"/>
  <c r="Q610" i="2"/>
  <c r="O610" i="2"/>
  <c r="P610" i="2" s="1"/>
  <c r="N610" i="2"/>
  <c r="M610" i="2"/>
  <c r="Q609" i="2"/>
  <c r="O609" i="2"/>
  <c r="T609" i="2" s="1"/>
  <c r="N609" i="2"/>
  <c r="M609" i="2"/>
  <c r="Q608" i="2"/>
  <c r="O608" i="2"/>
  <c r="T608" i="2" s="1"/>
  <c r="N608" i="2"/>
  <c r="M608" i="2"/>
  <c r="Q607" i="2"/>
  <c r="O607" i="2"/>
  <c r="P607" i="2" s="1"/>
  <c r="N607" i="2"/>
  <c r="M607" i="2"/>
  <c r="Q606" i="2"/>
  <c r="N606" i="2"/>
  <c r="M606" i="2"/>
  <c r="Q605" i="2"/>
  <c r="N605" i="2"/>
  <c r="M605" i="2"/>
  <c r="Q604" i="2"/>
  <c r="N604" i="2"/>
  <c r="M604" i="2"/>
  <c r="Q603" i="2"/>
  <c r="N603" i="2"/>
  <c r="M603" i="2"/>
  <c r="Q602" i="2"/>
  <c r="N602" i="2"/>
  <c r="M602" i="2"/>
  <c r="Q601" i="2"/>
  <c r="N601" i="2"/>
  <c r="M601" i="2"/>
  <c r="Q600" i="2"/>
  <c r="N600" i="2"/>
  <c r="M600" i="2"/>
  <c r="Q599" i="2"/>
  <c r="N599" i="2"/>
  <c r="M599" i="2"/>
  <c r="Q598" i="2"/>
  <c r="N598" i="2"/>
  <c r="M598" i="2"/>
  <c r="Q597" i="2"/>
  <c r="N597" i="2"/>
  <c r="M597" i="2"/>
  <c r="Q596" i="2"/>
  <c r="N596" i="2"/>
  <c r="M596" i="2"/>
  <c r="Q595" i="2"/>
  <c r="N595" i="2"/>
  <c r="M595" i="2"/>
  <c r="Q594" i="2"/>
  <c r="N594" i="2"/>
  <c r="M594" i="2"/>
  <c r="Q593" i="2"/>
  <c r="N593" i="2"/>
  <c r="M593" i="2"/>
  <c r="Q592" i="2"/>
  <c r="N592" i="2"/>
  <c r="M592" i="2"/>
  <c r="Q591" i="2"/>
  <c r="N591" i="2"/>
  <c r="M591" i="2"/>
  <c r="Q590" i="2"/>
  <c r="N590" i="2"/>
  <c r="M590" i="2"/>
  <c r="Q589" i="2"/>
  <c r="N589" i="2"/>
  <c r="M589" i="2"/>
  <c r="Q588" i="2"/>
  <c r="N588" i="2"/>
  <c r="M588" i="2"/>
  <c r="Q587" i="2"/>
  <c r="N587" i="2"/>
  <c r="M587" i="2"/>
  <c r="Q586" i="2"/>
  <c r="N586" i="2"/>
  <c r="M586" i="2"/>
  <c r="Q583" i="2"/>
  <c r="O583" i="2"/>
  <c r="T583" i="2" s="1"/>
  <c r="N583" i="2"/>
  <c r="M583" i="2"/>
  <c r="Q582" i="2"/>
  <c r="O582" i="2"/>
  <c r="T582" i="2" s="1"/>
  <c r="N582" i="2"/>
  <c r="M582" i="2"/>
  <c r="Q581" i="2"/>
  <c r="O581" i="2"/>
  <c r="P581" i="2" s="1"/>
  <c r="N581" i="2"/>
  <c r="M581" i="2"/>
  <c r="Q580" i="2"/>
  <c r="O580" i="2"/>
  <c r="T580" i="2" s="1"/>
  <c r="N580" i="2"/>
  <c r="M580" i="2"/>
  <c r="Q579" i="2"/>
  <c r="O579" i="2"/>
  <c r="T579" i="2" s="1"/>
  <c r="N579" i="2"/>
  <c r="M579" i="2"/>
  <c r="Q578" i="2"/>
  <c r="O578" i="2"/>
  <c r="P578" i="2" s="1"/>
  <c r="N578" i="2"/>
  <c r="M578" i="2"/>
  <c r="Q577" i="2"/>
  <c r="N577" i="2"/>
  <c r="M577" i="2"/>
  <c r="Q576" i="2"/>
  <c r="N576" i="2"/>
  <c r="M576" i="2"/>
  <c r="Q575" i="2"/>
  <c r="N575" i="2"/>
  <c r="M575" i="2"/>
  <c r="Q574" i="2"/>
  <c r="N574" i="2"/>
  <c r="M574" i="2"/>
  <c r="Q573" i="2"/>
  <c r="N573" i="2"/>
  <c r="M573" i="2"/>
  <c r="Q572" i="2"/>
  <c r="N572" i="2"/>
  <c r="M572" i="2"/>
  <c r="Q571" i="2"/>
  <c r="N571" i="2"/>
  <c r="M571" i="2"/>
  <c r="Q570" i="2"/>
  <c r="N570" i="2"/>
  <c r="M570" i="2"/>
  <c r="Q569" i="2"/>
  <c r="N569" i="2"/>
  <c r="M569" i="2"/>
  <c r="Q568" i="2"/>
  <c r="N568" i="2"/>
  <c r="M568" i="2"/>
  <c r="Q567" i="2"/>
  <c r="N567" i="2"/>
  <c r="M567" i="2"/>
  <c r="Q566" i="2"/>
  <c r="N566" i="2"/>
  <c r="M566" i="2"/>
  <c r="Q565" i="2"/>
  <c r="N565" i="2"/>
  <c r="M565" i="2"/>
  <c r="Q564" i="2"/>
  <c r="N564" i="2"/>
  <c r="M564" i="2"/>
  <c r="Q563" i="2"/>
  <c r="N563" i="2"/>
  <c r="M563" i="2"/>
  <c r="Q562" i="2"/>
  <c r="N562" i="2"/>
  <c r="M562" i="2"/>
  <c r="Q561" i="2"/>
  <c r="N561" i="2"/>
  <c r="M561" i="2"/>
  <c r="Q560" i="2"/>
  <c r="N560" i="2"/>
  <c r="M560" i="2"/>
  <c r="Q559" i="2"/>
  <c r="N559" i="2"/>
  <c r="M559" i="2"/>
  <c r="Q558" i="2"/>
  <c r="N558" i="2"/>
  <c r="M558" i="2"/>
  <c r="Q623" i="7"/>
  <c r="O623" i="7"/>
  <c r="T623" i="7" s="1"/>
  <c r="N623" i="7"/>
  <c r="M623" i="7"/>
  <c r="A623" i="7" a="1"/>
  <c r="A623" i="7" s="1"/>
  <c r="Q622" i="7"/>
  <c r="O622" i="7"/>
  <c r="T622" i="7" s="1"/>
  <c r="V622" i="7" s="1"/>
  <c r="N622" i="7"/>
  <c r="M622" i="7"/>
  <c r="A622" i="7" a="1"/>
  <c r="A622" i="7" s="1"/>
  <c r="Q621" i="7"/>
  <c r="O621" i="7"/>
  <c r="P621" i="7" s="1"/>
  <c r="N621" i="7"/>
  <c r="M621" i="7"/>
  <c r="Q620" i="7"/>
  <c r="O620" i="7"/>
  <c r="T620" i="7" s="1"/>
  <c r="N620" i="7"/>
  <c r="M620" i="7"/>
  <c r="Q619" i="7"/>
  <c r="O619" i="7"/>
  <c r="T619" i="7" s="1"/>
  <c r="N619" i="7"/>
  <c r="M619" i="7"/>
  <c r="Q618" i="7"/>
  <c r="O618" i="7"/>
  <c r="P618" i="7" s="1"/>
  <c r="N618" i="7"/>
  <c r="M618" i="7"/>
  <c r="Q617" i="7"/>
  <c r="O617" i="7"/>
  <c r="T617" i="7" s="1"/>
  <c r="N617" i="7"/>
  <c r="M617" i="7"/>
  <c r="Q616" i="7"/>
  <c r="N616" i="7"/>
  <c r="M616" i="7"/>
  <c r="Q615" i="7"/>
  <c r="N615" i="7"/>
  <c r="M615" i="7"/>
  <c r="Q614" i="7"/>
  <c r="N614" i="7"/>
  <c r="M614" i="7"/>
  <c r="Q613" i="7"/>
  <c r="N613" i="7"/>
  <c r="M613" i="7"/>
  <c r="Q612" i="7"/>
  <c r="N612" i="7"/>
  <c r="M612" i="7"/>
  <c r="Q611" i="7"/>
  <c r="N611" i="7"/>
  <c r="M611" i="7"/>
  <c r="Q610" i="7"/>
  <c r="N610" i="7"/>
  <c r="M610" i="7"/>
  <c r="Q609" i="7"/>
  <c r="N609" i="7"/>
  <c r="M609" i="7"/>
  <c r="Q608" i="7"/>
  <c r="N608" i="7"/>
  <c r="M608" i="7"/>
  <c r="Q607" i="7"/>
  <c r="N607" i="7"/>
  <c r="M607" i="7"/>
  <c r="Q606" i="7"/>
  <c r="N606" i="7"/>
  <c r="M606" i="7"/>
  <c r="Q605" i="7"/>
  <c r="N605" i="7"/>
  <c r="M605" i="7"/>
  <c r="Q604" i="7"/>
  <c r="N604" i="7"/>
  <c r="M604" i="7"/>
  <c r="Q603" i="7"/>
  <c r="N603" i="7"/>
  <c r="M603" i="7"/>
  <c r="Q602" i="7"/>
  <c r="N602" i="7"/>
  <c r="M602" i="7"/>
  <c r="Q601" i="7"/>
  <c r="N601" i="7"/>
  <c r="M601" i="7"/>
  <c r="Q600" i="7"/>
  <c r="N600" i="7"/>
  <c r="M600" i="7"/>
  <c r="Q599" i="7"/>
  <c r="N599" i="7"/>
  <c r="M599" i="7"/>
  <c r="Q598" i="7"/>
  <c r="N598" i="7"/>
  <c r="M598" i="7"/>
  <c r="Q597" i="7"/>
  <c r="N597" i="7"/>
  <c r="M597" i="7"/>
  <c r="A653" i="7" a="1"/>
  <c r="A653" i="7" s="1"/>
  <c r="A652" i="7" a="1"/>
  <c r="A652" i="7" s="1"/>
  <c r="Q647" i="7"/>
  <c r="O647" i="7"/>
  <c r="T647" i="7" s="1"/>
  <c r="N647" i="7"/>
  <c r="M647" i="7"/>
  <c r="Q646" i="7"/>
  <c r="N646" i="7"/>
  <c r="M646" i="7"/>
  <c r="Q645" i="7"/>
  <c r="N645" i="7"/>
  <c r="M645" i="7"/>
  <c r="Q644" i="7"/>
  <c r="N644" i="7"/>
  <c r="M644" i="7"/>
  <c r="Q641" i="7"/>
  <c r="N641" i="7"/>
  <c r="M641" i="7"/>
  <c r="Q640" i="7"/>
  <c r="N640" i="7"/>
  <c r="M640" i="7"/>
  <c r="Q639" i="7"/>
  <c r="N639" i="7"/>
  <c r="M639" i="7"/>
  <c r="Q638" i="7"/>
  <c r="N638" i="7"/>
  <c r="M638" i="7"/>
  <c r="Q637" i="7"/>
  <c r="N637" i="7"/>
  <c r="M637" i="7"/>
  <c r="Q653" i="7"/>
  <c r="O653" i="7"/>
  <c r="T653" i="7" s="1"/>
  <c r="N653" i="7"/>
  <c r="M653" i="7"/>
  <c r="Q652" i="7"/>
  <c r="O652" i="7"/>
  <c r="T652" i="7" s="1"/>
  <c r="V652" i="7" s="1"/>
  <c r="N652" i="7"/>
  <c r="M652" i="7"/>
  <c r="Q651" i="7"/>
  <c r="O651" i="7"/>
  <c r="T651" i="7" s="1"/>
  <c r="V651" i="7" s="1"/>
  <c r="N651" i="7"/>
  <c r="M651" i="7"/>
  <c r="Q650" i="7"/>
  <c r="O650" i="7"/>
  <c r="T650" i="7" s="1"/>
  <c r="N650" i="7"/>
  <c r="M650" i="7"/>
  <c r="Q649" i="7"/>
  <c r="O649" i="7"/>
  <c r="P649" i="7" s="1"/>
  <c r="N649" i="7"/>
  <c r="M649" i="7"/>
  <c r="Q648" i="7"/>
  <c r="O648" i="7"/>
  <c r="P648" i="7" s="1"/>
  <c r="N648" i="7"/>
  <c r="M648" i="7"/>
  <c r="Q643" i="7"/>
  <c r="N643" i="7"/>
  <c r="M643" i="7"/>
  <c r="Q642" i="7"/>
  <c r="N642" i="7"/>
  <c r="M642" i="7"/>
  <c r="Q636" i="7"/>
  <c r="N636" i="7"/>
  <c r="M636" i="7"/>
  <c r="Q635" i="7"/>
  <c r="N635" i="7"/>
  <c r="M635" i="7"/>
  <c r="Q634" i="7"/>
  <c r="N634" i="7"/>
  <c r="M634" i="7"/>
  <c r="Q633" i="7"/>
  <c r="N633" i="7"/>
  <c r="M633" i="7"/>
  <c r="Q632" i="7"/>
  <c r="N632" i="7"/>
  <c r="M632" i="7"/>
  <c r="Q631" i="7"/>
  <c r="N631" i="7"/>
  <c r="M631" i="7"/>
  <c r="Q630" i="7"/>
  <c r="N630" i="7"/>
  <c r="M630" i="7"/>
  <c r="Q629" i="7"/>
  <c r="N629" i="7"/>
  <c r="M629" i="7"/>
  <c r="Q628" i="7"/>
  <c r="N628" i="7"/>
  <c r="M628" i="7"/>
  <c r="Q627" i="7"/>
  <c r="N627" i="7"/>
  <c r="M627" i="7"/>
  <c r="Q626" i="7"/>
  <c r="N626" i="7"/>
  <c r="M626" i="7"/>
  <c r="D43" i="8"/>
  <c r="C43" i="8"/>
  <c r="D38" i="8"/>
  <c r="C38" i="8"/>
  <c r="B20" i="9"/>
  <c r="A20" i="9"/>
  <c r="C20" i="9" s="1"/>
  <c r="B15" i="9"/>
  <c r="A15" i="9"/>
  <c r="C15" i="9" s="1"/>
  <c r="Q193" i="7"/>
  <c r="O193" i="7"/>
  <c r="T193" i="7" s="1"/>
  <c r="V193" i="7" s="1"/>
  <c r="N193" i="7"/>
  <c r="M193" i="7"/>
  <c r="A193" i="7"/>
  <c r="Q192" i="7"/>
  <c r="O192" i="7"/>
  <c r="T192" i="7" s="1"/>
  <c r="N192" i="7"/>
  <c r="M192" i="7"/>
  <c r="A192" i="7"/>
  <c r="Q191" i="7"/>
  <c r="N191" i="7"/>
  <c r="M191" i="7"/>
  <c r="Q190" i="7"/>
  <c r="N190" i="7"/>
  <c r="M190" i="7"/>
  <c r="Q189" i="7"/>
  <c r="N189" i="7"/>
  <c r="M189" i="7"/>
  <c r="Q188" i="7"/>
  <c r="N188" i="7"/>
  <c r="M188" i="7"/>
  <c r="Q187" i="7"/>
  <c r="N187" i="7"/>
  <c r="M187" i="7"/>
  <c r="Q179" i="2"/>
  <c r="O179" i="2"/>
  <c r="T179" i="2" s="1"/>
  <c r="N179" i="2"/>
  <c r="M179" i="2"/>
  <c r="Q178" i="2"/>
  <c r="N178" i="2"/>
  <c r="M178" i="2"/>
  <c r="Q177" i="2"/>
  <c r="N177" i="2"/>
  <c r="M177" i="2"/>
  <c r="Q176" i="2"/>
  <c r="N176" i="2"/>
  <c r="M176" i="2"/>
  <c r="Q175" i="2"/>
  <c r="N175" i="2"/>
  <c r="M175" i="2"/>
  <c r="Q174" i="2"/>
  <c r="N174" i="2"/>
  <c r="M174" i="2"/>
  <c r="Q134" i="7"/>
  <c r="O134" i="7"/>
  <c r="T134" i="7" s="1"/>
  <c r="N134" i="7"/>
  <c r="M134" i="7"/>
  <c r="A134" i="7"/>
  <c r="Q133" i="7"/>
  <c r="O133" i="7"/>
  <c r="T133" i="7" s="1"/>
  <c r="V133" i="7" s="1"/>
  <c r="N133" i="7"/>
  <c r="M133" i="7"/>
  <c r="A133" i="7"/>
  <c r="Q132" i="7"/>
  <c r="O132" i="7"/>
  <c r="T132" i="7" s="1"/>
  <c r="N132" i="7"/>
  <c r="M132" i="7"/>
  <c r="Q131" i="7"/>
  <c r="O131" i="7"/>
  <c r="T131" i="7" s="1"/>
  <c r="N131" i="7"/>
  <c r="M131" i="7"/>
  <c r="Q130" i="7"/>
  <c r="O130" i="7"/>
  <c r="P130" i="7" s="1"/>
  <c r="N130" i="7"/>
  <c r="M130" i="7"/>
  <c r="Q129" i="7"/>
  <c r="N129" i="7"/>
  <c r="M129" i="7"/>
  <c r="Q128" i="7"/>
  <c r="N128" i="7"/>
  <c r="M128" i="7"/>
  <c r="Q127" i="7"/>
  <c r="N127" i="7"/>
  <c r="M127" i="7"/>
  <c r="Q126" i="7"/>
  <c r="N126" i="7"/>
  <c r="M126" i="7"/>
  <c r="Q125" i="7"/>
  <c r="N125" i="7"/>
  <c r="M125" i="7"/>
  <c r="Q124" i="7"/>
  <c r="N124" i="7"/>
  <c r="M124" i="7"/>
  <c r="Q125" i="2"/>
  <c r="O125" i="2"/>
  <c r="T125" i="2" s="1"/>
  <c r="N125" i="2"/>
  <c r="M125" i="2"/>
  <c r="Q124" i="2"/>
  <c r="O124" i="2"/>
  <c r="P124" i="2" s="1"/>
  <c r="N124" i="2"/>
  <c r="M124" i="2"/>
  <c r="Q123" i="2"/>
  <c r="O123" i="2"/>
  <c r="T123" i="2" s="1"/>
  <c r="N123" i="2"/>
  <c r="M123" i="2"/>
  <c r="Q122" i="2"/>
  <c r="O122" i="2"/>
  <c r="T122" i="2" s="1"/>
  <c r="N122" i="2"/>
  <c r="M122" i="2"/>
  <c r="Q121" i="2"/>
  <c r="N121" i="2"/>
  <c r="M121" i="2"/>
  <c r="Q120" i="2"/>
  <c r="N120" i="2"/>
  <c r="M120" i="2"/>
  <c r="Q119" i="2"/>
  <c r="N119" i="2"/>
  <c r="M119" i="2"/>
  <c r="Q118" i="2"/>
  <c r="N118" i="2"/>
  <c r="M118" i="2"/>
  <c r="Q117" i="2"/>
  <c r="N117" i="2"/>
  <c r="M117" i="2"/>
  <c r="Q116" i="2"/>
  <c r="N116" i="2"/>
  <c r="M116" i="2"/>
  <c r="L8" i="4"/>
  <c r="N8" i="4" s="1"/>
  <c r="L7" i="4"/>
  <c r="N7" i="4" s="1"/>
  <c r="B3" i="9"/>
  <c r="M19" i="1"/>
  <c r="L20" i="1"/>
  <c r="M20" i="1" s="1"/>
  <c r="A7" i="9"/>
  <c r="C7" i="9" s="1"/>
  <c r="B7" i="9"/>
  <c r="A8" i="9"/>
  <c r="C8" i="9" s="1"/>
  <c r="B8" i="9"/>
  <c r="A9" i="9"/>
  <c r="C9" i="9" s="1"/>
  <c r="B9" i="9"/>
  <c r="A10" i="9"/>
  <c r="C10" i="9" s="1"/>
  <c r="B10" i="9"/>
  <c r="A11" i="9"/>
  <c r="C11" i="9" s="1"/>
  <c r="B11" i="9"/>
  <c r="A12" i="9"/>
  <c r="C12" i="9" s="1"/>
  <c r="B12" i="9"/>
  <c r="A13" i="9"/>
  <c r="C13" i="9" s="1"/>
  <c r="B13" i="9"/>
  <c r="A14" i="9"/>
  <c r="C14" i="9" s="1"/>
  <c r="B14" i="9"/>
  <c r="A16" i="9"/>
  <c r="C16" i="9" s="1"/>
  <c r="B16" i="9"/>
  <c r="A17" i="9"/>
  <c r="C17" i="9" s="1"/>
  <c r="B17" i="9"/>
  <c r="A18" i="9"/>
  <c r="C18" i="9" s="1"/>
  <c r="B18" i="9"/>
  <c r="A19" i="9"/>
  <c r="C19" i="9" s="1"/>
  <c r="B19" i="9"/>
  <c r="A21" i="9"/>
  <c r="C21" i="9" s="1"/>
  <c r="B21" i="9"/>
  <c r="A22" i="9"/>
  <c r="C22" i="9" s="1"/>
  <c r="B22" i="9"/>
  <c r="A23" i="9"/>
  <c r="C23" i="9" s="1"/>
  <c r="B23" i="9"/>
  <c r="A24" i="9"/>
  <c r="C24" i="9" s="1"/>
  <c r="B24" i="9"/>
  <c r="A25" i="9"/>
  <c r="C25" i="9" s="1"/>
  <c r="B25" i="9"/>
  <c r="A26" i="9"/>
  <c r="C26" i="9" s="1"/>
  <c r="B26" i="9"/>
  <c r="A27" i="9"/>
  <c r="C27" i="9" s="1"/>
  <c r="B27" i="9"/>
  <c r="A28" i="9"/>
  <c r="C28" i="9" s="1"/>
  <c r="B28" i="9"/>
  <c r="A29" i="9"/>
  <c r="C29" i="9" s="1"/>
  <c r="B29" i="9"/>
  <c r="A30" i="9"/>
  <c r="C30" i="9" s="1"/>
  <c r="B30" i="9"/>
  <c r="A31" i="9"/>
  <c r="C31" i="9" s="1"/>
  <c r="B31" i="9"/>
  <c r="A32" i="9"/>
  <c r="C32" i="9" s="1"/>
  <c r="B32" i="9"/>
  <c r="A35" i="9"/>
  <c r="C35" i="9" s="1"/>
  <c r="B35" i="9"/>
  <c r="A36" i="9"/>
  <c r="C36" i="9" s="1"/>
  <c r="B36" i="9"/>
  <c r="A37" i="9"/>
  <c r="C37" i="9" s="1"/>
  <c r="B37" i="9"/>
  <c r="A38" i="9"/>
  <c r="C38" i="9" s="1"/>
  <c r="B38" i="9"/>
  <c r="A39" i="9"/>
  <c r="C39" i="9" s="1"/>
  <c r="B39" i="9"/>
  <c r="A40" i="9"/>
  <c r="C40" i="9" s="1"/>
  <c r="B40" i="9"/>
  <c r="A41" i="9"/>
  <c r="C41" i="9" s="1"/>
  <c r="B41" i="9"/>
  <c r="A42" i="9"/>
  <c r="C42" i="9" s="1"/>
  <c r="B42" i="9"/>
  <c r="A43" i="9"/>
  <c r="C43" i="9" s="1"/>
  <c r="B43" i="9"/>
  <c r="A44" i="9"/>
  <c r="C44" i="9" s="1"/>
  <c r="B44" i="9"/>
  <c r="A45" i="9"/>
  <c r="C45" i="9" s="1"/>
  <c r="B45" i="9"/>
  <c r="A48" i="9"/>
  <c r="C48" i="9" s="1"/>
  <c r="B48" i="9"/>
  <c r="A49" i="9"/>
  <c r="C49" i="9" s="1"/>
  <c r="B49" i="9"/>
  <c r="A50" i="9"/>
  <c r="C50" i="9" s="1"/>
  <c r="B50" i="9"/>
  <c r="A51" i="9"/>
  <c r="C51" i="9" s="1"/>
  <c r="B51" i="9"/>
  <c r="A52" i="9"/>
  <c r="C52" i="9" s="1"/>
  <c r="B52" i="9"/>
  <c r="A54" i="9"/>
  <c r="C54" i="9" s="1"/>
  <c r="B54" i="9"/>
  <c r="D77" i="8"/>
  <c r="C77" i="8"/>
  <c r="D75" i="8"/>
  <c r="C75" i="8"/>
  <c r="D74" i="8"/>
  <c r="C74" i="8"/>
  <c r="D73" i="8"/>
  <c r="C73" i="8"/>
  <c r="D72" i="8"/>
  <c r="C72" i="8"/>
  <c r="D71" i="8"/>
  <c r="C71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2" i="8"/>
  <c r="C42" i="8"/>
  <c r="D41" i="8"/>
  <c r="C41" i="8"/>
  <c r="D40" i="8"/>
  <c r="C40" i="8"/>
  <c r="D39" i="8"/>
  <c r="C39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L6" i="4"/>
  <c r="N6" i="4" s="1"/>
  <c r="B6" i="4" s="1"/>
  <c r="O567" i="2" s="1"/>
  <c r="L5" i="4"/>
  <c r="N5" i="4" s="1"/>
  <c r="B5" i="4" s="1"/>
  <c r="O363" i="2" s="1"/>
  <c r="Q712" i="7"/>
  <c r="N712" i="7"/>
  <c r="N713" i="7" s="1"/>
  <c r="M712" i="7"/>
  <c r="M713" i="7" s="1"/>
  <c r="Q709" i="7"/>
  <c r="N709" i="7"/>
  <c r="N710" i="7" s="1"/>
  <c r="M709" i="7"/>
  <c r="M710" i="7" s="1"/>
  <c r="Q706" i="7"/>
  <c r="N706" i="7"/>
  <c r="N707" i="7" s="1"/>
  <c r="M706" i="7"/>
  <c r="M707" i="7" s="1"/>
  <c r="Q703" i="7"/>
  <c r="N703" i="7"/>
  <c r="N704" i="7" s="1"/>
  <c r="M703" i="7"/>
  <c r="M704" i="7" s="1"/>
  <c r="Q700" i="7"/>
  <c r="N700" i="7"/>
  <c r="N701" i="7" s="1"/>
  <c r="M700" i="7"/>
  <c r="Q697" i="7"/>
  <c r="N697" i="7"/>
  <c r="N698" i="7" s="1"/>
  <c r="M697" i="7"/>
  <c r="M698" i="7" s="1"/>
  <c r="Q694" i="7"/>
  <c r="O694" i="7"/>
  <c r="T694" i="7" s="1"/>
  <c r="U694" i="7" s="1"/>
  <c r="N694" i="7"/>
  <c r="M694" i="7"/>
  <c r="A694" i="7"/>
  <c r="Q693" i="7"/>
  <c r="O693" i="7"/>
  <c r="T693" i="7" s="1"/>
  <c r="N693" i="7"/>
  <c r="M693" i="7"/>
  <c r="A693" i="7"/>
  <c r="Q692" i="7"/>
  <c r="O692" i="7"/>
  <c r="T692" i="7" s="1"/>
  <c r="N692" i="7"/>
  <c r="M692" i="7"/>
  <c r="Q691" i="7"/>
  <c r="O691" i="7"/>
  <c r="P691" i="7" s="1"/>
  <c r="N691" i="7"/>
  <c r="M691" i="7"/>
  <c r="Q690" i="7"/>
  <c r="N690" i="7"/>
  <c r="M690" i="7"/>
  <c r="Q689" i="7"/>
  <c r="N689" i="7"/>
  <c r="M689" i="7"/>
  <c r="Q688" i="7"/>
  <c r="N688" i="7"/>
  <c r="M688" i="7"/>
  <c r="Q687" i="7"/>
  <c r="N687" i="7"/>
  <c r="M687" i="7"/>
  <c r="Q686" i="7"/>
  <c r="N686" i="7"/>
  <c r="M686" i="7"/>
  <c r="Q685" i="7"/>
  <c r="N685" i="7"/>
  <c r="M685" i="7"/>
  <c r="Q594" i="7"/>
  <c r="O594" i="7"/>
  <c r="T594" i="7" s="1"/>
  <c r="N594" i="7"/>
  <c r="M594" i="7"/>
  <c r="A594" i="7"/>
  <c r="Q593" i="7"/>
  <c r="O593" i="7"/>
  <c r="N593" i="7"/>
  <c r="M593" i="7"/>
  <c r="A593" i="7"/>
  <c r="Q592" i="7"/>
  <c r="O592" i="7"/>
  <c r="T592" i="7" s="1"/>
  <c r="U592" i="7" s="1"/>
  <c r="N592" i="7"/>
  <c r="M592" i="7"/>
  <c r="Q591" i="7"/>
  <c r="O591" i="7"/>
  <c r="T591" i="7" s="1"/>
  <c r="U591" i="7" s="1"/>
  <c r="N591" i="7"/>
  <c r="M591" i="7"/>
  <c r="Q590" i="7"/>
  <c r="O590" i="7"/>
  <c r="P590" i="7" s="1"/>
  <c r="N590" i="7"/>
  <c r="M590" i="7"/>
  <c r="Q589" i="7"/>
  <c r="O589" i="7"/>
  <c r="T589" i="7" s="1"/>
  <c r="V589" i="7" s="1"/>
  <c r="N589" i="7"/>
  <c r="M589" i="7"/>
  <c r="Q588" i="7"/>
  <c r="N588" i="7"/>
  <c r="M588" i="7"/>
  <c r="Q587" i="7"/>
  <c r="N587" i="7"/>
  <c r="M587" i="7"/>
  <c r="Q586" i="7"/>
  <c r="O586" i="7"/>
  <c r="N586" i="7"/>
  <c r="M586" i="7"/>
  <c r="Q585" i="7"/>
  <c r="N585" i="7"/>
  <c r="M585" i="7"/>
  <c r="Q584" i="7"/>
  <c r="N584" i="7"/>
  <c r="M584" i="7"/>
  <c r="Q583" i="7"/>
  <c r="N583" i="7"/>
  <c r="M583" i="7"/>
  <c r="Q582" i="7"/>
  <c r="N582" i="7"/>
  <c r="M582" i="7"/>
  <c r="Q581" i="7"/>
  <c r="N581" i="7"/>
  <c r="M581" i="7"/>
  <c r="Q580" i="7"/>
  <c r="N580" i="7"/>
  <c r="M580" i="7"/>
  <c r="Q579" i="7"/>
  <c r="N579" i="7"/>
  <c r="M579" i="7"/>
  <c r="Q578" i="7"/>
  <c r="N578" i="7"/>
  <c r="M578" i="7"/>
  <c r="Q577" i="7"/>
  <c r="N577" i="7"/>
  <c r="M577" i="7"/>
  <c r="Q576" i="7"/>
  <c r="N576" i="7"/>
  <c r="M576" i="7"/>
  <c r="Q575" i="7"/>
  <c r="N575" i="7"/>
  <c r="M575" i="7"/>
  <c r="Q574" i="7"/>
  <c r="N574" i="7"/>
  <c r="M574" i="7"/>
  <c r="Q571" i="7"/>
  <c r="O571" i="7"/>
  <c r="T571" i="7" s="1"/>
  <c r="U571" i="7" s="1"/>
  <c r="N571" i="7"/>
  <c r="M571" i="7"/>
  <c r="A571" i="7"/>
  <c r="Q570" i="7"/>
  <c r="O570" i="7"/>
  <c r="T570" i="7" s="1"/>
  <c r="V570" i="7" s="1"/>
  <c r="N570" i="7"/>
  <c r="M570" i="7"/>
  <c r="A570" i="7"/>
  <c r="Q569" i="7"/>
  <c r="O569" i="7"/>
  <c r="N569" i="7"/>
  <c r="M569" i="7"/>
  <c r="Q568" i="7"/>
  <c r="O568" i="7"/>
  <c r="P568" i="7" s="1"/>
  <c r="N568" i="7"/>
  <c r="M568" i="7"/>
  <c r="Q567" i="7"/>
  <c r="O567" i="7"/>
  <c r="T567" i="7" s="1"/>
  <c r="U567" i="7" s="1"/>
  <c r="N567" i="7"/>
  <c r="M567" i="7"/>
  <c r="Q566" i="7"/>
  <c r="O566" i="7"/>
  <c r="T566" i="7" s="1"/>
  <c r="U566" i="7" s="1"/>
  <c r="N566" i="7"/>
  <c r="M566" i="7"/>
  <c r="Q565" i="7"/>
  <c r="N565" i="7"/>
  <c r="M565" i="7"/>
  <c r="Q564" i="7"/>
  <c r="N564" i="7"/>
  <c r="M564" i="7"/>
  <c r="Q563" i="7"/>
  <c r="N563" i="7"/>
  <c r="M563" i="7"/>
  <c r="Q562" i="7"/>
  <c r="N562" i="7"/>
  <c r="M562" i="7"/>
  <c r="Q561" i="7"/>
  <c r="N561" i="7"/>
  <c r="M561" i="7"/>
  <c r="Q560" i="7"/>
  <c r="N560" i="7"/>
  <c r="M560" i="7"/>
  <c r="Q559" i="7"/>
  <c r="N559" i="7"/>
  <c r="M559" i="7"/>
  <c r="Q558" i="7"/>
  <c r="N558" i="7"/>
  <c r="M558" i="7"/>
  <c r="Q557" i="7"/>
  <c r="N557" i="7"/>
  <c r="M557" i="7"/>
  <c r="Q556" i="7"/>
  <c r="N556" i="7"/>
  <c r="M556" i="7"/>
  <c r="Q555" i="7"/>
  <c r="N555" i="7"/>
  <c r="M555" i="7"/>
  <c r="Q554" i="7"/>
  <c r="N554" i="7"/>
  <c r="M554" i="7"/>
  <c r="Q553" i="7"/>
  <c r="N553" i="7"/>
  <c r="M553" i="7"/>
  <c r="Q550" i="7"/>
  <c r="O550" i="7"/>
  <c r="T550" i="7" s="1"/>
  <c r="N550" i="7"/>
  <c r="M550" i="7"/>
  <c r="A550" i="7"/>
  <c r="Q549" i="7"/>
  <c r="O549" i="7"/>
  <c r="N549" i="7"/>
  <c r="M549" i="7"/>
  <c r="A549" i="7"/>
  <c r="Q548" i="7"/>
  <c r="O548" i="7"/>
  <c r="N548" i="7"/>
  <c r="M548" i="7"/>
  <c r="Q547" i="7"/>
  <c r="O547" i="7"/>
  <c r="P547" i="7" s="1"/>
  <c r="N547" i="7"/>
  <c r="M547" i="7"/>
  <c r="Q546" i="7"/>
  <c r="O546" i="7"/>
  <c r="T546" i="7" s="1"/>
  <c r="V546" i="7" s="1"/>
  <c r="N546" i="7"/>
  <c r="M546" i="7"/>
  <c r="Q545" i="7"/>
  <c r="O545" i="7"/>
  <c r="N545" i="7"/>
  <c r="M545" i="7"/>
  <c r="Q544" i="7"/>
  <c r="N544" i="7"/>
  <c r="M544" i="7"/>
  <c r="Q543" i="7"/>
  <c r="N543" i="7"/>
  <c r="M543" i="7"/>
  <c r="Q542" i="7"/>
  <c r="N542" i="7"/>
  <c r="M542" i="7"/>
  <c r="Q541" i="7"/>
  <c r="N541" i="7"/>
  <c r="M541" i="7"/>
  <c r="Q540" i="7"/>
  <c r="N540" i="7"/>
  <c r="M540" i="7"/>
  <c r="Q539" i="7"/>
  <c r="N539" i="7"/>
  <c r="M539" i="7"/>
  <c r="Q538" i="7"/>
  <c r="N538" i="7"/>
  <c r="M538" i="7"/>
  <c r="Q537" i="7"/>
  <c r="N537" i="7"/>
  <c r="M537" i="7"/>
  <c r="Q534" i="7"/>
  <c r="O534" i="7"/>
  <c r="T534" i="7" s="1"/>
  <c r="V534" i="7" s="1"/>
  <c r="N534" i="7"/>
  <c r="M534" i="7"/>
  <c r="A534" i="7"/>
  <c r="Q533" i="7"/>
  <c r="O533" i="7"/>
  <c r="T533" i="7" s="1"/>
  <c r="N533" i="7"/>
  <c r="M533" i="7"/>
  <c r="A533" i="7"/>
  <c r="Q532" i="7"/>
  <c r="O532" i="7"/>
  <c r="N532" i="7"/>
  <c r="M532" i="7"/>
  <c r="Q531" i="7"/>
  <c r="O531" i="7"/>
  <c r="T531" i="7" s="1"/>
  <c r="N531" i="7"/>
  <c r="M531" i="7"/>
  <c r="Q530" i="7"/>
  <c r="O530" i="7"/>
  <c r="N530" i="7"/>
  <c r="M530" i="7"/>
  <c r="Q529" i="7"/>
  <c r="O529" i="7"/>
  <c r="N529" i="7"/>
  <c r="M529" i="7"/>
  <c r="Q528" i="7"/>
  <c r="O528" i="7"/>
  <c r="P528" i="7" s="1"/>
  <c r="N528" i="7"/>
  <c r="M528" i="7"/>
  <c r="Q527" i="7"/>
  <c r="O527" i="7"/>
  <c r="P527" i="7" s="1"/>
  <c r="N527" i="7"/>
  <c r="M527" i="7"/>
  <c r="Q526" i="7"/>
  <c r="N526" i="7"/>
  <c r="M526" i="7"/>
  <c r="Q525" i="7"/>
  <c r="N525" i="7"/>
  <c r="M525" i="7"/>
  <c r="Q524" i="7"/>
  <c r="N524" i="7"/>
  <c r="M524" i="7"/>
  <c r="Q523" i="7"/>
  <c r="N523" i="7"/>
  <c r="M523" i="7"/>
  <c r="Q522" i="7"/>
  <c r="N522" i="7"/>
  <c r="M522" i="7"/>
  <c r="Q521" i="7"/>
  <c r="N521" i="7"/>
  <c r="M521" i="7"/>
  <c r="Q520" i="7"/>
  <c r="N520" i="7"/>
  <c r="M520" i="7"/>
  <c r="Q517" i="7"/>
  <c r="O517" i="7"/>
  <c r="T517" i="7" s="1"/>
  <c r="N517" i="7"/>
  <c r="M517" i="7"/>
  <c r="A517" i="7"/>
  <c r="Q516" i="7"/>
  <c r="O516" i="7"/>
  <c r="T516" i="7" s="1"/>
  <c r="N516" i="7"/>
  <c r="M516" i="7"/>
  <c r="A516" i="7"/>
  <c r="Q515" i="7"/>
  <c r="O515" i="7"/>
  <c r="T515" i="7" s="1"/>
  <c r="N515" i="7"/>
  <c r="M515" i="7"/>
  <c r="Q514" i="7"/>
  <c r="O514" i="7"/>
  <c r="P514" i="7" s="1"/>
  <c r="N514" i="7"/>
  <c r="M514" i="7"/>
  <c r="Q513" i="7"/>
  <c r="O513" i="7"/>
  <c r="T513" i="7" s="1"/>
  <c r="N513" i="7"/>
  <c r="M513" i="7"/>
  <c r="Q512" i="7"/>
  <c r="O512" i="7"/>
  <c r="P512" i="7" s="1"/>
  <c r="N512" i="7"/>
  <c r="M512" i="7"/>
  <c r="Q511" i="7"/>
  <c r="O511" i="7"/>
  <c r="N511" i="7"/>
  <c r="M511" i="7"/>
  <c r="Q510" i="7"/>
  <c r="O510" i="7"/>
  <c r="P510" i="7" s="1"/>
  <c r="N510" i="7"/>
  <c r="M510" i="7"/>
  <c r="Q509" i="7"/>
  <c r="N509" i="7"/>
  <c r="M509" i="7"/>
  <c r="Q508" i="7"/>
  <c r="N508" i="7"/>
  <c r="M508" i="7"/>
  <c r="Q507" i="7"/>
  <c r="N507" i="7"/>
  <c r="M507" i="7"/>
  <c r="Q506" i="7"/>
  <c r="N506" i="7"/>
  <c r="M506" i="7"/>
  <c r="Q505" i="7"/>
  <c r="N505" i="7"/>
  <c r="M505" i="7"/>
  <c r="Q504" i="7"/>
  <c r="N504" i="7"/>
  <c r="M504" i="7"/>
  <c r="Q503" i="7"/>
  <c r="N503" i="7"/>
  <c r="M503" i="7"/>
  <c r="Q500" i="7"/>
  <c r="O500" i="7"/>
  <c r="N500" i="7"/>
  <c r="M500" i="7"/>
  <c r="A500" i="7"/>
  <c r="Q499" i="7"/>
  <c r="O499" i="7"/>
  <c r="T499" i="7" s="1"/>
  <c r="N499" i="7"/>
  <c r="M499" i="7"/>
  <c r="A499" i="7"/>
  <c r="Q498" i="7"/>
  <c r="O498" i="7"/>
  <c r="P498" i="7" s="1"/>
  <c r="N498" i="7"/>
  <c r="M498" i="7"/>
  <c r="Q497" i="7"/>
  <c r="O497" i="7"/>
  <c r="T497" i="7" s="1"/>
  <c r="U497" i="7" s="1"/>
  <c r="N497" i="7"/>
  <c r="M497" i="7"/>
  <c r="Q496" i="7"/>
  <c r="O496" i="7"/>
  <c r="T496" i="7" s="1"/>
  <c r="N496" i="7"/>
  <c r="M496" i="7"/>
  <c r="Q495" i="7"/>
  <c r="N495" i="7"/>
  <c r="M495" i="7"/>
  <c r="Q494" i="7"/>
  <c r="N494" i="7"/>
  <c r="M494" i="7"/>
  <c r="Q493" i="7"/>
  <c r="N493" i="7"/>
  <c r="M493" i="7"/>
  <c r="Q492" i="7"/>
  <c r="N492" i="7"/>
  <c r="M492" i="7"/>
  <c r="Q491" i="7"/>
  <c r="N491" i="7"/>
  <c r="M491" i="7"/>
  <c r="Q490" i="7"/>
  <c r="N490" i="7"/>
  <c r="M490" i="7"/>
  <c r="Q489" i="7"/>
  <c r="N489" i="7"/>
  <c r="M489" i="7"/>
  <c r="Q486" i="7"/>
  <c r="O486" i="7"/>
  <c r="T486" i="7" s="1"/>
  <c r="V486" i="7" s="1"/>
  <c r="N486" i="7"/>
  <c r="M486" i="7"/>
  <c r="A486" i="7"/>
  <c r="Q485" i="7"/>
  <c r="O485" i="7"/>
  <c r="N485" i="7"/>
  <c r="M485" i="7"/>
  <c r="A485" i="7"/>
  <c r="Q484" i="7"/>
  <c r="O484" i="7"/>
  <c r="N484" i="7"/>
  <c r="M484" i="7"/>
  <c r="Q483" i="7"/>
  <c r="O483" i="7"/>
  <c r="P483" i="7" s="1"/>
  <c r="N483" i="7"/>
  <c r="M483" i="7"/>
  <c r="Q482" i="7"/>
  <c r="O482" i="7"/>
  <c r="N482" i="7"/>
  <c r="M482" i="7"/>
  <c r="Q481" i="7"/>
  <c r="N481" i="7"/>
  <c r="M481" i="7"/>
  <c r="Q480" i="7"/>
  <c r="N480" i="7"/>
  <c r="M480" i="7"/>
  <c r="Q479" i="7"/>
  <c r="N479" i="7"/>
  <c r="M479" i="7"/>
  <c r="Q478" i="7"/>
  <c r="N478" i="7"/>
  <c r="M478" i="7"/>
  <c r="Q477" i="7"/>
  <c r="N477" i="7"/>
  <c r="M477" i="7"/>
  <c r="Q476" i="7"/>
  <c r="N476" i="7"/>
  <c r="M476" i="7"/>
  <c r="Q475" i="7"/>
  <c r="O475" i="7"/>
  <c r="N475" i="7"/>
  <c r="M475" i="7"/>
  <c r="Q472" i="7"/>
  <c r="O472" i="7"/>
  <c r="T472" i="7" s="1"/>
  <c r="V472" i="7" s="1"/>
  <c r="N472" i="7"/>
  <c r="M472" i="7"/>
  <c r="A472" i="7"/>
  <c r="Q471" i="7"/>
  <c r="O471" i="7"/>
  <c r="T471" i="7" s="1"/>
  <c r="N471" i="7"/>
  <c r="M471" i="7"/>
  <c r="A471" i="7"/>
  <c r="Q470" i="7"/>
  <c r="O470" i="7"/>
  <c r="T470" i="7" s="1"/>
  <c r="V470" i="7" s="1"/>
  <c r="N470" i="7"/>
  <c r="M470" i="7"/>
  <c r="Q469" i="7"/>
  <c r="O469" i="7"/>
  <c r="N469" i="7"/>
  <c r="M469" i="7"/>
  <c r="Q468" i="7"/>
  <c r="O468" i="7"/>
  <c r="P468" i="7" s="1"/>
  <c r="N468" i="7"/>
  <c r="M468" i="7"/>
  <c r="Q467" i="7"/>
  <c r="N467" i="7"/>
  <c r="M467" i="7"/>
  <c r="Q466" i="7"/>
  <c r="N466" i="7"/>
  <c r="M466" i="7"/>
  <c r="Q465" i="7"/>
  <c r="N465" i="7"/>
  <c r="M465" i="7"/>
  <c r="Q464" i="7"/>
  <c r="N464" i="7"/>
  <c r="M464" i="7"/>
  <c r="Q463" i="7"/>
  <c r="N463" i="7"/>
  <c r="M463" i="7"/>
  <c r="Q462" i="7"/>
  <c r="N462" i="7"/>
  <c r="M462" i="7"/>
  <c r="Q461" i="7"/>
  <c r="N461" i="7"/>
  <c r="M461" i="7"/>
  <c r="Q458" i="7"/>
  <c r="O458" i="7"/>
  <c r="T458" i="7" s="1"/>
  <c r="N458" i="7"/>
  <c r="M458" i="7"/>
  <c r="A458" i="7"/>
  <c r="Q457" i="7"/>
  <c r="O457" i="7"/>
  <c r="N457" i="7"/>
  <c r="M457" i="7"/>
  <c r="A457" i="7"/>
  <c r="Q456" i="7"/>
  <c r="O456" i="7"/>
  <c r="P456" i="7" s="1"/>
  <c r="N456" i="7"/>
  <c r="M456" i="7"/>
  <c r="Q455" i="7"/>
  <c r="O455" i="7"/>
  <c r="T455" i="7" s="1"/>
  <c r="N455" i="7"/>
  <c r="M455" i="7"/>
  <c r="Q454" i="7"/>
  <c r="O454" i="7"/>
  <c r="N454" i="7"/>
  <c r="M454" i="7"/>
  <c r="Q453" i="7"/>
  <c r="N453" i="7"/>
  <c r="M453" i="7"/>
  <c r="Q452" i="7"/>
  <c r="N452" i="7"/>
  <c r="M452" i="7"/>
  <c r="Q451" i="7"/>
  <c r="N451" i="7"/>
  <c r="M451" i="7"/>
  <c r="Q450" i="7"/>
  <c r="N450" i="7"/>
  <c r="M450" i="7"/>
  <c r="Q449" i="7"/>
  <c r="N449" i="7"/>
  <c r="M449" i="7"/>
  <c r="Q448" i="7"/>
  <c r="N448" i="7"/>
  <c r="M448" i="7"/>
  <c r="Q445" i="7"/>
  <c r="O445" i="7"/>
  <c r="T445" i="7" s="1"/>
  <c r="V445" i="7" s="1"/>
  <c r="N445" i="7"/>
  <c r="M445" i="7"/>
  <c r="A445" i="7"/>
  <c r="Q444" i="7"/>
  <c r="O444" i="7"/>
  <c r="T444" i="7" s="1"/>
  <c r="U444" i="7" s="1"/>
  <c r="N444" i="7"/>
  <c r="M444" i="7"/>
  <c r="A444" i="7"/>
  <c r="Q443" i="7"/>
  <c r="O443" i="7"/>
  <c r="P443" i="7" s="1"/>
  <c r="N443" i="7"/>
  <c r="M443" i="7"/>
  <c r="Q442" i="7"/>
  <c r="O442" i="7"/>
  <c r="N442" i="7"/>
  <c r="M442" i="7"/>
  <c r="Q441" i="7"/>
  <c r="N441" i="7"/>
  <c r="M441" i="7"/>
  <c r="Q440" i="7"/>
  <c r="N440" i="7"/>
  <c r="M440" i="7"/>
  <c r="Q439" i="7"/>
  <c r="N439" i="7"/>
  <c r="M439" i="7"/>
  <c r="Q438" i="7"/>
  <c r="N438" i="7"/>
  <c r="M438" i="7"/>
  <c r="Q437" i="7"/>
  <c r="N437" i="7"/>
  <c r="M437" i="7"/>
  <c r="Q436" i="7"/>
  <c r="N436" i="7"/>
  <c r="M436" i="7"/>
  <c r="Q433" i="7"/>
  <c r="O433" i="7"/>
  <c r="T433" i="7" s="1"/>
  <c r="V433" i="7" s="1"/>
  <c r="N433" i="7"/>
  <c r="M433" i="7"/>
  <c r="A433" i="7"/>
  <c r="Q432" i="7"/>
  <c r="O432" i="7"/>
  <c r="N432" i="7"/>
  <c r="M432" i="7"/>
  <c r="A432" i="7"/>
  <c r="Q431" i="7"/>
  <c r="O431" i="7"/>
  <c r="N431" i="7"/>
  <c r="M431" i="7"/>
  <c r="Q430" i="7"/>
  <c r="N430" i="7"/>
  <c r="M430" i="7"/>
  <c r="Q429" i="7"/>
  <c r="N429" i="7"/>
  <c r="M429" i="7"/>
  <c r="Q428" i="7"/>
  <c r="N428" i="7"/>
  <c r="M428" i="7"/>
  <c r="Q427" i="7"/>
  <c r="N427" i="7"/>
  <c r="M427" i="7"/>
  <c r="Q426" i="7"/>
  <c r="N426" i="7"/>
  <c r="M426" i="7"/>
  <c r="Q425" i="7"/>
  <c r="N425" i="7"/>
  <c r="M425" i="7"/>
  <c r="Q424" i="7"/>
  <c r="O424" i="7"/>
  <c r="N424" i="7"/>
  <c r="M424" i="7"/>
  <c r="Q396" i="7"/>
  <c r="O396" i="7"/>
  <c r="T396" i="7" s="1"/>
  <c r="V396" i="7" s="1"/>
  <c r="N396" i="7"/>
  <c r="M396" i="7"/>
  <c r="A396" i="7"/>
  <c r="Q395" i="7"/>
  <c r="O395" i="7"/>
  <c r="T395" i="7" s="1"/>
  <c r="U395" i="7" s="1"/>
  <c r="N395" i="7"/>
  <c r="M395" i="7"/>
  <c r="A395" i="7"/>
  <c r="Q394" i="7"/>
  <c r="O394" i="7"/>
  <c r="N394" i="7"/>
  <c r="M394" i="7"/>
  <c r="Q393" i="7"/>
  <c r="O393" i="7"/>
  <c r="N393" i="7"/>
  <c r="M393" i="7"/>
  <c r="Q392" i="7"/>
  <c r="O392" i="7"/>
  <c r="P392" i="7" s="1"/>
  <c r="N392" i="7"/>
  <c r="M392" i="7"/>
  <c r="Q391" i="7"/>
  <c r="N391" i="7"/>
  <c r="M391" i="7"/>
  <c r="Q390" i="7"/>
  <c r="N390" i="7"/>
  <c r="M390" i="7"/>
  <c r="Q389" i="7"/>
  <c r="N389" i="7"/>
  <c r="M389" i="7"/>
  <c r="Q388" i="7"/>
  <c r="N388" i="7"/>
  <c r="M388" i="7"/>
  <c r="Q387" i="7"/>
  <c r="N387" i="7"/>
  <c r="M387" i="7"/>
  <c r="Q386" i="7"/>
  <c r="N386" i="7"/>
  <c r="M386" i="7"/>
  <c r="Q385" i="7"/>
  <c r="N385" i="7"/>
  <c r="M385" i="7"/>
  <c r="Q384" i="7"/>
  <c r="O384" i="7"/>
  <c r="N384" i="7"/>
  <c r="M384" i="7"/>
  <c r="Q383" i="7"/>
  <c r="N383" i="7"/>
  <c r="M383" i="7"/>
  <c r="Q382" i="7"/>
  <c r="N382" i="7"/>
  <c r="M382" i="7"/>
  <c r="Q381" i="7"/>
  <c r="N381" i="7"/>
  <c r="M381" i="7"/>
  <c r="Q380" i="7"/>
  <c r="N380" i="7"/>
  <c r="M380" i="7"/>
  <c r="Q379" i="7"/>
  <c r="N379" i="7"/>
  <c r="M379" i="7"/>
  <c r="Q376" i="7"/>
  <c r="O376" i="7"/>
  <c r="T376" i="7" s="1"/>
  <c r="N376" i="7"/>
  <c r="M376" i="7"/>
  <c r="A376" i="7"/>
  <c r="Q375" i="7"/>
  <c r="O375" i="7"/>
  <c r="T375" i="7" s="1"/>
  <c r="N375" i="7"/>
  <c r="M375" i="7"/>
  <c r="A375" i="7"/>
  <c r="Q374" i="7"/>
  <c r="O374" i="7"/>
  <c r="N374" i="7"/>
  <c r="M374" i="7"/>
  <c r="Q373" i="7"/>
  <c r="O373" i="7"/>
  <c r="P373" i="7" s="1"/>
  <c r="N373" i="7"/>
  <c r="M373" i="7"/>
  <c r="Q372" i="7"/>
  <c r="O372" i="7"/>
  <c r="T372" i="7" s="1"/>
  <c r="N372" i="7"/>
  <c r="M372" i="7"/>
  <c r="Q371" i="7"/>
  <c r="N371" i="7"/>
  <c r="M371" i="7"/>
  <c r="Q370" i="7"/>
  <c r="O370" i="7"/>
  <c r="N370" i="7"/>
  <c r="M370" i="7"/>
  <c r="Q369" i="7"/>
  <c r="N369" i="7"/>
  <c r="M369" i="7"/>
  <c r="Q368" i="7"/>
  <c r="N368" i="7"/>
  <c r="M368" i="7"/>
  <c r="Q367" i="7"/>
  <c r="N367" i="7"/>
  <c r="M367" i="7"/>
  <c r="Q366" i="7"/>
  <c r="N366" i="7"/>
  <c r="M366" i="7"/>
  <c r="Q365" i="7"/>
  <c r="N365" i="7"/>
  <c r="M365" i="7"/>
  <c r="Q364" i="7"/>
  <c r="N364" i="7"/>
  <c r="M364" i="7"/>
  <c r="Q363" i="7"/>
  <c r="N363" i="7"/>
  <c r="M363" i="7"/>
  <c r="Q362" i="7"/>
  <c r="N362" i="7"/>
  <c r="M362" i="7"/>
  <c r="Q361" i="7"/>
  <c r="N361" i="7"/>
  <c r="M361" i="7"/>
  <c r="Q360" i="7"/>
  <c r="O360" i="7"/>
  <c r="N360" i="7"/>
  <c r="M360" i="7"/>
  <c r="Q359" i="7"/>
  <c r="N359" i="7"/>
  <c r="M359" i="7"/>
  <c r="Q356" i="7"/>
  <c r="O356" i="7"/>
  <c r="T356" i="7" s="1"/>
  <c r="V356" i="7" s="1"/>
  <c r="N356" i="7"/>
  <c r="M356" i="7"/>
  <c r="A356" i="7"/>
  <c r="Q355" i="7"/>
  <c r="O355" i="7"/>
  <c r="N355" i="7"/>
  <c r="M355" i="7"/>
  <c r="A355" i="7"/>
  <c r="Q354" i="7"/>
  <c r="O354" i="7"/>
  <c r="T354" i="7" s="1"/>
  <c r="U354" i="7" s="1"/>
  <c r="N354" i="7"/>
  <c r="M354" i="7"/>
  <c r="Q353" i="7"/>
  <c r="O353" i="7"/>
  <c r="P353" i="7" s="1"/>
  <c r="N353" i="7"/>
  <c r="M353" i="7"/>
  <c r="Q352" i="7"/>
  <c r="O352" i="7"/>
  <c r="N352" i="7"/>
  <c r="M352" i="7"/>
  <c r="Q351" i="7"/>
  <c r="N351" i="7"/>
  <c r="M351" i="7"/>
  <c r="Q350" i="7"/>
  <c r="N350" i="7"/>
  <c r="M350" i="7"/>
  <c r="Q349" i="7"/>
  <c r="N349" i="7"/>
  <c r="M349" i="7"/>
  <c r="Q348" i="7"/>
  <c r="N348" i="7"/>
  <c r="M348" i="7"/>
  <c r="Q347" i="7"/>
  <c r="N347" i="7"/>
  <c r="M347" i="7"/>
  <c r="Q346" i="7"/>
  <c r="O346" i="7"/>
  <c r="N346" i="7"/>
  <c r="M346" i="7"/>
  <c r="Q345" i="7"/>
  <c r="N345" i="7"/>
  <c r="M345" i="7"/>
  <c r="Q344" i="7"/>
  <c r="N344" i="7"/>
  <c r="M344" i="7"/>
  <c r="Q343" i="7"/>
  <c r="N343" i="7"/>
  <c r="M343" i="7"/>
  <c r="Q342" i="7"/>
  <c r="N342" i="7"/>
  <c r="M342" i="7"/>
  <c r="Q341" i="7"/>
  <c r="N341" i="7"/>
  <c r="M341" i="7"/>
  <c r="Q340" i="7"/>
  <c r="N340" i="7"/>
  <c r="M340" i="7"/>
  <c r="Q339" i="7"/>
  <c r="N339" i="7"/>
  <c r="M339" i="7"/>
  <c r="Q336" i="7"/>
  <c r="O336" i="7"/>
  <c r="N336" i="7"/>
  <c r="M336" i="7"/>
  <c r="A336" i="7"/>
  <c r="Q335" i="7"/>
  <c r="O335" i="7"/>
  <c r="T335" i="7" s="1"/>
  <c r="N335" i="7"/>
  <c r="M335" i="7"/>
  <c r="A335" i="7"/>
  <c r="Q334" i="7"/>
  <c r="O334" i="7"/>
  <c r="P334" i="7" s="1"/>
  <c r="N334" i="7"/>
  <c r="M334" i="7"/>
  <c r="Q333" i="7"/>
  <c r="O333" i="7"/>
  <c r="N333" i="7"/>
  <c r="M333" i="7"/>
  <c r="Q332" i="7"/>
  <c r="O332" i="7"/>
  <c r="T332" i="7" s="1"/>
  <c r="U332" i="7" s="1"/>
  <c r="N332" i="7"/>
  <c r="M332" i="7"/>
  <c r="Q331" i="7"/>
  <c r="O331" i="7"/>
  <c r="T331" i="7" s="1"/>
  <c r="N331" i="7"/>
  <c r="M331" i="7"/>
  <c r="Q330" i="7"/>
  <c r="N330" i="7"/>
  <c r="M330" i="7"/>
  <c r="Q329" i="7"/>
  <c r="N329" i="7"/>
  <c r="M329" i="7"/>
  <c r="Q328" i="7"/>
  <c r="N328" i="7"/>
  <c r="M328" i="7"/>
  <c r="Q327" i="7"/>
  <c r="N327" i="7"/>
  <c r="M327" i="7"/>
  <c r="Q326" i="7"/>
  <c r="N326" i="7"/>
  <c r="M326" i="7"/>
  <c r="Q325" i="7"/>
  <c r="N325" i="7"/>
  <c r="M325" i="7"/>
  <c r="Q324" i="7"/>
  <c r="N324" i="7"/>
  <c r="M324" i="7"/>
  <c r="Q323" i="7"/>
  <c r="N323" i="7"/>
  <c r="M323" i="7"/>
  <c r="Q322" i="7"/>
  <c r="O322" i="7"/>
  <c r="N322" i="7"/>
  <c r="M322" i="7"/>
  <c r="Q319" i="7"/>
  <c r="O319" i="7"/>
  <c r="N319" i="7"/>
  <c r="M319" i="7"/>
  <c r="A319" i="7"/>
  <c r="Q318" i="7"/>
  <c r="O318" i="7"/>
  <c r="T318" i="7" s="1"/>
  <c r="N318" i="7"/>
  <c r="M318" i="7"/>
  <c r="A318" i="7"/>
  <c r="Q317" i="7"/>
  <c r="O317" i="7"/>
  <c r="P317" i="7" s="1"/>
  <c r="N317" i="7"/>
  <c r="M317" i="7"/>
  <c r="Q316" i="7"/>
  <c r="O316" i="7"/>
  <c r="N316" i="7"/>
  <c r="M316" i="7"/>
  <c r="Q315" i="7"/>
  <c r="O315" i="7"/>
  <c r="T315" i="7" s="1"/>
  <c r="V315" i="7" s="1"/>
  <c r="N315" i="7"/>
  <c r="M315" i="7"/>
  <c r="Q314" i="7"/>
  <c r="O314" i="7"/>
  <c r="T314" i="7" s="1"/>
  <c r="N314" i="7"/>
  <c r="M314" i="7"/>
  <c r="Q313" i="7"/>
  <c r="O313" i="7"/>
  <c r="N313" i="7"/>
  <c r="M313" i="7"/>
  <c r="Q312" i="7"/>
  <c r="N312" i="7"/>
  <c r="M312" i="7"/>
  <c r="Q311" i="7"/>
  <c r="N311" i="7"/>
  <c r="M311" i="7"/>
  <c r="Q310" i="7"/>
  <c r="N310" i="7"/>
  <c r="M310" i="7"/>
  <c r="Q309" i="7"/>
  <c r="N309" i="7"/>
  <c r="M309" i="7"/>
  <c r="Q308" i="7"/>
  <c r="N308" i="7"/>
  <c r="M308" i="7"/>
  <c r="Q307" i="7"/>
  <c r="N307" i="7"/>
  <c r="M307" i="7"/>
  <c r="Q306" i="7"/>
  <c r="N306" i="7"/>
  <c r="M306" i="7"/>
  <c r="Q305" i="7"/>
  <c r="N305" i="7"/>
  <c r="M305" i="7"/>
  <c r="Q302" i="7"/>
  <c r="O302" i="7"/>
  <c r="N302" i="7"/>
  <c r="M302" i="7"/>
  <c r="A302" i="7"/>
  <c r="Q301" i="7"/>
  <c r="O301" i="7"/>
  <c r="N301" i="7"/>
  <c r="M301" i="7"/>
  <c r="A301" i="7"/>
  <c r="Q300" i="7"/>
  <c r="O300" i="7"/>
  <c r="N300" i="7"/>
  <c r="M300" i="7"/>
  <c r="Q299" i="7"/>
  <c r="O299" i="7"/>
  <c r="N299" i="7"/>
  <c r="M299" i="7"/>
  <c r="Q298" i="7"/>
  <c r="O298" i="7"/>
  <c r="T298" i="7" s="1"/>
  <c r="N298" i="7"/>
  <c r="M298" i="7"/>
  <c r="Q297" i="7"/>
  <c r="O297" i="7"/>
  <c r="T297" i="7" s="1"/>
  <c r="U297" i="7" s="1"/>
  <c r="N297" i="7"/>
  <c r="M297" i="7"/>
  <c r="Q296" i="7"/>
  <c r="N296" i="7"/>
  <c r="M296" i="7"/>
  <c r="Q295" i="7"/>
  <c r="N295" i="7"/>
  <c r="M295" i="7"/>
  <c r="Q294" i="7"/>
  <c r="O294" i="7"/>
  <c r="N294" i="7"/>
  <c r="M294" i="7"/>
  <c r="Q293" i="7"/>
  <c r="N293" i="7"/>
  <c r="M293" i="7"/>
  <c r="Q292" i="7"/>
  <c r="N292" i="7"/>
  <c r="M292" i="7"/>
  <c r="Q291" i="7"/>
  <c r="N291" i="7"/>
  <c r="M291" i="7"/>
  <c r="Q290" i="7"/>
  <c r="N290" i="7"/>
  <c r="M290" i="7"/>
  <c r="Q289" i="7"/>
  <c r="O289" i="7"/>
  <c r="N289" i="7"/>
  <c r="M289" i="7"/>
  <c r="Q288" i="7"/>
  <c r="N288" i="7"/>
  <c r="M288" i="7"/>
  <c r="Q285" i="7"/>
  <c r="O285" i="7"/>
  <c r="N285" i="7"/>
  <c r="M285" i="7"/>
  <c r="A285" i="7"/>
  <c r="Q284" i="7"/>
  <c r="O284" i="7"/>
  <c r="T284" i="7" s="1"/>
  <c r="N284" i="7"/>
  <c r="M284" i="7"/>
  <c r="A284" i="7"/>
  <c r="Q283" i="7"/>
  <c r="O283" i="7"/>
  <c r="T283" i="7" s="1"/>
  <c r="N283" i="7"/>
  <c r="M283" i="7"/>
  <c r="Q282" i="7"/>
  <c r="O282" i="7"/>
  <c r="T282" i="7" s="1"/>
  <c r="V282" i="7" s="1"/>
  <c r="N282" i="7"/>
  <c r="M282" i="7"/>
  <c r="Q281" i="7"/>
  <c r="O281" i="7"/>
  <c r="P281" i="7" s="1"/>
  <c r="N281" i="7"/>
  <c r="M281" i="7"/>
  <c r="Q280" i="7"/>
  <c r="O280" i="7"/>
  <c r="P280" i="7" s="1"/>
  <c r="N280" i="7"/>
  <c r="M280" i="7"/>
  <c r="Q279" i="7"/>
  <c r="N279" i="7"/>
  <c r="M279" i="7"/>
  <c r="Q278" i="7"/>
  <c r="N278" i="7"/>
  <c r="M278" i="7"/>
  <c r="Q277" i="7"/>
  <c r="N277" i="7"/>
  <c r="M277" i="7"/>
  <c r="Q276" i="7"/>
  <c r="N276" i="7"/>
  <c r="M276" i="7"/>
  <c r="Q275" i="7"/>
  <c r="N275" i="7"/>
  <c r="M275" i="7"/>
  <c r="Q274" i="7"/>
  <c r="N274" i="7"/>
  <c r="M274" i="7"/>
  <c r="Q273" i="7"/>
  <c r="N273" i="7"/>
  <c r="M273" i="7"/>
  <c r="Q272" i="7"/>
  <c r="N272" i="7"/>
  <c r="M272" i="7"/>
  <c r="Q269" i="7"/>
  <c r="O269" i="7"/>
  <c r="T269" i="7" s="1"/>
  <c r="N269" i="7"/>
  <c r="M269" i="7"/>
  <c r="A269" i="7"/>
  <c r="Q268" i="7"/>
  <c r="O268" i="7"/>
  <c r="T268" i="7" s="1"/>
  <c r="U268" i="7" s="1"/>
  <c r="N268" i="7"/>
  <c r="M268" i="7"/>
  <c r="A268" i="7"/>
  <c r="Q267" i="7"/>
  <c r="O267" i="7"/>
  <c r="N267" i="7"/>
  <c r="M267" i="7"/>
  <c r="Q266" i="7"/>
  <c r="O266" i="7"/>
  <c r="T266" i="7" s="1"/>
  <c r="U266" i="7" s="1"/>
  <c r="N266" i="7"/>
  <c r="M266" i="7"/>
  <c r="Q265" i="7"/>
  <c r="O265" i="7"/>
  <c r="N265" i="7"/>
  <c r="M265" i="7"/>
  <c r="Q264" i="7"/>
  <c r="O264" i="7"/>
  <c r="N264" i="7"/>
  <c r="M264" i="7"/>
  <c r="Q263" i="7"/>
  <c r="N263" i="7"/>
  <c r="M263" i="7"/>
  <c r="Q262" i="7"/>
  <c r="N262" i="7"/>
  <c r="M262" i="7"/>
  <c r="Q261" i="7"/>
  <c r="O261" i="7"/>
  <c r="N261" i="7"/>
  <c r="M261" i="7"/>
  <c r="Q260" i="7"/>
  <c r="N260" i="7"/>
  <c r="M260" i="7"/>
  <c r="Q259" i="7"/>
  <c r="N259" i="7"/>
  <c r="M259" i="7"/>
  <c r="Q258" i="7"/>
  <c r="N258" i="7"/>
  <c r="M258" i="7"/>
  <c r="Q257" i="7"/>
  <c r="N257" i="7"/>
  <c r="M257" i="7"/>
  <c r="Q256" i="7"/>
  <c r="N256" i="7"/>
  <c r="M256" i="7"/>
  <c r="Q253" i="7"/>
  <c r="O253" i="7"/>
  <c r="T253" i="7" s="1"/>
  <c r="N253" i="7"/>
  <c r="M253" i="7"/>
  <c r="A253" i="7"/>
  <c r="Q252" i="7"/>
  <c r="O252" i="7"/>
  <c r="T252" i="7" s="1"/>
  <c r="N252" i="7"/>
  <c r="M252" i="7"/>
  <c r="A252" i="7"/>
  <c r="Q251" i="7"/>
  <c r="O251" i="7"/>
  <c r="N251" i="7"/>
  <c r="M251" i="7"/>
  <c r="Q250" i="7"/>
  <c r="O250" i="7"/>
  <c r="N250" i="7"/>
  <c r="M250" i="7"/>
  <c r="Q249" i="7"/>
  <c r="O249" i="7"/>
  <c r="P249" i="7" s="1"/>
  <c r="N249" i="7"/>
  <c r="M249" i="7"/>
  <c r="Q248" i="7"/>
  <c r="O248" i="7"/>
  <c r="T248" i="7" s="1"/>
  <c r="N248" i="7"/>
  <c r="M248" i="7"/>
  <c r="Q247" i="7"/>
  <c r="N247" i="7"/>
  <c r="M247" i="7"/>
  <c r="Q246" i="7"/>
  <c r="N246" i="7"/>
  <c r="M246" i="7"/>
  <c r="Q245" i="7"/>
  <c r="N245" i="7"/>
  <c r="M245" i="7"/>
  <c r="Q244" i="7"/>
  <c r="N244" i="7"/>
  <c r="M244" i="7"/>
  <c r="Q243" i="7"/>
  <c r="N243" i="7"/>
  <c r="M243" i="7"/>
  <c r="Q242" i="7"/>
  <c r="N242" i="7"/>
  <c r="M242" i="7"/>
  <c r="Q241" i="7"/>
  <c r="N241" i="7"/>
  <c r="M241" i="7"/>
  <c r="Q240" i="7"/>
  <c r="N240" i="7"/>
  <c r="M240" i="7"/>
  <c r="Q237" i="7"/>
  <c r="O237" i="7"/>
  <c r="T237" i="7" s="1"/>
  <c r="V237" i="7" s="1"/>
  <c r="N237" i="7"/>
  <c r="M237" i="7"/>
  <c r="A237" i="7"/>
  <c r="Q236" i="7"/>
  <c r="O236" i="7"/>
  <c r="T236" i="7" s="1"/>
  <c r="N236" i="7"/>
  <c r="M236" i="7"/>
  <c r="A236" i="7"/>
  <c r="Q235" i="7"/>
  <c r="O235" i="7"/>
  <c r="T235" i="7" s="1"/>
  <c r="V235" i="7" s="1"/>
  <c r="N235" i="7"/>
  <c r="M235" i="7"/>
  <c r="Q234" i="7"/>
  <c r="O234" i="7"/>
  <c r="P234" i="7" s="1"/>
  <c r="N234" i="7"/>
  <c r="M234" i="7"/>
  <c r="Q233" i="7"/>
  <c r="O233" i="7"/>
  <c r="N233" i="7"/>
  <c r="M233" i="7"/>
  <c r="Q232" i="7"/>
  <c r="O232" i="7"/>
  <c r="T232" i="7" s="1"/>
  <c r="N232" i="7"/>
  <c r="M232" i="7"/>
  <c r="Q231" i="7"/>
  <c r="N231" i="7"/>
  <c r="M231" i="7"/>
  <c r="Q230" i="7"/>
  <c r="N230" i="7"/>
  <c r="M230" i="7"/>
  <c r="Q229" i="7"/>
  <c r="N229" i="7"/>
  <c r="M229" i="7"/>
  <c r="Q228" i="7"/>
  <c r="O228" i="7"/>
  <c r="N228" i="7"/>
  <c r="M228" i="7"/>
  <c r="Q227" i="7"/>
  <c r="N227" i="7"/>
  <c r="M227" i="7"/>
  <c r="Q226" i="7"/>
  <c r="N226" i="7"/>
  <c r="M226" i="7"/>
  <c r="Q225" i="7"/>
  <c r="N225" i="7"/>
  <c r="M225" i="7"/>
  <c r="Q224" i="7"/>
  <c r="N224" i="7"/>
  <c r="M224" i="7"/>
  <c r="Q221" i="7"/>
  <c r="O221" i="7"/>
  <c r="T221" i="7" s="1"/>
  <c r="V221" i="7" s="1"/>
  <c r="N221" i="7"/>
  <c r="M221" i="7"/>
  <c r="A221" i="7"/>
  <c r="Q220" i="7"/>
  <c r="O220" i="7"/>
  <c r="T220" i="7" s="1"/>
  <c r="N220" i="7"/>
  <c r="M220" i="7"/>
  <c r="A220" i="7"/>
  <c r="Q219" i="7"/>
  <c r="O219" i="7"/>
  <c r="P219" i="7" s="1"/>
  <c r="N219" i="7"/>
  <c r="M219" i="7"/>
  <c r="Q218" i="7"/>
  <c r="O218" i="7"/>
  <c r="N218" i="7"/>
  <c r="M218" i="7"/>
  <c r="Q217" i="7"/>
  <c r="O217" i="7"/>
  <c r="N217" i="7"/>
  <c r="M217" i="7"/>
  <c r="Q216" i="7"/>
  <c r="N216" i="7"/>
  <c r="M216" i="7"/>
  <c r="Q215" i="7"/>
  <c r="N215" i="7"/>
  <c r="M215" i="7"/>
  <c r="Q214" i="7"/>
  <c r="N214" i="7"/>
  <c r="M214" i="7"/>
  <c r="Q213" i="7"/>
  <c r="N213" i="7"/>
  <c r="M213" i="7"/>
  <c r="Q212" i="7"/>
  <c r="N212" i="7"/>
  <c r="M212" i="7"/>
  <c r="Q211" i="7"/>
  <c r="N211" i="7"/>
  <c r="M211" i="7"/>
  <c r="Q210" i="7"/>
  <c r="N210" i="7"/>
  <c r="M210" i="7"/>
  <c r="Q209" i="7"/>
  <c r="N209" i="7"/>
  <c r="M209" i="7"/>
  <c r="Q208" i="7"/>
  <c r="N208" i="7"/>
  <c r="M208" i="7"/>
  <c r="Q207" i="7"/>
  <c r="N207" i="7"/>
  <c r="M207" i="7"/>
  <c r="Q206" i="7"/>
  <c r="N206" i="7"/>
  <c r="M206" i="7"/>
  <c r="Q205" i="7"/>
  <c r="N205" i="7"/>
  <c r="M205" i="7"/>
  <c r="Q202" i="7"/>
  <c r="O202" i="7"/>
  <c r="T202" i="7" s="1"/>
  <c r="V202" i="7" s="1"/>
  <c r="N202" i="7"/>
  <c r="M202" i="7"/>
  <c r="A202" i="7"/>
  <c r="Q201" i="7"/>
  <c r="O201" i="7"/>
  <c r="T201" i="7" s="1"/>
  <c r="U201" i="7" s="1"/>
  <c r="N201" i="7"/>
  <c r="M201" i="7"/>
  <c r="A201" i="7"/>
  <c r="Q200" i="7"/>
  <c r="N200" i="7"/>
  <c r="M200" i="7"/>
  <c r="Q199" i="7"/>
  <c r="O199" i="7"/>
  <c r="N199" i="7"/>
  <c r="M199" i="7"/>
  <c r="Q198" i="7"/>
  <c r="N198" i="7"/>
  <c r="M198" i="7"/>
  <c r="Q197" i="7"/>
  <c r="N197" i="7"/>
  <c r="M197" i="7"/>
  <c r="Q196" i="7"/>
  <c r="N196" i="7"/>
  <c r="M196" i="7"/>
  <c r="Q184" i="7"/>
  <c r="O184" i="7"/>
  <c r="N184" i="7"/>
  <c r="M184" i="7"/>
  <c r="A184" i="7"/>
  <c r="Q183" i="7"/>
  <c r="O183" i="7"/>
  <c r="T183" i="7" s="1"/>
  <c r="N183" i="7"/>
  <c r="M183" i="7"/>
  <c r="A183" i="7"/>
  <c r="Q182" i="7"/>
  <c r="O182" i="7"/>
  <c r="P182" i="7" s="1"/>
  <c r="N182" i="7"/>
  <c r="M182" i="7"/>
  <c r="Q181" i="7"/>
  <c r="N181" i="7"/>
  <c r="M181" i="7"/>
  <c r="Q180" i="7"/>
  <c r="O180" i="7"/>
  <c r="N180" i="7"/>
  <c r="M180" i="7"/>
  <c r="Q179" i="7"/>
  <c r="N179" i="7"/>
  <c r="M179" i="7"/>
  <c r="Q178" i="7"/>
  <c r="N178" i="7"/>
  <c r="M178" i="7"/>
  <c r="Q177" i="7"/>
  <c r="N177" i="7"/>
  <c r="M177" i="7"/>
  <c r="Q176" i="7"/>
  <c r="N176" i="7"/>
  <c r="M176" i="7"/>
  <c r="Q173" i="7"/>
  <c r="O173" i="7"/>
  <c r="T173" i="7" s="1"/>
  <c r="N173" i="7"/>
  <c r="M173" i="7"/>
  <c r="A173" i="7"/>
  <c r="Q172" i="7"/>
  <c r="O172" i="7"/>
  <c r="T172" i="7" s="1"/>
  <c r="V172" i="7" s="1"/>
  <c r="N172" i="7"/>
  <c r="M172" i="7"/>
  <c r="A172" i="7"/>
  <c r="Q171" i="7"/>
  <c r="O171" i="7"/>
  <c r="N171" i="7"/>
  <c r="M171" i="7"/>
  <c r="Q170" i="7"/>
  <c r="O170" i="7"/>
  <c r="N170" i="7"/>
  <c r="M170" i="7"/>
  <c r="Q169" i="7"/>
  <c r="O169" i="7"/>
  <c r="T169" i="7" s="1"/>
  <c r="N169" i="7"/>
  <c r="M169" i="7"/>
  <c r="Q168" i="7"/>
  <c r="N168" i="7"/>
  <c r="M168" i="7"/>
  <c r="Q167" i="7"/>
  <c r="N167" i="7"/>
  <c r="M167" i="7"/>
  <c r="Q166" i="7"/>
  <c r="N166" i="7"/>
  <c r="M166" i="7"/>
  <c r="Q165" i="7"/>
  <c r="N165" i="7"/>
  <c r="M165" i="7"/>
  <c r="Q164" i="7"/>
  <c r="N164" i="7"/>
  <c r="M164" i="7"/>
  <c r="Q163" i="7"/>
  <c r="N163" i="7"/>
  <c r="M163" i="7"/>
  <c r="Q160" i="7"/>
  <c r="O160" i="7"/>
  <c r="T160" i="7" s="1"/>
  <c r="N160" i="7"/>
  <c r="M160" i="7"/>
  <c r="A160" i="7"/>
  <c r="Q159" i="7"/>
  <c r="O159" i="7"/>
  <c r="T159" i="7" s="1"/>
  <c r="N159" i="7"/>
  <c r="M159" i="7"/>
  <c r="A159" i="7"/>
  <c r="Q158" i="7"/>
  <c r="O158" i="7"/>
  <c r="N158" i="7"/>
  <c r="M158" i="7"/>
  <c r="Q157" i="7"/>
  <c r="O157" i="7"/>
  <c r="T157" i="7" s="1"/>
  <c r="N157" i="7"/>
  <c r="M157" i="7"/>
  <c r="Q156" i="7"/>
  <c r="O156" i="7"/>
  <c r="P156" i="7" s="1"/>
  <c r="N156" i="7"/>
  <c r="M156" i="7"/>
  <c r="Q155" i="7"/>
  <c r="N155" i="7"/>
  <c r="M155" i="7"/>
  <c r="Q154" i="7"/>
  <c r="N154" i="7"/>
  <c r="M154" i="7"/>
  <c r="Q153" i="7"/>
  <c r="N153" i="7"/>
  <c r="M153" i="7"/>
  <c r="Q152" i="7"/>
  <c r="N152" i="7"/>
  <c r="M152" i="7"/>
  <c r="Q151" i="7"/>
  <c r="N151" i="7"/>
  <c r="M151" i="7"/>
  <c r="Q150" i="7"/>
  <c r="N150" i="7"/>
  <c r="M150" i="7"/>
  <c r="Q147" i="7"/>
  <c r="O147" i="7"/>
  <c r="T147" i="7" s="1"/>
  <c r="U147" i="7" s="1"/>
  <c r="N147" i="7"/>
  <c r="M147" i="7"/>
  <c r="A147" i="7"/>
  <c r="Q146" i="7"/>
  <c r="O146" i="7"/>
  <c r="T146" i="7" s="1"/>
  <c r="N146" i="7"/>
  <c r="M146" i="7"/>
  <c r="A146" i="7"/>
  <c r="Q145" i="7"/>
  <c r="O145" i="7"/>
  <c r="P145" i="7" s="1"/>
  <c r="N145" i="7"/>
  <c r="M145" i="7"/>
  <c r="Q144" i="7"/>
  <c r="O144" i="7"/>
  <c r="P144" i="7" s="1"/>
  <c r="N144" i="7"/>
  <c r="M144" i="7"/>
  <c r="Q143" i="7"/>
  <c r="O143" i="7"/>
  <c r="T143" i="7" s="1"/>
  <c r="V143" i="7" s="1"/>
  <c r="N143" i="7"/>
  <c r="M143" i="7"/>
  <c r="Q142" i="7"/>
  <c r="N142" i="7"/>
  <c r="M142" i="7"/>
  <c r="Q141" i="7"/>
  <c r="N141" i="7"/>
  <c r="M141" i="7"/>
  <c r="Q140" i="7"/>
  <c r="N140" i="7"/>
  <c r="M140" i="7"/>
  <c r="Q139" i="7"/>
  <c r="N139" i="7"/>
  <c r="M139" i="7"/>
  <c r="Q138" i="7"/>
  <c r="N138" i="7"/>
  <c r="M138" i="7"/>
  <c r="Q137" i="7"/>
  <c r="N137" i="7"/>
  <c r="M137" i="7"/>
  <c r="Q121" i="7"/>
  <c r="O121" i="7"/>
  <c r="N121" i="7"/>
  <c r="M121" i="7"/>
  <c r="A121" i="7"/>
  <c r="Q120" i="7"/>
  <c r="O120" i="7"/>
  <c r="T120" i="7" s="1"/>
  <c r="N120" i="7"/>
  <c r="M120" i="7"/>
  <c r="A120" i="7"/>
  <c r="Q119" i="7"/>
  <c r="O119" i="7"/>
  <c r="N119" i="7"/>
  <c r="M119" i="7"/>
  <c r="Q118" i="7"/>
  <c r="O118" i="7"/>
  <c r="T118" i="7" s="1"/>
  <c r="N118" i="7"/>
  <c r="M118" i="7"/>
  <c r="Q117" i="7"/>
  <c r="O117" i="7"/>
  <c r="N117" i="7"/>
  <c r="M117" i="7"/>
  <c r="Q116" i="7"/>
  <c r="N116" i="7"/>
  <c r="M116" i="7"/>
  <c r="Q115" i="7"/>
  <c r="N115" i="7"/>
  <c r="M115" i="7"/>
  <c r="Q114" i="7"/>
  <c r="N114" i="7"/>
  <c r="M114" i="7"/>
  <c r="Q113" i="7"/>
  <c r="N113" i="7"/>
  <c r="M113" i="7"/>
  <c r="Q112" i="7"/>
  <c r="N112" i="7"/>
  <c r="M112" i="7"/>
  <c r="Q111" i="7"/>
  <c r="N111" i="7"/>
  <c r="M111" i="7"/>
  <c r="Q110" i="7"/>
  <c r="N110" i="7"/>
  <c r="M110" i="7"/>
  <c r="Q109" i="7"/>
  <c r="N109" i="7"/>
  <c r="M109" i="7"/>
  <c r="Q106" i="7"/>
  <c r="O106" i="7"/>
  <c r="N106" i="7"/>
  <c r="M106" i="7"/>
  <c r="A106" i="7"/>
  <c r="Q105" i="7"/>
  <c r="O105" i="7"/>
  <c r="T105" i="7" s="1"/>
  <c r="N105" i="7"/>
  <c r="M105" i="7"/>
  <c r="A105" i="7"/>
  <c r="Q104" i="7"/>
  <c r="O104" i="7"/>
  <c r="P104" i="7" s="1"/>
  <c r="N104" i="7"/>
  <c r="M104" i="7"/>
  <c r="Q103" i="7"/>
  <c r="O103" i="7"/>
  <c r="N103" i="7"/>
  <c r="M103" i="7"/>
  <c r="Q102" i="7"/>
  <c r="O102" i="7"/>
  <c r="T102" i="7" s="1"/>
  <c r="U102" i="7" s="1"/>
  <c r="N102" i="7"/>
  <c r="M102" i="7"/>
  <c r="Q101" i="7"/>
  <c r="N101" i="7"/>
  <c r="M101" i="7"/>
  <c r="Q100" i="7"/>
  <c r="N100" i="7"/>
  <c r="M100" i="7"/>
  <c r="Q99" i="7"/>
  <c r="N99" i="7"/>
  <c r="M99" i="7"/>
  <c r="Q98" i="7"/>
  <c r="N98" i="7"/>
  <c r="M98" i="7"/>
  <c r="Q97" i="7"/>
  <c r="N97" i="7"/>
  <c r="M97" i="7"/>
  <c r="Q96" i="7"/>
  <c r="N96" i="7"/>
  <c r="M96" i="7"/>
  <c r="Q95" i="7"/>
  <c r="N95" i="7"/>
  <c r="M95" i="7"/>
  <c r="Q94" i="7"/>
  <c r="N94" i="7"/>
  <c r="M94" i="7"/>
  <c r="Q91" i="7"/>
  <c r="O91" i="7"/>
  <c r="T91" i="7" s="1"/>
  <c r="N91" i="7"/>
  <c r="M91" i="7"/>
  <c r="A91" i="7"/>
  <c r="Q90" i="7"/>
  <c r="O90" i="7"/>
  <c r="T90" i="7" s="1"/>
  <c r="V90" i="7" s="1"/>
  <c r="N90" i="7"/>
  <c r="M90" i="7"/>
  <c r="A90" i="7"/>
  <c r="Q89" i="7"/>
  <c r="O89" i="7"/>
  <c r="N89" i="7"/>
  <c r="M89" i="7"/>
  <c r="Q88" i="7"/>
  <c r="O88" i="7"/>
  <c r="N88" i="7"/>
  <c r="M88" i="7"/>
  <c r="Q87" i="7"/>
  <c r="O87" i="7"/>
  <c r="T87" i="7" s="1"/>
  <c r="N87" i="7"/>
  <c r="M87" i="7"/>
  <c r="Q86" i="7"/>
  <c r="N86" i="7"/>
  <c r="M86" i="7"/>
  <c r="Q85" i="7"/>
  <c r="N85" i="7"/>
  <c r="M85" i="7"/>
  <c r="Q84" i="7"/>
  <c r="N84" i="7"/>
  <c r="M84" i="7"/>
  <c r="Q83" i="7"/>
  <c r="N83" i="7"/>
  <c r="M83" i="7"/>
  <c r="Q82" i="7"/>
  <c r="N82" i="7"/>
  <c r="M82" i="7"/>
  <c r="Q81" i="7"/>
  <c r="N81" i="7"/>
  <c r="M81" i="7"/>
  <c r="Q80" i="7"/>
  <c r="N80" i="7"/>
  <c r="M80" i="7"/>
  <c r="Q79" i="7"/>
  <c r="N79" i="7"/>
  <c r="M79" i="7"/>
  <c r="Q76" i="7"/>
  <c r="O76" i="7"/>
  <c r="T76" i="7" s="1"/>
  <c r="N76" i="7"/>
  <c r="M76" i="7"/>
  <c r="A76" i="7"/>
  <c r="Q75" i="7"/>
  <c r="O75" i="7"/>
  <c r="N75" i="7"/>
  <c r="M75" i="7"/>
  <c r="A75" i="7"/>
  <c r="Q74" i="7"/>
  <c r="O74" i="7"/>
  <c r="N74" i="7"/>
  <c r="M74" i="7"/>
  <c r="Q73" i="7"/>
  <c r="O73" i="7"/>
  <c r="N73" i="7"/>
  <c r="M73" i="7"/>
  <c r="Q72" i="7"/>
  <c r="O72" i="7"/>
  <c r="N72" i="7"/>
  <c r="M72" i="7"/>
  <c r="Q71" i="7"/>
  <c r="O71" i="7"/>
  <c r="N71" i="7"/>
  <c r="M71" i="7"/>
  <c r="Q70" i="7"/>
  <c r="N70" i="7"/>
  <c r="M70" i="7"/>
  <c r="Q69" i="7"/>
  <c r="N69" i="7"/>
  <c r="M69" i="7"/>
  <c r="Q68" i="7"/>
  <c r="N68" i="7"/>
  <c r="M68" i="7"/>
  <c r="Q67" i="7"/>
  <c r="N67" i="7"/>
  <c r="M67" i="7"/>
  <c r="Q66" i="7"/>
  <c r="N66" i="7"/>
  <c r="M66" i="7"/>
  <c r="Q65" i="7"/>
  <c r="N65" i="7"/>
  <c r="M65" i="7"/>
  <c r="Q62" i="7"/>
  <c r="O62" i="7"/>
  <c r="T62" i="7" s="1"/>
  <c r="N62" i="7"/>
  <c r="M62" i="7"/>
  <c r="A62" i="7"/>
  <c r="Q61" i="7"/>
  <c r="O61" i="7"/>
  <c r="T61" i="7" s="1"/>
  <c r="N61" i="7"/>
  <c r="M61" i="7"/>
  <c r="A61" i="7"/>
  <c r="Q60" i="7"/>
  <c r="O60" i="7"/>
  <c r="T60" i="7" s="1"/>
  <c r="N60" i="7"/>
  <c r="M60" i="7"/>
  <c r="Q59" i="7"/>
  <c r="O59" i="7"/>
  <c r="P59" i="7" s="1"/>
  <c r="N59" i="7"/>
  <c r="M59" i="7"/>
  <c r="Q58" i="7"/>
  <c r="O58" i="7"/>
  <c r="T58" i="7" s="1"/>
  <c r="U58" i="7" s="1"/>
  <c r="N58" i="7"/>
  <c r="M58" i="7"/>
  <c r="Q57" i="7"/>
  <c r="O57" i="7"/>
  <c r="N57" i="7"/>
  <c r="M57" i="7"/>
  <c r="Q56" i="7"/>
  <c r="N56" i="7"/>
  <c r="M56" i="7"/>
  <c r="Q55" i="7"/>
  <c r="N55" i="7"/>
  <c r="M55" i="7"/>
  <c r="Q54" i="7"/>
  <c r="N54" i="7"/>
  <c r="M54" i="7"/>
  <c r="Q53" i="7"/>
  <c r="N53" i="7"/>
  <c r="M53" i="7"/>
  <c r="Q52" i="7"/>
  <c r="N52" i="7"/>
  <c r="M52" i="7"/>
  <c r="Q51" i="7"/>
  <c r="N51" i="7"/>
  <c r="M51" i="7"/>
  <c r="Q48" i="7"/>
  <c r="O48" i="7"/>
  <c r="T48" i="7" s="1"/>
  <c r="V48" i="7" s="1"/>
  <c r="N48" i="7"/>
  <c r="M48" i="7"/>
  <c r="A48" i="7"/>
  <c r="Q47" i="7"/>
  <c r="O47" i="7"/>
  <c r="T47" i="7" s="1"/>
  <c r="N47" i="7"/>
  <c r="M47" i="7"/>
  <c r="A47" i="7"/>
  <c r="Q46" i="7"/>
  <c r="O46" i="7"/>
  <c r="T46" i="7" s="1"/>
  <c r="N46" i="7"/>
  <c r="M46" i="7"/>
  <c r="Q45" i="7"/>
  <c r="O45" i="7"/>
  <c r="P45" i="7" s="1"/>
  <c r="N45" i="7"/>
  <c r="M45" i="7"/>
  <c r="Q44" i="7"/>
  <c r="O44" i="7"/>
  <c r="T44" i="7" s="1"/>
  <c r="V44" i="7" s="1"/>
  <c r="N44" i="7"/>
  <c r="M44" i="7"/>
  <c r="Q43" i="7"/>
  <c r="N43" i="7"/>
  <c r="M43" i="7"/>
  <c r="Q42" i="7"/>
  <c r="N42" i="7"/>
  <c r="M42" i="7"/>
  <c r="Q41" i="7"/>
  <c r="N41" i="7"/>
  <c r="M41" i="7"/>
  <c r="Q40" i="7"/>
  <c r="N40" i="7"/>
  <c r="M40" i="7"/>
  <c r="Q39" i="7"/>
  <c r="N39" i="7"/>
  <c r="M39" i="7"/>
  <c r="Q38" i="7"/>
  <c r="N38" i="7"/>
  <c r="M38" i="7"/>
  <c r="Q37" i="7"/>
  <c r="N37" i="7"/>
  <c r="M37" i="7"/>
  <c r="Q34" i="7"/>
  <c r="O34" i="7"/>
  <c r="T34" i="7" s="1"/>
  <c r="N34" i="7"/>
  <c r="M34" i="7"/>
  <c r="A34" i="7"/>
  <c r="Q33" i="7"/>
  <c r="O33" i="7"/>
  <c r="T33" i="7" s="1"/>
  <c r="U33" i="7" s="1"/>
  <c r="N33" i="7"/>
  <c r="M33" i="7"/>
  <c r="A33" i="7"/>
  <c r="Q32" i="7"/>
  <c r="O32" i="7"/>
  <c r="N32" i="7"/>
  <c r="M32" i="7"/>
  <c r="Q31" i="7"/>
  <c r="O31" i="7"/>
  <c r="P31" i="7" s="1"/>
  <c r="N31" i="7"/>
  <c r="M31" i="7"/>
  <c r="Q30" i="7"/>
  <c r="O30" i="7"/>
  <c r="P30" i="7" s="1"/>
  <c r="N30" i="7"/>
  <c r="M30" i="7"/>
  <c r="Q29" i="7"/>
  <c r="N29" i="7"/>
  <c r="M29" i="7"/>
  <c r="Q28" i="7"/>
  <c r="N28" i="7"/>
  <c r="M28" i="7"/>
  <c r="Q27" i="7"/>
  <c r="N27" i="7"/>
  <c r="M27" i="7"/>
  <c r="Q26" i="7"/>
  <c r="N26" i="7"/>
  <c r="M26" i="7"/>
  <c r="Q25" i="7"/>
  <c r="N25" i="7"/>
  <c r="M25" i="7"/>
  <c r="Q24" i="7"/>
  <c r="N24" i="7"/>
  <c r="M24" i="7"/>
  <c r="Q23" i="7"/>
  <c r="N23" i="7"/>
  <c r="M23" i="7"/>
  <c r="Q20" i="7"/>
  <c r="O20" i="7"/>
  <c r="N20" i="7"/>
  <c r="M20" i="7"/>
  <c r="A20" i="7"/>
  <c r="Q19" i="7"/>
  <c r="O19" i="7"/>
  <c r="T19" i="7" s="1"/>
  <c r="U19" i="7" s="1"/>
  <c r="N19" i="7"/>
  <c r="M19" i="7"/>
  <c r="A19" i="7"/>
  <c r="Q18" i="7"/>
  <c r="O18" i="7"/>
  <c r="N18" i="7"/>
  <c r="M18" i="7"/>
  <c r="Q17" i="7"/>
  <c r="O17" i="7"/>
  <c r="N17" i="7"/>
  <c r="M17" i="7"/>
  <c r="Q16" i="7"/>
  <c r="O16" i="7"/>
  <c r="P16" i="7" s="1"/>
  <c r="N16" i="7"/>
  <c r="M16" i="7"/>
  <c r="Q15" i="7"/>
  <c r="N15" i="7"/>
  <c r="M15" i="7"/>
  <c r="Q14" i="7"/>
  <c r="N14" i="7"/>
  <c r="M14" i="7"/>
  <c r="Q13" i="7"/>
  <c r="N13" i="7"/>
  <c r="M13" i="7"/>
  <c r="Q12" i="7"/>
  <c r="N12" i="7"/>
  <c r="M12" i="7"/>
  <c r="Q11" i="7"/>
  <c r="O11" i="7"/>
  <c r="N11" i="7"/>
  <c r="M11" i="7"/>
  <c r="Q10" i="7"/>
  <c r="N10" i="7"/>
  <c r="M10" i="7"/>
  <c r="Q9" i="7"/>
  <c r="N9" i="7"/>
  <c r="M9" i="7"/>
  <c r="Q8" i="7"/>
  <c r="N8" i="7"/>
  <c r="M8" i="7"/>
  <c r="Q7" i="7"/>
  <c r="N7" i="7"/>
  <c r="M7" i="7"/>
  <c r="Q6" i="7"/>
  <c r="N6" i="7"/>
  <c r="M6" i="7"/>
  <c r="Q5" i="7"/>
  <c r="N5" i="7"/>
  <c r="M5" i="7"/>
  <c r="Q4" i="7"/>
  <c r="N4" i="7"/>
  <c r="M4" i="7"/>
  <c r="Q3" i="7"/>
  <c r="N3" i="7"/>
  <c r="M3" i="7"/>
  <c r="Q642" i="2"/>
  <c r="N642" i="2"/>
  <c r="N643" i="2" s="1"/>
  <c r="M642" i="2"/>
  <c r="M643" i="2" s="1"/>
  <c r="Q639" i="2"/>
  <c r="N639" i="2"/>
  <c r="N640" i="2" s="1"/>
  <c r="M639" i="2"/>
  <c r="M640" i="2" s="1"/>
  <c r="Q636" i="2"/>
  <c r="N636" i="2"/>
  <c r="N637" i="2" s="1"/>
  <c r="M636" i="2"/>
  <c r="M637" i="2" s="1"/>
  <c r="Q633" i="2"/>
  <c r="N633" i="2"/>
  <c r="N634" i="2" s="1"/>
  <c r="M633" i="2"/>
  <c r="M634" i="2" s="1"/>
  <c r="Q630" i="2"/>
  <c r="N630" i="2"/>
  <c r="N631" i="2" s="1"/>
  <c r="M630" i="2"/>
  <c r="Q627" i="2"/>
  <c r="N627" i="2"/>
  <c r="M627" i="2"/>
  <c r="Q624" i="2"/>
  <c r="O624" i="2"/>
  <c r="P624" i="2" s="1"/>
  <c r="N624" i="2"/>
  <c r="M624" i="2"/>
  <c r="Q623" i="2"/>
  <c r="O623" i="2"/>
  <c r="P623" i="2" s="1"/>
  <c r="N623" i="2"/>
  <c r="M623" i="2"/>
  <c r="Q622" i="2"/>
  <c r="O622" i="2"/>
  <c r="T622" i="2" s="1"/>
  <c r="V622" i="2" s="1"/>
  <c r="N622" i="2"/>
  <c r="M622" i="2"/>
  <c r="Q621" i="2"/>
  <c r="N621" i="2"/>
  <c r="M621" i="2"/>
  <c r="Q620" i="2"/>
  <c r="N620" i="2"/>
  <c r="M620" i="2"/>
  <c r="Q619" i="2"/>
  <c r="N619" i="2"/>
  <c r="M619" i="2"/>
  <c r="Q618" i="2"/>
  <c r="N618" i="2"/>
  <c r="M618" i="2"/>
  <c r="Q617" i="2"/>
  <c r="N617" i="2"/>
  <c r="M617" i="2"/>
  <c r="Q616" i="2"/>
  <c r="N616" i="2"/>
  <c r="M616" i="2"/>
  <c r="Q555" i="2"/>
  <c r="O555" i="2"/>
  <c r="P555" i="2" s="1"/>
  <c r="N555" i="2"/>
  <c r="M555" i="2"/>
  <c r="Q554" i="2"/>
  <c r="O554" i="2"/>
  <c r="P554" i="2" s="1"/>
  <c r="N554" i="2"/>
  <c r="M554" i="2"/>
  <c r="Q553" i="2"/>
  <c r="O553" i="2"/>
  <c r="N553" i="2"/>
  <c r="M553" i="2"/>
  <c r="Q552" i="2"/>
  <c r="O552" i="2"/>
  <c r="N552" i="2"/>
  <c r="M552" i="2"/>
  <c r="Q551" i="2"/>
  <c r="O551" i="2"/>
  <c r="P551" i="2" s="1"/>
  <c r="N551" i="2"/>
  <c r="M551" i="2"/>
  <c r="Q550" i="2"/>
  <c r="N550" i="2"/>
  <c r="M550" i="2"/>
  <c r="Q549" i="2"/>
  <c r="N549" i="2"/>
  <c r="M549" i="2"/>
  <c r="Q548" i="2"/>
  <c r="N548" i="2"/>
  <c r="M548" i="2"/>
  <c r="Q547" i="2"/>
  <c r="N547" i="2"/>
  <c r="M547" i="2"/>
  <c r="Q546" i="2"/>
  <c r="N546" i="2"/>
  <c r="M546" i="2"/>
  <c r="Q545" i="2"/>
  <c r="N545" i="2"/>
  <c r="M545" i="2"/>
  <c r="Q544" i="2"/>
  <c r="N544" i="2"/>
  <c r="M544" i="2"/>
  <c r="Q543" i="2"/>
  <c r="N543" i="2"/>
  <c r="M543" i="2"/>
  <c r="Q542" i="2"/>
  <c r="N542" i="2"/>
  <c r="M542" i="2"/>
  <c r="Q541" i="2"/>
  <c r="N541" i="2"/>
  <c r="M541" i="2"/>
  <c r="Q540" i="2"/>
  <c r="N540" i="2"/>
  <c r="M540" i="2"/>
  <c r="Q539" i="2"/>
  <c r="N539" i="2"/>
  <c r="M539" i="2"/>
  <c r="Q538" i="2"/>
  <c r="O538" i="2"/>
  <c r="N538" i="2"/>
  <c r="M538" i="2"/>
  <c r="Q537" i="2"/>
  <c r="N537" i="2"/>
  <c r="M537" i="2"/>
  <c r="Q536" i="2"/>
  <c r="N536" i="2"/>
  <c r="M536" i="2"/>
  <c r="Q533" i="2"/>
  <c r="O533" i="2"/>
  <c r="P533" i="2" s="1"/>
  <c r="N533" i="2"/>
  <c r="M533" i="2"/>
  <c r="Q532" i="2"/>
  <c r="O532" i="2"/>
  <c r="N532" i="2"/>
  <c r="M532" i="2"/>
  <c r="Q531" i="2"/>
  <c r="O531" i="2"/>
  <c r="T531" i="2" s="1"/>
  <c r="V531" i="2" s="1"/>
  <c r="N531" i="2"/>
  <c r="M531" i="2"/>
  <c r="Q530" i="2"/>
  <c r="O530" i="2"/>
  <c r="P530" i="2" s="1"/>
  <c r="N530" i="2"/>
  <c r="M530" i="2"/>
  <c r="Q529" i="2"/>
  <c r="O529" i="2"/>
  <c r="P529" i="2" s="1"/>
  <c r="N529" i="2"/>
  <c r="M529" i="2"/>
  <c r="Q528" i="2"/>
  <c r="N528" i="2"/>
  <c r="M528" i="2"/>
  <c r="Q527" i="2"/>
  <c r="N527" i="2"/>
  <c r="M527" i="2"/>
  <c r="Q526" i="2"/>
  <c r="O526" i="2"/>
  <c r="N526" i="2"/>
  <c r="M526" i="2"/>
  <c r="Q525" i="2"/>
  <c r="N525" i="2"/>
  <c r="M525" i="2"/>
  <c r="Q524" i="2"/>
  <c r="N524" i="2"/>
  <c r="M524" i="2"/>
  <c r="Q523" i="2"/>
  <c r="N523" i="2"/>
  <c r="M523" i="2"/>
  <c r="Q522" i="2"/>
  <c r="N522" i="2"/>
  <c r="M522" i="2"/>
  <c r="Q521" i="2"/>
  <c r="O521" i="2"/>
  <c r="N521" i="2"/>
  <c r="M521" i="2"/>
  <c r="Q520" i="2"/>
  <c r="N520" i="2"/>
  <c r="M520" i="2"/>
  <c r="Q519" i="2"/>
  <c r="N519" i="2"/>
  <c r="M519" i="2"/>
  <c r="Q518" i="2"/>
  <c r="N518" i="2"/>
  <c r="M518" i="2"/>
  <c r="Q517" i="2"/>
  <c r="N517" i="2"/>
  <c r="M517" i="2"/>
  <c r="Q516" i="2"/>
  <c r="N516" i="2"/>
  <c r="M516" i="2"/>
  <c r="Q513" i="2"/>
  <c r="O513" i="2"/>
  <c r="T513" i="2" s="1"/>
  <c r="V513" i="2" s="1"/>
  <c r="N513" i="2"/>
  <c r="M513" i="2"/>
  <c r="Q512" i="2"/>
  <c r="O512" i="2"/>
  <c r="N512" i="2"/>
  <c r="M512" i="2"/>
  <c r="Q511" i="2"/>
  <c r="O511" i="2"/>
  <c r="P511" i="2" s="1"/>
  <c r="N511" i="2"/>
  <c r="M511" i="2"/>
  <c r="Q510" i="2"/>
  <c r="O510" i="2"/>
  <c r="T510" i="2" s="1"/>
  <c r="V510" i="2" s="1"/>
  <c r="N510" i="2"/>
  <c r="M510" i="2"/>
  <c r="Q509" i="2"/>
  <c r="O509" i="2"/>
  <c r="N509" i="2"/>
  <c r="M509" i="2"/>
  <c r="Q508" i="2"/>
  <c r="N508" i="2"/>
  <c r="M508" i="2"/>
  <c r="Q507" i="2"/>
  <c r="N507" i="2"/>
  <c r="M507" i="2"/>
  <c r="Q506" i="2"/>
  <c r="N506" i="2"/>
  <c r="M506" i="2"/>
  <c r="Q505" i="2"/>
  <c r="N505" i="2"/>
  <c r="M505" i="2"/>
  <c r="Q504" i="2"/>
  <c r="N504" i="2"/>
  <c r="M504" i="2"/>
  <c r="Q503" i="2"/>
  <c r="N503" i="2"/>
  <c r="M503" i="2"/>
  <c r="Q502" i="2"/>
  <c r="N502" i="2"/>
  <c r="M502" i="2"/>
  <c r="Q501" i="2"/>
  <c r="N501" i="2"/>
  <c r="M501" i="2"/>
  <c r="Q498" i="2"/>
  <c r="O498" i="2"/>
  <c r="T498" i="2" s="1"/>
  <c r="N498" i="2"/>
  <c r="M498" i="2"/>
  <c r="Q497" i="2"/>
  <c r="O497" i="2"/>
  <c r="P497" i="2" s="1"/>
  <c r="N497" i="2"/>
  <c r="M497" i="2"/>
  <c r="Q496" i="2"/>
  <c r="O496" i="2"/>
  <c r="P496" i="2" s="1"/>
  <c r="N496" i="2"/>
  <c r="M496" i="2"/>
  <c r="Q495" i="2"/>
  <c r="O495" i="2"/>
  <c r="T495" i="2" s="1"/>
  <c r="N495" i="2"/>
  <c r="M495" i="2"/>
  <c r="Q494" i="2"/>
  <c r="O494" i="2"/>
  <c r="T494" i="2" s="1"/>
  <c r="V494" i="2" s="1"/>
  <c r="N494" i="2"/>
  <c r="M494" i="2"/>
  <c r="Q493" i="2"/>
  <c r="O493" i="2"/>
  <c r="N493" i="2"/>
  <c r="M493" i="2"/>
  <c r="Q492" i="2"/>
  <c r="O492" i="2"/>
  <c r="T492" i="2" s="1"/>
  <c r="U492" i="2" s="1"/>
  <c r="N492" i="2"/>
  <c r="M492" i="2"/>
  <c r="Q491" i="2"/>
  <c r="N491" i="2"/>
  <c r="M491" i="2"/>
  <c r="Q490" i="2"/>
  <c r="N490" i="2"/>
  <c r="M490" i="2"/>
  <c r="Q489" i="2"/>
  <c r="N489" i="2"/>
  <c r="M489" i="2"/>
  <c r="Q488" i="2"/>
  <c r="N488" i="2"/>
  <c r="M488" i="2"/>
  <c r="Q487" i="2"/>
  <c r="N487" i="2"/>
  <c r="M487" i="2"/>
  <c r="Q486" i="2"/>
  <c r="N486" i="2"/>
  <c r="M486" i="2"/>
  <c r="Q485" i="2"/>
  <c r="N485" i="2"/>
  <c r="M485" i="2"/>
  <c r="Q482" i="2"/>
  <c r="O482" i="2"/>
  <c r="N482" i="2"/>
  <c r="M482" i="2"/>
  <c r="Q481" i="2"/>
  <c r="O481" i="2"/>
  <c r="T481" i="2" s="1"/>
  <c r="N481" i="2"/>
  <c r="M481" i="2"/>
  <c r="Q480" i="2"/>
  <c r="O480" i="2"/>
  <c r="P480" i="2" s="1"/>
  <c r="N480" i="2"/>
  <c r="M480" i="2"/>
  <c r="Q479" i="2"/>
  <c r="O479" i="2"/>
  <c r="T479" i="2" s="1"/>
  <c r="N479" i="2"/>
  <c r="M479" i="2"/>
  <c r="Q478" i="2"/>
  <c r="O478" i="2"/>
  <c r="T478" i="2" s="1"/>
  <c r="U478" i="2" s="1"/>
  <c r="N478" i="2"/>
  <c r="M478" i="2"/>
  <c r="Q477" i="2"/>
  <c r="O477" i="2"/>
  <c r="N477" i="2"/>
  <c r="M477" i="2"/>
  <c r="Q476" i="2"/>
  <c r="O476" i="2"/>
  <c r="T476" i="2" s="1"/>
  <c r="V476" i="2" s="1"/>
  <c r="N476" i="2"/>
  <c r="M476" i="2"/>
  <c r="Q475" i="2"/>
  <c r="N475" i="2"/>
  <c r="M475" i="2"/>
  <c r="Q474" i="2"/>
  <c r="N474" i="2"/>
  <c r="M474" i="2"/>
  <c r="Q473" i="2"/>
  <c r="N473" i="2"/>
  <c r="M473" i="2"/>
  <c r="Q472" i="2"/>
  <c r="N472" i="2"/>
  <c r="M472" i="2"/>
  <c r="Q471" i="2"/>
  <c r="N471" i="2"/>
  <c r="M471" i="2"/>
  <c r="Q470" i="2"/>
  <c r="N470" i="2"/>
  <c r="M470" i="2"/>
  <c r="Q469" i="2"/>
  <c r="N469" i="2"/>
  <c r="M469" i="2"/>
  <c r="Q466" i="2"/>
  <c r="O466" i="2"/>
  <c r="N466" i="2"/>
  <c r="M466" i="2"/>
  <c r="Q465" i="2"/>
  <c r="O465" i="2"/>
  <c r="N465" i="2"/>
  <c r="M465" i="2"/>
  <c r="Q464" i="2"/>
  <c r="O464" i="2"/>
  <c r="T464" i="2" s="1"/>
  <c r="N464" i="2"/>
  <c r="M464" i="2"/>
  <c r="Q463" i="2"/>
  <c r="O463" i="2"/>
  <c r="N463" i="2"/>
  <c r="M463" i="2"/>
  <c r="Q462" i="2"/>
  <c r="N462" i="2"/>
  <c r="M462" i="2"/>
  <c r="Q461" i="2"/>
  <c r="O461" i="2"/>
  <c r="N461" i="2"/>
  <c r="M461" i="2"/>
  <c r="Q460" i="2"/>
  <c r="N460" i="2"/>
  <c r="M460" i="2"/>
  <c r="Q459" i="2"/>
  <c r="N459" i="2"/>
  <c r="M459" i="2"/>
  <c r="Q458" i="2"/>
  <c r="N458" i="2"/>
  <c r="M458" i="2"/>
  <c r="Q457" i="2"/>
  <c r="N457" i="2"/>
  <c r="M457" i="2"/>
  <c r="Q456" i="2"/>
  <c r="N456" i="2"/>
  <c r="M456" i="2"/>
  <c r="Q453" i="2"/>
  <c r="O453" i="2"/>
  <c r="T453" i="2" s="1"/>
  <c r="N453" i="2"/>
  <c r="M453" i="2"/>
  <c r="Q452" i="2"/>
  <c r="O452" i="2"/>
  <c r="P452" i="2" s="1"/>
  <c r="N452" i="2"/>
  <c r="M452" i="2"/>
  <c r="Q451" i="2"/>
  <c r="O451" i="2"/>
  <c r="N451" i="2"/>
  <c r="M451" i="2"/>
  <c r="Q450" i="2"/>
  <c r="O450" i="2"/>
  <c r="N450" i="2"/>
  <c r="M450" i="2"/>
  <c r="Q449" i="2"/>
  <c r="N449" i="2"/>
  <c r="M449" i="2"/>
  <c r="Q448" i="2"/>
  <c r="N448" i="2"/>
  <c r="M448" i="2"/>
  <c r="Q447" i="2"/>
  <c r="N447" i="2"/>
  <c r="M447" i="2"/>
  <c r="Q446" i="2"/>
  <c r="N446" i="2"/>
  <c r="M446" i="2"/>
  <c r="Q445" i="2"/>
  <c r="N445" i="2"/>
  <c r="M445" i="2"/>
  <c r="Q444" i="2"/>
  <c r="N444" i="2"/>
  <c r="M444" i="2"/>
  <c r="Q443" i="2"/>
  <c r="N443" i="2"/>
  <c r="M443" i="2"/>
  <c r="Q440" i="2"/>
  <c r="O440" i="2"/>
  <c r="T440" i="2" s="1"/>
  <c r="N440" i="2"/>
  <c r="M440" i="2"/>
  <c r="Q439" i="2"/>
  <c r="O439" i="2"/>
  <c r="P439" i="2" s="1"/>
  <c r="N439" i="2"/>
  <c r="M439" i="2"/>
  <c r="Q438" i="2"/>
  <c r="O438" i="2"/>
  <c r="P438" i="2" s="1"/>
  <c r="N438" i="2"/>
  <c r="M438" i="2"/>
  <c r="Q437" i="2"/>
  <c r="O437" i="2"/>
  <c r="N437" i="2"/>
  <c r="M437" i="2"/>
  <c r="Q436" i="2"/>
  <c r="N436" i="2"/>
  <c r="M436" i="2"/>
  <c r="Q435" i="2"/>
  <c r="N435" i="2"/>
  <c r="M435" i="2"/>
  <c r="Q434" i="2"/>
  <c r="N434" i="2"/>
  <c r="M434" i="2"/>
  <c r="Q433" i="2"/>
  <c r="N433" i="2"/>
  <c r="M433" i="2"/>
  <c r="Q432" i="2"/>
  <c r="N432" i="2"/>
  <c r="M432" i="2"/>
  <c r="Q431" i="2"/>
  <c r="N431" i="2"/>
  <c r="M431" i="2"/>
  <c r="Q430" i="2"/>
  <c r="N430" i="2"/>
  <c r="M430" i="2"/>
  <c r="Q427" i="2"/>
  <c r="O427" i="2"/>
  <c r="T427" i="2" s="1"/>
  <c r="U427" i="2" s="1"/>
  <c r="N427" i="2"/>
  <c r="M427" i="2"/>
  <c r="Q426" i="2"/>
  <c r="O426" i="2"/>
  <c r="T426" i="2" s="1"/>
  <c r="N426" i="2"/>
  <c r="M426" i="2"/>
  <c r="Q425" i="2"/>
  <c r="O425" i="2"/>
  <c r="P425" i="2" s="1"/>
  <c r="N425" i="2"/>
  <c r="M425" i="2"/>
  <c r="Q424" i="2"/>
  <c r="O424" i="2"/>
  <c r="T424" i="2" s="1"/>
  <c r="N424" i="2"/>
  <c r="M424" i="2"/>
  <c r="Q423" i="2"/>
  <c r="N423" i="2"/>
  <c r="M423" i="2"/>
  <c r="Q422" i="2"/>
  <c r="N422" i="2"/>
  <c r="M422" i="2"/>
  <c r="Q421" i="2"/>
  <c r="N421" i="2"/>
  <c r="M421" i="2"/>
  <c r="Q420" i="2"/>
  <c r="N420" i="2"/>
  <c r="M420" i="2"/>
  <c r="Q419" i="2"/>
  <c r="N419" i="2"/>
  <c r="M419" i="2"/>
  <c r="Q418" i="2"/>
  <c r="N418" i="2"/>
  <c r="M418" i="2"/>
  <c r="Q415" i="2"/>
  <c r="O415" i="2"/>
  <c r="P415" i="2" s="1"/>
  <c r="N415" i="2"/>
  <c r="M415" i="2"/>
  <c r="Q414" i="2"/>
  <c r="O414" i="2"/>
  <c r="T414" i="2" s="1"/>
  <c r="N414" i="2"/>
  <c r="M414" i="2"/>
  <c r="Q413" i="2"/>
  <c r="O413" i="2"/>
  <c r="T413" i="2" s="1"/>
  <c r="N413" i="2"/>
  <c r="M413" i="2"/>
  <c r="Q412" i="2"/>
  <c r="N412" i="2"/>
  <c r="M412" i="2"/>
  <c r="Q411" i="2"/>
  <c r="N411" i="2"/>
  <c r="M411" i="2"/>
  <c r="Q410" i="2"/>
  <c r="N410" i="2"/>
  <c r="M410" i="2"/>
  <c r="Q409" i="2"/>
  <c r="N409" i="2"/>
  <c r="M409" i="2"/>
  <c r="Q408" i="2"/>
  <c r="N408" i="2"/>
  <c r="M408" i="2"/>
  <c r="Q407" i="2"/>
  <c r="N407" i="2"/>
  <c r="M407" i="2"/>
  <c r="Q404" i="2"/>
  <c r="O404" i="2"/>
  <c r="T404" i="2" s="1"/>
  <c r="N404" i="2"/>
  <c r="M404" i="2"/>
  <c r="Q403" i="2"/>
  <c r="O403" i="2"/>
  <c r="P403" i="2" s="1"/>
  <c r="N403" i="2"/>
  <c r="M403" i="2"/>
  <c r="Q402" i="2"/>
  <c r="N402" i="2"/>
  <c r="M402" i="2"/>
  <c r="Q401" i="2"/>
  <c r="N401" i="2"/>
  <c r="M401" i="2"/>
  <c r="Q400" i="2"/>
  <c r="N400" i="2"/>
  <c r="M400" i="2"/>
  <c r="Q399" i="2"/>
  <c r="N399" i="2"/>
  <c r="M399" i="2"/>
  <c r="Q398" i="2"/>
  <c r="O398" i="2"/>
  <c r="N398" i="2"/>
  <c r="M398" i="2"/>
  <c r="Q397" i="2"/>
  <c r="N397" i="2"/>
  <c r="M397" i="2"/>
  <c r="Q396" i="2"/>
  <c r="N396" i="2"/>
  <c r="M396" i="2"/>
  <c r="Q370" i="2"/>
  <c r="O370" i="2"/>
  <c r="T370" i="2" s="1"/>
  <c r="U370" i="2" s="1"/>
  <c r="N370" i="2"/>
  <c r="M370" i="2"/>
  <c r="Q369" i="2"/>
  <c r="O369" i="2"/>
  <c r="P369" i="2" s="1"/>
  <c r="N369" i="2"/>
  <c r="M369" i="2"/>
  <c r="Q368" i="2"/>
  <c r="O368" i="2"/>
  <c r="T368" i="2" s="1"/>
  <c r="N368" i="2"/>
  <c r="M368" i="2"/>
  <c r="Q367" i="2"/>
  <c r="O367" i="2"/>
  <c r="T367" i="2" s="1"/>
  <c r="N367" i="2"/>
  <c r="M367" i="2"/>
  <c r="Q366" i="2"/>
  <c r="N366" i="2"/>
  <c r="M366" i="2"/>
  <c r="Q365" i="2"/>
  <c r="N365" i="2"/>
  <c r="M365" i="2"/>
  <c r="Q364" i="2"/>
  <c r="N364" i="2"/>
  <c r="M364" i="2"/>
  <c r="Q363" i="2"/>
  <c r="N363" i="2"/>
  <c r="M363" i="2"/>
  <c r="Q362" i="2"/>
  <c r="N362" i="2"/>
  <c r="M362" i="2"/>
  <c r="Q361" i="2"/>
  <c r="N361" i="2"/>
  <c r="M361" i="2"/>
  <c r="Q360" i="2"/>
  <c r="N360" i="2"/>
  <c r="M360" i="2"/>
  <c r="Q359" i="2"/>
  <c r="N359" i="2"/>
  <c r="M359" i="2"/>
  <c r="Q358" i="2"/>
  <c r="N358" i="2"/>
  <c r="M358" i="2"/>
  <c r="Q357" i="2"/>
  <c r="N357" i="2"/>
  <c r="M357" i="2"/>
  <c r="Q356" i="2"/>
  <c r="N356" i="2"/>
  <c r="M356" i="2"/>
  <c r="Q355" i="2"/>
  <c r="N355" i="2"/>
  <c r="M355" i="2"/>
  <c r="Q354" i="2"/>
  <c r="N354" i="2"/>
  <c r="M354" i="2"/>
  <c r="Q351" i="2"/>
  <c r="O351" i="2"/>
  <c r="T351" i="2" s="1"/>
  <c r="N351" i="2"/>
  <c r="M351" i="2"/>
  <c r="Q350" i="2"/>
  <c r="O350" i="2"/>
  <c r="N350" i="2"/>
  <c r="M350" i="2"/>
  <c r="Q349" i="2"/>
  <c r="O349" i="2"/>
  <c r="N349" i="2"/>
  <c r="M349" i="2"/>
  <c r="Q348" i="2"/>
  <c r="O348" i="2"/>
  <c r="P348" i="2" s="1"/>
  <c r="N348" i="2"/>
  <c r="M348" i="2"/>
  <c r="Q347" i="2"/>
  <c r="N347" i="2"/>
  <c r="M347" i="2"/>
  <c r="Q346" i="2"/>
  <c r="N346" i="2"/>
  <c r="M346" i="2"/>
  <c r="Q345" i="2"/>
  <c r="N345" i="2"/>
  <c r="M345" i="2"/>
  <c r="Q344" i="2"/>
  <c r="N344" i="2"/>
  <c r="M344" i="2"/>
  <c r="Q343" i="2"/>
  <c r="N343" i="2"/>
  <c r="M343" i="2"/>
  <c r="Q342" i="2"/>
  <c r="N342" i="2"/>
  <c r="M342" i="2"/>
  <c r="Q341" i="2"/>
  <c r="N341" i="2"/>
  <c r="M341" i="2"/>
  <c r="Q340" i="2"/>
  <c r="N340" i="2"/>
  <c r="M340" i="2"/>
  <c r="Q339" i="2"/>
  <c r="N339" i="2"/>
  <c r="M339" i="2"/>
  <c r="Q338" i="2"/>
  <c r="N338" i="2"/>
  <c r="M338" i="2"/>
  <c r="Q337" i="2"/>
  <c r="N337" i="2"/>
  <c r="M337" i="2"/>
  <c r="Q336" i="2"/>
  <c r="N336" i="2"/>
  <c r="M336" i="2"/>
  <c r="Q335" i="2"/>
  <c r="N335" i="2"/>
  <c r="M335" i="2"/>
  <c r="Q332" i="2"/>
  <c r="O332" i="2"/>
  <c r="T332" i="2" s="1"/>
  <c r="N332" i="2"/>
  <c r="M332" i="2"/>
  <c r="Q331" i="2"/>
  <c r="O331" i="2"/>
  <c r="P331" i="2" s="1"/>
  <c r="N331" i="2"/>
  <c r="M331" i="2"/>
  <c r="Q330" i="2"/>
  <c r="O330" i="2"/>
  <c r="N330" i="2"/>
  <c r="M330" i="2"/>
  <c r="Q329" i="2"/>
  <c r="O329" i="2"/>
  <c r="T329" i="2" s="1"/>
  <c r="N329" i="2"/>
  <c r="M329" i="2"/>
  <c r="Q328" i="2"/>
  <c r="N328" i="2"/>
  <c r="M328" i="2"/>
  <c r="Q327" i="2"/>
  <c r="N327" i="2"/>
  <c r="M327" i="2"/>
  <c r="Q326" i="2"/>
  <c r="N326" i="2"/>
  <c r="M326" i="2"/>
  <c r="Q325" i="2"/>
  <c r="N325" i="2"/>
  <c r="M325" i="2"/>
  <c r="Q324" i="2"/>
  <c r="N324" i="2"/>
  <c r="M324" i="2"/>
  <c r="Q323" i="2"/>
  <c r="N323" i="2"/>
  <c r="M323" i="2"/>
  <c r="Q322" i="2"/>
  <c r="N322" i="2"/>
  <c r="M322" i="2"/>
  <c r="Q321" i="2"/>
  <c r="N321" i="2"/>
  <c r="M321" i="2"/>
  <c r="Q320" i="2"/>
  <c r="N320" i="2"/>
  <c r="M320" i="2"/>
  <c r="Q319" i="2"/>
  <c r="N319" i="2"/>
  <c r="M319" i="2"/>
  <c r="Q318" i="2"/>
  <c r="N318" i="2"/>
  <c r="M318" i="2"/>
  <c r="Q317" i="2"/>
  <c r="N317" i="2"/>
  <c r="M317" i="2"/>
  <c r="Q316" i="2"/>
  <c r="N316" i="2"/>
  <c r="M316" i="2"/>
  <c r="Q313" i="2"/>
  <c r="O313" i="2"/>
  <c r="P313" i="2" s="1"/>
  <c r="N313" i="2"/>
  <c r="M313" i="2"/>
  <c r="Q312" i="2"/>
  <c r="O312" i="2"/>
  <c r="P312" i="2" s="1"/>
  <c r="N312" i="2"/>
  <c r="M312" i="2"/>
  <c r="Q311" i="2"/>
  <c r="O311" i="2"/>
  <c r="N311" i="2"/>
  <c r="M311" i="2"/>
  <c r="Q310" i="2"/>
  <c r="O310" i="2"/>
  <c r="P310" i="2" s="1"/>
  <c r="N310" i="2"/>
  <c r="M310" i="2"/>
  <c r="Q309" i="2"/>
  <c r="O309" i="2"/>
  <c r="T309" i="2" s="1"/>
  <c r="N309" i="2"/>
  <c r="M309" i="2"/>
  <c r="Q308" i="2"/>
  <c r="N308" i="2"/>
  <c r="M308" i="2"/>
  <c r="Q307" i="2"/>
  <c r="N307" i="2"/>
  <c r="M307" i="2"/>
  <c r="Q306" i="2"/>
  <c r="N306" i="2"/>
  <c r="M306" i="2"/>
  <c r="Q305" i="2"/>
  <c r="N305" i="2"/>
  <c r="M305" i="2"/>
  <c r="Q304" i="2"/>
  <c r="N304" i="2"/>
  <c r="M304" i="2"/>
  <c r="Q303" i="2"/>
  <c r="N303" i="2"/>
  <c r="M303" i="2"/>
  <c r="Q302" i="2"/>
  <c r="N302" i="2"/>
  <c r="M302" i="2"/>
  <c r="Q301" i="2"/>
  <c r="N301" i="2"/>
  <c r="M301" i="2"/>
  <c r="Q300" i="2"/>
  <c r="N300" i="2"/>
  <c r="M300" i="2"/>
  <c r="Q297" i="2"/>
  <c r="O297" i="2"/>
  <c r="T297" i="2" s="1"/>
  <c r="N297" i="2"/>
  <c r="M297" i="2"/>
  <c r="Q296" i="2"/>
  <c r="O296" i="2"/>
  <c r="T296" i="2" s="1"/>
  <c r="U296" i="2" s="1"/>
  <c r="N296" i="2"/>
  <c r="M296" i="2"/>
  <c r="Q295" i="2"/>
  <c r="O295" i="2"/>
  <c r="P295" i="2" s="1"/>
  <c r="N295" i="2"/>
  <c r="M295" i="2"/>
  <c r="Q294" i="2"/>
  <c r="O294" i="2"/>
  <c r="N294" i="2"/>
  <c r="M294" i="2"/>
  <c r="Q293" i="2"/>
  <c r="O293" i="2"/>
  <c r="P293" i="2" s="1"/>
  <c r="N293" i="2"/>
  <c r="M293" i="2"/>
  <c r="Q292" i="2"/>
  <c r="N292" i="2"/>
  <c r="M292" i="2"/>
  <c r="Q291" i="2"/>
  <c r="N291" i="2"/>
  <c r="M291" i="2"/>
  <c r="Q290" i="2"/>
  <c r="N290" i="2"/>
  <c r="M290" i="2"/>
  <c r="Q289" i="2"/>
  <c r="N289" i="2"/>
  <c r="M289" i="2"/>
  <c r="Q288" i="2"/>
  <c r="N288" i="2"/>
  <c r="M288" i="2"/>
  <c r="Q287" i="2"/>
  <c r="N287" i="2"/>
  <c r="M287" i="2"/>
  <c r="Q286" i="2"/>
  <c r="N286" i="2"/>
  <c r="M286" i="2"/>
  <c r="Q285" i="2"/>
  <c r="N285" i="2"/>
  <c r="M285" i="2"/>
  <c r="Q284" i="2"/>
  <c r="N284" i="2"/>
  <c r="M284" i="2"/>
  <c r="Q281" i="2"/>
  <c r="O281" i="2"/>
  <c r="N281" i="2"/>
  <c r="M281" i="2"/>
  <c r="Q280" i="2"/>
  <c r="O280" i="2"/>
  <c r="T280" i="2" s="1"/>
  <c r="N280" i="2"/>
  <c r="M280" i="2"/>
  <c r="Q279" i="2"/>
  <c r="O279" i="2"/>
  <c r="P279" i="2" s="1"/>
  <c r="N279" i="2"/>
  <c r="M279" i="2"/>
  <c r="Q278" i="2"/>
  <c r="O278" i="2"/>
  <c r="P278" i="2" s="1"/>
  <c r="N278" i="2"/>
  <c r="M278" i="2"/>
  <c r="Q277" i="2"/>
  <c r="O277" i="2"/>
  <c r="T277" i="2" s="1"/>
  <c r="N277" i="2"/>
  <c r="M277" i="2"/>
  <c r="Q276" i="2"/>
  <c r="N276" i="2"/>
  <c r="M276" i="2"/>
  <c r="Q275" i="2"/>
  <c r="N275" i="2"/>
  <c r="M275" i="2"/>
  <c r="Q274" i="2"/>
  <c r="N274" i="2"/>
  <c r="M274" i="2"/>
  <c r="Q273" i="2"/>
  <c r="N273" i="2"/>
  <c r="M273" i="2"/>
  <c r="Q272" i="2"/>
  <c r="N272" i="2"/>
  <c r="M272" i="2"/>
  <c r="Q271" i="2"/>
  <c r="N271" i="2"/>
  <c r="M271" i="2"/>
  <c r="Q270" i="2"/>
  <c r="N270" i="2"/>
  <c r="M270" i="2"/>
  <c r="Q269" i="2"/>
  <c r="N269" i="2"/>
  <c r="M269" i="2"/>
  <c r="Q268" i="2"/>
  <c r="N268" i="2"/>
  <c r="M268" i="2"/>
  <c r="Q265" i="2"/>
  <c r="O265" i="2"/>
  <c r="N265" i="2"/>
  <c r="M265" i="2"/>
  <c r="Q264" i="2"/>
  <c r="O264" i="2"/>
  <c r="T264" i="2" s="1"/>
  <c r="U264" i="2" s="1"/>
  <c r="N264" i="2"/>
  <c r="M264" i="2"/>
  <c r="Q263" i="2"/>
  <c r="O263" i="2"/>
  <c r="T263" i="2" s="1"/>
  <c r="N263" i="2"/>
  <c r="M263" i="2"/>
  <c r="Q262" i="2"/>
  <c r="O262" i="2"/>
  <c r="T262" i="2" s="1"/>
  <c r="U262" i="2" s="1"/>
  <c r="N262" i="2"/>
  <c r="M262" i="2"/>
  <c r="Q261" i="2"/>
  <c r="O261" i="2"/>
  <c r="T261" i="2" s="1"/>
  <c r="N261" i="2"/>
  <c r="M261" i="2"/>
  <c r="Q260" i="2"/>
  <c r="N260" i="2"/>
  <c r="M260" i="2"/>
  <c r="Q259" i="2"/>
  <c r="N259" i="2"/>
  <c r="M259" i="2"/>
  <c r="Q258" i="2"/>
  <c r="N258" i="2"/>
  <c r="M258" i="2"/>
  <c r="Q257" i="2"/>
  <c r="N257" i="2"/>
  <c r="M257" i="2"/>
  <c r="Q256" i="2"/>
  <c r="N256" i="2"/>
  <c r="M256" i="2"/>
  <c r="Q255" i="2"/>
  <c r="N255" i="2"/>
  <c r="M255" i="2"/>
  <c r="Q254" i="2"/>
  <c r="N254" i="2"/>
  <c r="M254" i="2"/>
  <c r="Q253" i="2"/>
  <c r="N253" i="2"/>
  <c r="M253" i="2"/>
  <c r="Q250" i="2"/>
  <c r="O250" i="2"/>
  <c r="T250" i="2" s="1"/>
  <c r="V250" i="2" s="1"/>
  <c r="N250" i="2"/>
  <c r="M250" i="2"/>
  <c r="Q249" i="2"/>
  <c r="O249" i="2"/>
  <c r="T249" i="2" s="1"/>
  <c r="N249" i="2"/>
  <c r="M249" i="2"/>
  <c r="Q248" i="2"/>
  <c r="O248" i="2"/>
  <c r="N248" i="2"/>
  <c r="M248" i="2"/>
  <c r="Q247" i="2"/>
  <c r="O247" i="2"/>
  <c r="T247" i="2" s="1"/>
  <c r="N247" i="2"/>
  <c r="M247" i="2"/>
  <c r="Q246" i="2"/>
  <c r="O246" i="2"/>
  <c r="T246" i="2" s="1"/>
  <c r="N246" i="2"/>
  <c r="M246" i="2"/>
  <c r="Q245" i="2"/>
  <c r="N245" i="2"/>
  <c r="M245" i="2"/>
  <c r="Q244" i="2"/>
  <c r="N244" i="2"/>
  <c r="M244" i="2"/>
  <c r="Q243" i="2"/>
  <c r="N243" i="2"/>
  <c r="M243" i="2"/>
  <c r="Q242" i="2"/>
  <c r="N242" i="2"/>
  <c r="M242" i="2"/>
  <c r="Q241" i="2"/>
  <c r="N241" i="2"/>
  <c r="M241" i="2"/>
  <c r="Q240" i="2"/>
  <c r="N240" i="2"/>
  <c r="M240" i="2"/>
  <c r="Q239" i="2"/>
  <c r="N239" i="2"/>
  <c r="M239" i="2"/>
  <c r="Q238" i="2"/>
  <c r="N238" i="2"/>
  <c r="M238" i="2"/>
  <c r="Q235" i="2"/>
  <c r="O235" i="2"/>
  <c r="P235" i="2" s="1"/>
  <c r="N235" i="2"/>
  <c r="M235" i="2"/>
  <c r="Q234" i="2"/>
  <c r="O234" i="2"/>
  <c r="N234" i="2"/>
  <c r="M234" i="2"/>
  <c r="Q233" i="2"/>
  <c r="O233" i="2"/>
  <c r="P233" i="2" s="1"/>
  <c r="N233" i="2"/>
  <c r="M233" i="2"/>
  <c r="Q232" i="2"/>
  <c r="O232" i="2"/>
  <c r="T232" i="2" s="1"/>
  <c r="N232" i="2"/>
  <c r="M232" i="2"/>
  <c r="Q231" i="2"/>
  <c r="O231" i="2"/>
  <c r="P231" i="2" s="1"/>
  <c r="N231" i="2"/>
  <c r="M231" i="2"/>
  <c r="Q230" i="2"/>
  <c r="N230" i="2"/>
  <c r="M230" i="2"/>
  <c r="Q229" i="2"/>
  <c r="N229" i="2"/>
  <c r="M229" i="2"/>
  <c r="Q228" i="2"/>
  <c r="N228" i="2"/>
  <c r="M228" i="2"/>
  <c r="Q227" i="2"/>
  <c r="N227" i="2"/>
  <c r="M227" i="2"/>
  <c r="Q226" i="2"/>
  <c r="N226" i="2"/>
  <c r="M226" i="2"/>
  <c r="Q225" i="2"/>
  <c r="N225" i="2"/>
  <c r="M225" i="2"/>
  <c r="Q224" i="2"/>
  <c r="N224" i="2"/>
  <c r="M224" i="2"/>
  <c r="Q223" i="2"/>
  <c r="N223" i="2"/>
  <c r="M223" i="2"/>
  <c r="Q220" i="2"/>
  <c r="O220" i="2"/>
  <c r="P220" i="2" s="1"/>
  <c r="N220" i="2"/>
  <c r="M220" i="2"/>
  <c r="Q219" i="2"/>
  <c r="O219" i="2"/>
  <c r="P219" i="2" s="1"/>
  <c r="N219" i="2"/>
  <c r="M219" i="2"/>
  <c r="Q218" i="2"/>
  <c r="O218" i="2"/>
  <c r="N218" i="2"/>
  <c r="M218" i="2"/>
  <c r="Q217" i="2"/>
  <c r="O217" i="2"/>
  <c r="T217" i="2" s="1"/>
  <c r="V217" i="2" s="1"/>
  <c r="N217" i="2"/>
  <c r="M217" i="2"/>
  <c r="Q216" i="2"/>
  <c r="O216" i="2"/>
  <c r="T216" i="2" s="1"/>
  <c r="N216" i="2"/>
  <c r="M216" i="2"/>
  <c r="Q215" i="2"/>
  <c r="N215" i="2"/>
  <c r="M215" i="2"/>
  <c r="Q214" i="2"/>
  <c r="N214" i="2"/>
  <c r="M214" i="2"/>
  <c r="Q213" i="2"/>
  <c r="N213" i="2"/>
  <c r="M213" i="2"/>
  <c r="Q212" i="2"/>
  <c r="N212" i="2"/>
  <c r="M212" i="2"/>
  <c r="Q211" i="2"/>
  <c r="N211" i="2"/>
  <c r="M211" i="2"/>
  <c r="Q210" i="2"/>
  <c r="N210" i="2"/>
  <c r="M210" i="2"/>
  <c r="Q209" i="2"/>
  <c r="N209" i="2"/>
  <c r="M209" i="2"/>
  <c r="Q208" i="2"/>
  <c r="N208" i="2"/>
  <c r="M208" i="2"/>
  <c r="Q205" i="2"/>
  <c r="O205" i="2"/>
  <c r="P205" i="2" s="1"/>
  <c r="N205" i="2"/>
  <c r="M205" i="2"/>
  <c r="Q204" i="2"/>
  <c r="O204" i="2"/>
  <c r="N204" i="2"/>
  <c r="M204" i="2"/>
  <c r="Q203" i="2"/>
  <c r="O203" i="2"/>
  <c r="T203" i="2" s="1"/>
  <c r="U203" i="2" s="1"/>
  <c r="N203" i="2"/>
  <c r="M203" i="2"/>
  <c r="Q202" i="2"/>
  <c r="O202" i="2"/>
  <c r="P202" i="2" s="1"/>
  <c r="N202" i="2"/>
  <c r="M202" i="2"/>
  <c r="Q201" i="2"/>
  <c r="N201" i="2"/>
  <c r="M201" i="2"/>
  <c r="Q200" i="2"/>
  <c r="N200" i="2"/>
  <c r="M200" i="2"/>
  <c r="Q199" i="2"/>
  <c r="N199" i="2"/>
  <c r="M199" i="2"/>
  <c r="Q198" i="2"/>
  <c r="N198" i="2"/>
  <c r="M198" i="2"/>
  <c r="Q197" i="2"/>
  <c r="N197" i="2"/>
  <c r="M197" i="2"/>
  <c r="Q196" i="2"/>
  <c r="N196" i="2"/>
  <c r="M196" i="2"/>
  <c r="Q195" i="2"/>
  <c r="N195" i="2"/>
  <c r="M195" i="2"/>
  <c r="Q194" i="2"/>
  <c r="N194" i="2"/>
  <c r="M194" i="2"/>
  <c r="Q193" i="2"/>
  <c r="N193" i="2"/>
  <c r="M193" i="2"/>
  <c r="Q192" i="2"/>
  <c r="N192" i="2"/>
  <c r="M192" i="2"/>
  <c r="Q191" i="2"/>
  <c r="N191" i="2"/>
  <c r="M191" i="2"/>
  <c r="Q190" i="2"/>
  <c r="N190" i="2"/>
  <c r="M190" i="2"/>
  <c r="Q187" i="2"/>
  <c r="O187" i="2"/>
  <c r="P187" i="2" s="1"/>
  <c r="N187" i="2"/>
  <c r="M187" i="2"/>
  <c r="Q186" i="2"/>
  <c r="N186" i="2"/>
  <c r="M186" i="2"/>
  <c r="Q185" i="2"/>
  <c r="N185" i="2"/>
  <c r="M185" i="2"/>
  <c r="Q184" i="2"/>
  <c r="N184" i="2"/>
  <c r="M184" i="2"/>
  <c r="Q183" i="2"/>
  <c r="N183" i="2"/>
  <c r="M183" i="2"/>
  <c r="Q182" i="2"/>
  <c r="N182" i="2"/>
  <c r="M182" i="2"/>
  <c r="Q171" i="2"/>
  <c r="O171" i="2"/>
  <c r="P171" i="2" s="1"/>
  <c r="N171" i="2"/>
  <c r="M171" i="2"/>
  <c r="Q170" i="2"/>
  <c r="O170" i="2"/>
  <c r="N170" i="2"/>
  <c r="M170" i="2"/>
  <c r="Q169" i="2"/>
  <c r="N169" i="2"/>
  <c r="M169" i="2"/>
  <c r="Q168" i="2"/>
  <c r="N168" i="2"/>
  <c r="M168" i="2"/>
  <c r="Q167" i="2"/>
  <c r="N167" i="2"/>
  <c r="M167" i="2"/>
  <c r="Q166" i="2"/>
  <c r="N166" i="2"/>
  <c r="M166" i="2"/>
  <c r="Q165" i="2"/>
  <c r="N165" i="2"/>
  <c r="M165" i="2"/>
  <c r="Q164" i="2"/>
  <c r="N164" i="2"/>
  <c r="M164" i="2"/>
  <c r="Q161" i="2"/>
  <c r="O161" i="2"/>
  <c r="P161" i="2" s="1"/>
  <c r="N161" i="2"/>
  <c r="M161" i="2"/>
  <c r="Q160" i="2"/>
  <c r="O160" i="2"/>
  <c r="P160" i="2" s="1"/>
  <c r="N160" i="2"/>
  <c r="M160" i="2"/>
  <c r="Q159" i="2"/>
  <c r="O159" i="2"/>
  <c r="P159" i="2" s="1"/>
  <c r="N159" i="2"/>
  <c r="M159" i="2"/>
  <c r="Q158" i="2"/>
  <c r="O158" i="2"/>
  <c r="P158" i="2" s="1"/>
  <c r="N158" i="2"/>
  <c r="M158" i="2"/>
  <c r="Q157" i="2"/>
  <c r="N157" i="2"/>
  <c r="M157" i="2"/>
  <c r="Q156" i="2"/>
  <c r="N156" i="2"/>
  <c r="M156" i="2"/>
  <c r="Q155" i="2"/>
  <c r="N155" i="2"/>
  <c r="M155" i="2"/>
  <c r="Q154" i="2"/>
  <c r="N154" i="2"/>
  <c r="M154" i="2"/>
  <c r="Q153" i="2"/>
  <c r="N153" i="2"/>
  <c r="M153" i="2"/>
  <c r="Q152" i="2"/>
  <c r="N152" i="2"/>
  <c r="M152" i="2"/>
  <c r="Q149" i="2"/>
  <c r="O149" i="2"/>
  <c r="T149" i="2" s="1"/>
  <c r="V149" i="2" s="1"/>
  <c r="N149" i="2"/>
  <c r="M149" i="2"/>
  <c r="Q148" i="2"/>
  <c r="O148" i="2"/>
  <c r="T148" i="2" s="1"/>
  <c r="U148" i="2" s="1"/>
  <c r="N148" i="2"/>
  <c r="M148" i="2"/>
  <c r="Q147" i="2"/>
  <c r="O147" i="2"/>
  <c r="T147" i="2" s="1"/>
  <c r="N147" i="2"/>
  <c r="M147" i="2"/>
  <c r="Q146" i="2"/>
  <c r="O146" i="2"/>
  <c r="T146" i="2" s="1"/>
  <c r="V146" i="2" s="1"/>
  <c r="N146" i="2"/>
  <c r="M146" i="2"/>
  <c r="Q145" i="2"/>
  <c r="N145" i="2"/>
  <c r="M145" i="2"/>
  <c r="Q144" i="2"/>
  <c r="N144" i="2"/>
  <c r="M144" i="2"/>
  <c r="Q143" i="2"/>
  <c r="N143" i="2"/>
  <c r="M143" i="2"/>
  <c r="Q142" i="2"/>
  <c r="N142" i="2"/>
  <c r="M142" i="2"/>
  <c r="Q141" i="2"/>
  <c r="N141" i="2"/>
  <c r="M141" i="2"/>
  <c r="Q140" i="2"/>
  <c r="N140" i="2"/>
  <c r="M140" i="2"/>
  <c r="Q137" i="2"/>
  <c r="O137" i="2"/>
  <c r="N137" i="2"/>
  <c r="M137" i="2"/>
  <c r="Q136" i="2"/>
  <c r="O136" i="2"/>
  <c r="P136" i="2" s="1"/>
  <c r="N136" i="2"/>
  <c r="M136" i="2"/>
  <c r="Q135" i="2"/>
  <c r="O135" i="2"/>
  <c r="T135" i="2" s="1"/>
  <c r="V135" i="2" s="1"/>
  <c r="N135" i="2"/>
  <c r="M135" i="2"/>
  <c r="Q134" i="2"/>
  <c r="O134" i="2"/>
  <c r="T134" i="2" s="1"/>
  <c r="U134" i="2" s="1"/>
  <c r="N134" i="2"/>
  <c r="M134" i="2"/>
  <c r="Q133" i="2"/>
  <c r="N133" i="2"/>
  <c r="M133" i="2"/>
  <c r="Q132" i="2"/>
  <c r="N132" i="2"/>
  <c r="M132" i="2"/>
  <c r="Q131" i="2"/>
  <c r="N131" i="2"/>
  <c r="M131" i="2"/>
  <c r="Q130" i="2"/>
  <c r="N130" i="2"/>
  <c r="M130" i="2"/>
  <c r="Q129" i="2"/>
  <c r="N129" i="2"/>
  <c r="M129" i="2"/>
  <c r="Q128" i="2"/>
  <c r="N128" i="2"/>
  <c r="M128" i="2"/>
  <c r="Q113" i="2"/>
  <c r="O113" i="2"/>
  <c r="P113" i="2" s="1"/>
  <c r="N113" i="2"/>
  <c r="M113" i="2"/>
  <c r="Q112" i="2"/>
  <c r="O112" i="2"/>
  <c r="T112" i="2" s="1"/>
  <c r="U112" i="2" s="1"/>
  <c r="N112" i="2"/>
  <c r="M112" i="2"/>
  <c r="Q111" i="2"/>
  <c r="O111" i="2"/>
  <c r="T111" i="2" s="1"/>
  <c r="N111" i="2"/>
  <c r="M111" i="2"/>
  <c r="Q110" i="2"/>
  <c r="O110" i="2"/>
  <c r="P110" i="2" s="1"/>
  <c r="N110" i="2"/>
  <c r="M110" i="2"/>
  <c r="Q109" i="2"/>
  <c r="N109" i="2"/>
  <c r="M109" i="2"/>
  <c r="Q108" i="2"/>
  <c r="N108" i="2"/>
  <c r="M108" i="2"/>
  <c r="Q107" i="2"/>
  <c r="N107" i="2"/>
  <c r="M107" i="2"/>
  <c r="Q106" i="2"/>
  <c r="N106" i="2"/>
  <c r="M106" i="2"/>
  <c r="Q105" i="2"/>
  <c r="N105" i="2"/>
  <c r="M105" i="2"/>
  <c r="Q104" i="2"/>
  <c r="N104" i="2"/>
  <c r="M104" i="2"/>
  <c r="Q103" i="2"/>
  <c r="N103" i="2"/>
  <c r="M103" i="2"/>
  <c r="Q102" i="2"/>
  <c r="N102" i="2"/>
  <c r="M102" i="2"/>
  <c r="Q99" i="2"/>
  <c r="O99" i="2"/>
  <c r="P99" i="2" s="1"/>
  <c r="N99" i="2"/>
  <c r="M99" i="2"/>
  <c r="Q98" i="2"/>
  <c r="O98" i="2"/>
  <c r="T98" i="2" s="1"/>
  <c r="N98" i="2"/>
  <c r="M98" i="2"/>
  <c r="Q97" i="2"/>
  <c r="O97" i="2"/>
  <c r="T97" i="2" s="1"/>
  <c r="N97" i="2"/>
  <c r="M97" i="2"/>
  <c r="Q96" i="2"/>
  <c r="O96" i="2"/>
  <c r="P96" i="2" s="1"/>
  <c r="N96" i="2"/>
  <c r="M96" i="2"/>
  <c r="Q95" i="2"/>
  <c r="N95" i="2"/>
  <c r="M95" i="2"/>
  <c r="Q94" i="2"/>
  <c r="N94" i="2"/>
  <c r="M94" i="2"/>
  <c r="Q93" i="2"/>
  <c r="N93" i="2"/>
  <c r="M93" i="2"/>
  <c r="Q92" i="2"/>
  <c r="N92" i="2"/>
  <c r="M92" i="2"/>
  <c r="Q91" i="2"/>
  <c r="N91" i="2"/>
  <c r="M91" i="2"/>
  <c r="Q90" i="2"/>
  <c r="N90" i="2"/>
  <c r="M90" i="2"/>
  <c r="Q89" i="2"/>
  <c r="N89" i="2"/>
  <c r="M89" i="2"/>
  <c r="Q88" i="2"/>
  <c r="N88" i="2"/>
  <c r="M88" i="2"/>
  <c r="Q85" i="2"/>
  <c r="O85" i="2"/>
  <c r="N85" i="2"/>
  <c r="M85" i="2"/>
  <c r="Q84" i="2"/>
  <c r="O84" i="2"/>
  <c r="T84" i="2" s="1"/>
  <c r="N84" i="2"/>
  <c r="M84" i="2"/>
  <c r="Q83" i="2"/>
  <c r="O83" i="2"/>
  <c r="P83" i="2" s="1"/>
  <c r="N83" i="2"/>
  <c r="M83" i="2"/>
  <c r="Q82" i="2"/>
  <c r="O82" i="2"/>
  <c r="T82" i="2" s="1"/>
  <c r="V82" i="2" s="1"/>
  <c r="N82" i="2"/>
  <c r="M82" i="2"/>
  <c r="Q81" i="2"/>
  <c r="N81" i="2"/>
  <c r="M81" i="2"/>
  <c r="Q80" i="2"/>
  <c r="N80" i="2"/>
  <c r="M80" i="2"/>
  <c r="Q79" i="2"/>
  <c r="N79" i="2"/>
  <c r="M79" i="2"/>
  <c r="Q78" i="2"/>
  <c r="N78" i="2"/>
  <c r="M78" i="2"/>
  <c r="Q77" i="2"/>
  <c r="N77" i="2"/>
  <c r="M77" i="2"/>
  <c r="Q76" i="2"/>
  <c r="N76" i="2"/>
  <c r="M76" i="2"/>
  <c r="Q75" i="2"/>
  <c r="N75" i="2"/>
  <c r="M75" i="2"/>
  <c r="Q74" i="2"/>
  <c r="N74" i="2"/>
  <c r="M74" i="2"/>
  <c r="Q71" i="2"/>
  <c r="O71" i="2"/>
  <c r="T71" i="2" s="1"/>
  <c r="V71" i="2" s="1"/>
  <c r="N71" i="2"/>
  <c r="M71" i="2"/>
  <c r="Q70" i="2"/>
  <c r="O70" i="2"/>
  <c r="T70" i="2" s="1"/>
  <c r="N70" i="2"/>
  <c r="M70" i="2"/>
  <c r="Q69" i="2"/>
  <c r="O69" i="2"/>
  <c r="P69" i="2" s="1"/>
  <c r="N69" i="2"/>
  <c r="M69" i="2"/>
  <c r="Q68" i="2"/>
  <c r="O68" i="2"/>
  <c r="P68" i="2" s="1"/>
  <c r="N68" i="2"/>
  <c r="M68" i="2"/>
  <c r="Q67" i="2"/>
  <c r="N67" i="2"/>
  <c r="M67" i="2"/>
  <c r="Q66" i="2"/>
  <c r="N66" i="2"/>
  <c r="M66" i="2"/>
  <c r="Q65" i="2"/>
  <c r="N65" i="2"/>
  <c r="M65" i="2"/>
  <c r="Q64" i="2"/>
  <c r="N64" i="2"/>
  <c r="M64" i="2"/>
  <c r="Q63" i="2"/>
  <c r="N63" i="2"/>
  <c r="M63" i="2"/>
  <c r="Q62" i="2"/>
  <c r="N62" i="2"/>
  <c r="M62" i="2"/>
  <c r="Q61" i="2"/>
  <c r="N61" i="2"/>
  <c r="M61" i="2"/>
  <c r="Q58" i="2"/>
  <c r="O58" i="2"/>
  <c r="T58" i="2" s="1"/>
  <c r="N58" i="2"/>
  <c r="M58" i="2"/>
  <c r="Q57" i="2"/>
  <c r="O57" i="2"/>
  <c r="T57" i="2" s="1"/>
  <c r="V57" i="2" s="1"/>
  <c r="N57" i="2"/>
  <c r="M57" i="2"/>
  <c r="Q56" i="2"/>
  <c r="O56" i="2"/>
  <c r="T56" i="2" s="1"/>
  <c r="N56" i="2"/>
  <c r="M56" i="2"/>
  <c r="Q55" i="2"/>
  <c r="O55" i="2"/>
  <c r="T55" i="2" s="1"/>
  <c r="N55" i="2"/>
  <c r="M55" i="2"/>
  <c r="Q54" i="2"/>
  <c r="O54" i="2"/>
  <c r="N54" i="2"/>
  <c r="M54" i="2"/>
  <c r="Q53" i="2"/>
  <c r="N53" i="2"/>
  <c r="M53" i="2"/>
  <c r="Q52" i="2"/>
  <c r="N52" i="2"/>
  <c r="M52" i="2"/>
  <c r="Q51" i="2"/>
  <c r="N51" i="2"/>
  <c r="M51" i="2"/>
  <c r="Q50" i="2"/>
  <c r="N50" i="2"/>
  <c r="M50" i="2"/>
  <c r="Q49" i="2"/>
  <c r="N49" i="2"/>
  <c r="M49" i="2"/>
  <c r="Q48" i="2"/>
  <c r="N48" i="2"/>
  <c r="M48" i="2"/>
  <c r="Q45" i="2"/>
  <c r="O45" i="2"/>
  <c r="P45" i="2" s="1"/>
  <c r="N45" i="2"/>
  <c r="M45" i="2"/>
  <c r="Q44" i="2"/>
  <c r="O44" i="2"/>
  <c r="T44" i="2" s="1"/>
  <c r="N44" i="2"/>
  <c r="M44" i="2"/>
  <c r="Q43" i="2"/>
  <c r="O43" i="2"/>
  <c r="T43" i="2" s="1"/>
  <c r="N43" i="2"/>
  <c r="M43" i="2"/>
  <c r="Q42" i="2"/>
  <c r="O42" i="2"/>
  <c r="P42" i="2" s="1"/>
  <c r="N42" i="2"/>
  <c r="M42" i="2"/>
  <c r="Q41" i="2"/>
  <c r="N41" i="2"/>
  <c r="M41" i="2"/>
  <c r="Q40" i="2"/>
  <c r="N40" i="2"/>
  <c r="M40" i="2"/>
  <c r="Q39" i="2"/>
  <c r="N39" i="2"/>
  <c r="M39" i="2"/>
  <c r="Q38" i="2"/>
  <c r="N38" i="2"/>
  <c r="M38" i="2"/>
  <c r="Q37" i="2"/>
  <c r="N37" i="2"/>
  <c r="M37" i="2"/>
  <c r="Q36" i="2"/>
  <c r="N36" i="2"/>
  <c r="M36" i="2"/>
  <c r="Q35" i="2"/>
  <c r="N35" i="2"/>
  <c r="M35" i="2"/>
  <c r="Q32" i="2"/>
  <c r="O32" i="2"/>
  <c r="T32" i="2" s="1"/>
  <c r="N32" i="2"/>
  <c r="M32" i="2"/>
  <c r="Q31" i="2"/>
  <c r="O31" i="2"/>
  <c r="T31" i="2" s="1"/>
  <c r="N31" i="2"/>
  <c r="M31" i="2"/>
  <c r="Q30" i="2"/>
  <c r="O30" i="2"/>
  <c r="N30" i="2"/>
  <c r="M30" i="2"/>
  <c r="Q29" i="2"/>
  <c r="O29" i="2"/>
  <c r="T29" i="2" s="1"/>
  <c r="V29" i="2" s="1"/>
  <c r="N29" i="2"/>
  <c r="M29" i="2"/>
  <c r="Q28" i="2"/>
  <c r="N28" i="2"/>
  <c r="M28" i="2"/>
  <c r="Q27" i="2"/>
  <c r="N27" i="2"/>
  <c r="M27" i="2"/>
  <c r="Q26" i="2"/>
  <c r="N26" i="2"/>
  <c r="M26" i="2"/>
  <c r="Q25" i="2"/>
  <c r="N25" i="2"/>
  <c r="M25" i="2"/>
  <c r="Q24" i="2"/>
  <c r="N24" i="2"/>
  <c r="M24" i="2"/>
  <c r="Q23" i="2"/>
  <c r="N23" i="2"/>
  <c r="M23" i="2"/>
  <c r="Q22" i="2"/>
  <c r="N22" i="2"/>
  <c r="M22" i="2"/>
  <c r="Q19" i="2"/>
  <c r="O19" i="2"/>
  <c r="T19" i="2" s="1"/>
  <c r="N19" i="2"/>
  <c r="M19" i="2"/>
  <c r="Q18" i="2"/>
  <c r="O18" i="2"/>
  <c r="P18" i="2" s="1"/>
  <c r="N18" i="2"/>
  <c r="M18" i="2"/>
  <c r="Q17" i="2"/>
  <c r="O17" i="2"/>
  <c r="T17" i="2" s="1"/>
  <c r="V17" i="2" s="1"/>
  <c r="N17" i="2"/>
  <c r="M17" i="2"/>
  <c r="Q16" i="2"/>
  <c r="O16" i="2"/>
  <c r="T16" i="2" s="1"/>
  <c r="N16" i="2"/>
  <c r="M16" i="2"/>
  <c r="Q15" i="2"/>
  <c r="N15" i="2"/>
  <c r="M15" i="2"/>
  <c r="Q14" i="2"/>
  <c r="N14" i="2"/>
  <c r="M14" i="2"/>
  <c r="Q13" i="2"/>
  <c r="N13" i="2"/>
  <c r="M13" i="2"/>
  <c r="Q12" i="2"/>
  <c r="N12" i="2"/>
  <c r="M12" i="2"/>
  <c r="Q11" i="2"/>
  <c r="N11" i="2"/>
  <c r="M11" i="2"/>
  <c r="Q10" i="2"/>
  <c r="N10" i="2"/>
  <c r="M10" i="2"/>
  <c r="Q9" i="2"/>
  <c r="N9" i="2"/>
  <c r="M9" i="2"/>
  <c r="Q8" i="2"/>
  <c r="N8" i="2"/>
  <c r="M8" i="2"/>
  <c r="Q7" i="2"/>
  <c r="N7" i="2"/>
  <c r="M7" i="2"/>
  <c r="Q6" i="2"/>
  <c r="N6" i="2"/>
  <c r="M6" i="2"/>
  <c r="Q5" i="2"/>
  <c r="N5" i="2"/>
  <c r="M5" i="2"/>
  <c r="Q4" i="2"/>
  <c r="N4" i="2"/>
  <c r="M4" i="2"/>
  <c r="Q3" i="2"/>
  <c r="N3" i="2"/>
  <c r="M3" i="2"/>
  <c r="M15" i="1"/>
  <c r="M14" i="1"/>
  <c r="A7" i="1"/>
  <c r="M379" i="2" l="1"/>
  <c r="N379" i="2"/>
  <c r="M394" i="2"/>
  <c r="R382" i="2"/>
  <c r="R373" i="2"/>
  <c r="R390" i="2"/>
  <c r="N394" i="2"/>
  <c r="O565" i="7"/>
  <c r="O574" i="7"/>
  <c r="O7" i="2"/>
  <c r="O150" i="7"/>
  <c r="O437" i="7"/>
  <c r="O505" i="7"/>
  <c r="O686" i="7"/>
  <c r="O383" i="2"/>
  <c r="T383" i="2" s="1"/>
  <c r="V383" i="2" s="1"/>
  <c r="P402" i="7"/>
  <c r="S402" i="7" s="1"/>
  <c r="O375" i="2"/>
  <c r="T375" i="2" s="1"/>
  <c r="V375" i="2" s="1"/>
  <c r="O387" i="2"/>
  <c r="T387" i="2" s="1"/>
  <c r="O410" i="7"/>
  <c r="T410" i="7" s="1"/>
  <c r="O200" i="2"/>
  <c r="T200" i="2" s="1"/>
  <c r="V200" i="2" s="1"/>
  <c r="O549" i="2"/>
  <c r="O402" i="7"/>
  <c r="T402" i="7" s="1"/>
  <c r="V402" i="7" s="1"/>
  <c r="O414" i="7"/>
  <c r="T414" i="7" s="1"/>
  <c r="O384" i="2"/>
  <c r="T384" i="2" s="1"/>
  <c r="V384" i="2" s="1"/>
  <c r="O399" i="7"/>
  <c r="T399" i="7" s="1"/>
  <c r="P418" i="7"/>
  <c r="O376" i="2"/>
  <c r="T376" i="2" s="1"/>
  <c r="V376" i="2" s="1"/>
  <c r="R384" i="2"/>
  <c r="O388" i="2"/>
  <c r="T388" i="2" s="1"/>
  <c r="V388" i="2" s="1"/>
  <c r="R392" i="2"/>
  <c r="O411" i="7"/>
  <c r="T411" i="7" s="1"/>
  <c r="O403" i="7"/>
  <c r="T403" i="7" s="1"/>
  <c r="O415" i="7"/>
  <c r="T415" i="7" s="1"/>
  <c r="V415" i="7" s="1"/>
  <c r="O381" i="2"/>
  <c r="P381" i="2" s="1"/>
  <c r="E56" i="8"/>
  <c r="O253" i="2"/>
  <c r="O108" i="2"/>
  <c r="P108" i="2" s="1"/>
  <c r="O186" i="2"/>
  <c r="T186" i="2" s="1"/>
  <c r="O304" i="2"/>
  <c r="T304" i="2" s="1"/>
  <c r="V304" i="2" s="1"/>
  <c r="O5" i="7"/>
  <c r="O181" i="7"/>
  <c r="O210" i="7"/>
  <c r="O521" i="7"/>
  <c r="O373" i="2"/>
  <c r="T373" i="2" s="1"/>
  <c r="V373" i="2" s="1"/>
  <c r="O385" i="2"/>
  <c r="T385" i="2" s="1"/>
  <c r="V385" i="2" s="1"/>
  <c r="O400" i="7"/>
  <c r="T400" i="7" s="1"/>
  <c r="V400" i="7" s="1"/>
  <c r="O408" i="7"/>
  <c r="T408" i="7" s="1"/>
  <c r="V408" i="7" s="1"/>
  <c r="O29" i="7"/>
  <c r="O377" i="2"/>
  <c r="T377" i="2" s="1"/>
  <c r="V377" i="2" s="1"/>
  <c r="O389" i="2"/>
  <c r="T389" i="2" s="1"/>
  <c r="V389" i="2" s="1"/>
  <c r="O412" i="7"/>
  <c r="T412" i="7" s="1"/>
  <c r="V412" i="7" s="1"/>
  <c r="O15" i="2"/>
  <c r="P15" i="2" s="1"/>
  <c r="O41" i="2"/>
  <c r="T41" i="2" s="1"/>
  <c r="U41" i="2" s="1"/>
  <c r="O547" i="2"/>
  <c r="O15" i="7"/>
  <c r="O554" i="7"/>
  <c r="R389" i="2"/>
  <c r="O416" i="7"/>
  <c r="T416" i="7" s="1"/>
  <c r="V416" i="7" s="1"/>
  <c r="O462" i="2"/>
  <c r="T462" i="2" s="1"/>
  <c r="U462" i="2" s="1"/>
  <c r="O517" i="2"/>
  <c r="T517" i="2" s="1"/>
  <c r="U517" i="2" s="1"/>
  <c r="O138" i="7"/>
  <c r="O243" i="7"/>
  <c r="O411" i="2"/>
  <c r="O168" i="7"/>
  <c r="O382" i="2"/>
  <c r="T382" i="2" s="1"/>
  <c r="U382" i="2" s="1"/>
  <c r="P413" i="7"/>
  <c r="S413" i="7" s="1"/>
  <c r="R599" i="7"/>
  <c r="R604" i="7"/>
  <c r="R609" i="7"/>
  <c r="O374" i="2"/>
  <c r="T374" i="2" s="1"/>
  <c r="V374" i="2" s="1"/>
  <c r="O386" i="2"/>
  <c r="T386" i="2" s="1"/>
  <c r="V386" i="2" s="1"/>
  <c r="O409" i="7"/>
  <c r="T409" i="7" s="1"/>
  <c r="O169" i="2"/>
  <c r="P169" i="2" s="1"/>
  <c r="O183" i="2"/>
  <c r="P183" i="2" s="1"/>
  <c r="O199" i="2"/>
  <c r="P199" i="2" s="1"/>
  <c r="O207" i="7"/>
  <c r="O363" i="7"/>
  <c r="O541" i="7"/>
  <c r="R374" i="2"/>
  <c r="O401" i="7"/>
  <c r="T401" i="7" s="1"/>
  <c r="V401" i="7" s="1"/>
  <c r="R405" i="7"/>
  <c r="O413" i="7"/>
  <c r="T413" i="7" s="1"/>
  <c r="V413" i="7" s="1"/>
  <c r="R417" i="7"/>
  <c r="E4" i="9" a="1"/>
  <c r="E4" i="9" s="1"/>
  <c r="E33" i="9" s="1"/>
  <c r="F33" i="9" s="1"/>
  <c r="V421" i="7"/>
  <c r="U421" i="7"/>
  <c r="P421" i="7"/>
  <c r="S421" i="7" s="1"/>
  <c r="P420" i="7"/>
  <c r="S420" i="7" s="1"/>
  <c r="V420" i="7"/>
  <c r="U420" i="7"/>
  <c r="P419" i="7"/>
  <c r="S419" i="7" s="1"/>
  <c r="R419" i="7"/>
  <c r="V419" i="7"/>
  <c r="U419" i="7"/>
  <c r="V418" i="7"/>
  <c r="U418" i="7"/>
  <c r="S418" i="7"/>
  <c r="V417" i="7"/>
  <c r="U417" i="7"/>
  <c r="P417" i="7"/>
  <c r="S417" i="7" s="1"/>
  <c r="R416" i="7"/>
  <c r="U416" i="7"/>
  <c r="R415" i="7"/>
  <c r="U415" i="7"/>
  <c r="R414" i="7"/>
  <c r="V414" i="7"/>
  <c r="U414" i="7"/>
  <c r="P414" i="7"/>
  <c r="S414" i="7" s="1"/>
  <c r="R413" i="7"/>
  <c r="R412" i="7"/>
  <c r="P411" i="7"/>
  <c r="S411" i="7" s="1"/>
  <c r="R411" i="7"/>
  <c r="V411" i="7"/>
  <c r="U411" i="7"/>
  <c r="R410" i="7"/>
  <c r="V410" i="7"/>
  <c r="U410" i="7"/>
  <c r="P410" i="7"/>
  <c r="S410" i="7" s="1"/>
  <c r="R409" i="7"/>
  <c r="R422" i="7" s="1"/>
  <c r="U408" i="7"/>
  <c r="P405" i="7"/>
  <c r="S405" i="7" s="1"/>
  <c r="V405" i="7"/>
  <c r="U405" i="7"/>
  <c r="V404" i="7"/>
  <c r="U404" i="7"/>
  <c r="P404" i="7"/>
  <c r="S404" i="7" s="1"/>
  <c r="V403" i="7"/>
  <c r="U403" i="7"/>
  <c r="P403" i="7"/>
  <c r="S403" i="7" s="1"/>
  <c r="R402" i="7"/>
  <c r="R406" i="7" s="1"/>
  <c r="U402" i="7"/>
  <c r="U401" i="7"/>
  <c r="R400" i="7"/>
  <c r="V399" i="7"/>
  <c r="U399" i="7"/>
  <c r="R393" i="2"/>
  <c r="V393" i="2"/>
  <c r="U393" i="2"/>
  <c r="P393" i="2"/>
  <c r="V392" i="2"/>
  <c r="U392" i="2"/>
  <c r="P392" i="2"/>
  <c r="R391" i="2"/>
  <c r="V391" i="2"/>
  <c r="U391" i="2"/>
  <c r="P391" i="2"/>
  <c r="P390" i="2"/>
  <c r="S390" i="2" s="1"/>
  <c r="V390" i="2"/>
  <c r="U390" i="2"/>
  <c r="P389" i="2"/>
  <c r="S389" i="2" s="1"/>
  <c r="R388" i="2"/>
  <c r="V387" i="2"/>
  <c r="U387" i="2"/>
  <c r="P387" i="2"/>
  <c r="S387" i="2" s="1"/>
  <c r="R386" i="2"/>
  <c r="R385" i="2"/>
  <c r="T381" i="2"/>
  <c r="V381" i="2" s="1"/>
  <c r="R381" i="2"/>
  <c r="V378" i="2"/>
  <c r="U378" i="2"/>
  <c r="P378" i="2"/>
  <c r="S378" i="2" s="1"/>
  <c r="R377" i="2"/>
  <c r="R376" i="2"/>
  <c r="R375" i="2"/>
  <c r="P375" i="2"/>
  <c r="U374" i="2"/>
  <c r="E76" i="8"/>
  <c r="E69" i="8"/>
  <c r="R612" i="2"/>
  <c r="R592" i="2"/>
  <c r="R607" i="2"/>
  <c r="S607" i="2" s="1"/>
  <c r="P613" i="2"/>
  <c r="T607" i="2"/>
  <c r="V607" i="2" s="1"/>
  <c r="P612" i="2"/>
  <c r="R594" i="2"/>
  <c r="R595" i="2"/>
  <c r="O603" i="2"/>
  <c r="T603" i="2" s="1"/>
  <c r="U603" i="2" s="1"/>
  <c r="E70" i="8"/>
  <c r="O351" i="7"/>
  <c r="O586" i="2"/>
  <c r="T586" i="2" s="1"/>
  <c r="V586" i="2" s="1"/>
  <c r="R605" i="2"/>
  <c r="R587" i="2"/>
  <c r="R601" i="2"/>
  <c r="O139" i="7"/>
  <c r="O366" i="7"/>
  <c r="O592" i="2"/>
  <c r="T592" i="2" s="1"/>
  <c r="V592" i="2" s="1"/>
  <c r="O597" i="2"/>
  <c r="P597" i="2" s="1"/>
  <c r="H3" i="9"/>
  <c r="O166" i="2"/>
  <c r="O307" i="2"/>
  <c r="T307" i="2" s="1"/>
  <c r="U307" i="2" s="1"/>
  <c r="O408" i="2"/>
  <c r="P408" i="2" s="1"/>
  <c r="O84" i="7"/>
  <c r="O113" i="7"/>
  <c r="O154" i="7"/>
  <c r="O508" i="7"/>
  <c r="O526" i="7"/>
  <c r="N11" i="4"/>
  <c r="B24" i="4" s="1"/>
  <c r="P622" i="7"/>
  <c r="R589" i="2"/>
  <c r="R598" i="2"/>
  <c r="R603" i="2"/>
  <c r="R611" i="2"/>
  <c r="R588" i="2"/>
  <c r="O595" i="2"/>
  <c r="P595" i="2" s="1"/>
  <c r="R599" i="2"/>
  <c r="R610" i="2"/>
  <c r="S610" i="2" s="1"/>
  <c r="O588" i="2"/>
  <c r="T588" i="2" s="1"/>
  <c r="O599" i="2"/>
  <c r="T599" i="2" s="1"/>
  <c r="R596" i="2"/>
  <c r="O596" i="2"/>
  <c r="T596" i="2" s="1"/>
  <c r="V596" i="2" s="1"/>
  <c r="O589" i="2"/>
  <c r="T589" i="2" s="1"/>
  <c r="O600" i="2"/>
  <c r="P600" i="2" s="1"/>
  <c r="O635" i="7"/>
  <c r="T635" i="7" s="1"/>
  <c r="V635" i="7" s="1"/>
  <c r="O604" i="2"/>
  <c r="T604" i="2" s="1"/>
  <c r="R561" i="2"/>
  <c r="R566" i="2"/>
  <c r="O593" i="2"/>
  <c r="P593" i="2" s="1"/>
  <c r="R608" i="2"/>
  <c r="O590" i="2"/>
  <c r="T590" i="2" s="1"/>
  <c r="U590" i="2" s="1"/>
  <c r="O601" i="2"/>
  <c r="P601" i="2" s="1"/>
  <c r="O605" i="2"/>
  <c r="T605" i="2" s="1"/>
  <c r="O3" i="2"/>
  <c r="T3" i="2" s="1"/>
  <c r="V3" i="2" s="1"/>
  <c r="O594" i="2"/>
  <c r="T594" i="2" s="1"/>
  <c r="R609" i="2"/>
  <c r="O587" i="2"/>
  <c r="T587" i="2" s="1"/>
  <c r="R591" i="2"/>
  <c r="O598" i="2"/>
  <c r="T598" i="2" s="1"/>
  <c r="V598" i="2" s="1"/>
  <c r="R602" i="2"/>
  <c r="O644" i="7"/>
  <c r="T644" i="7" s="1"/>
  <c r="V644" i="7" s="1"/>
  <c r="O591" i="2"/>
  <c r="P591" i="2" s="1"/>
  <c r="O602" i="2"/>
  <c r="T602" i="2" s="1"/>
  <c r="U602" i="2" s="1"/>
  <c r="R606" i="2"/>
  <c r="O606" i="2"/>
  <c r="P606" i="2" s="1"/>
  <c r="R604" i="2"/>
  <c r="N614" i="2"/>
  <c r="R593" i="2"/>
  <c r="R600" i="2"/>
  <c r="R613" i="2"/>
  <c r="R586" i="2"/>
  <c r="R590" i="2"/>
  <c r="R597" i="2"/>
  <c r="M614" i="2"/>
  <c r="T610" i="2"/>
  <c r="V610" i="2" s="1"/>
  <c r="U611" i="2"/>
  <c r="V611" i="2"/>
  <c r="U608" i="2"/>
  <c r="V608" i="2"/>
  <c r="V609" i="2"/>
  <c r="U609" i="2"/>
  <c r="V613" i="2"/>
  <c r="U613" i="2"/>
  <c r="P609" i="2"/>
  <c r="P608" i="2"/>
  <c r="P611" i="2"/>
  <c r="U612" i="2"/>
  <c r="R578" i="2"/>
  <c r="S578" i="2" s="1"/>
  <c r="R583" i="2"/>
  <c r="R567" i="2"/>
  <c r="R559" i="2"/>
  <c r="R564" i="2"/>
  <c r="R637" i="7"/>
  <c r="R597" i="7"/>
  <c r="R621" i="7"/>
  <c r="S621" i="7" s="1"/>
  <c r="P623" i="7"/>
  <c r="R620" i="7"/>
  <c r="R623" i="7"/>
  <c r="T621" i="7"/>
  <c r="V621" i="7" s="1"/>
  <c r="R618" i="7"/>
  <c r="S618" i="7" s="1"/>
  <c r="R600" i="7"/>
  <c r="R606" i="7"/>
  <c r="R611" i="7"/>
  <c r="M624" i="7"/>
  <c r="N624" i="7"/>
  <c r="R602" i="7"/>
  <c r="R607" i="7"/>
  <c r="R617" i="7"/>
  <c r="R598" i="7"/>
  <c r="R613" i="7"/>
  <c r="R622" i="7"/>
  <c r="R647" i="7"/>
  <c r="R619" i="7"/>
  <c r="R124" i="2"/>
  <c r="S124" i="2" s="1"/>
  <c r="R582" i="2"/>
  <c r="R176" i="2"/>
  <c r="P411" i="2"/>
  <c r="R562" i="2"/>
  <c r="R577" i="2"/>
  <c r="R581" i="2"/>
  <c r="S581" i="2" s="1"/>
  <c r="R568" i="2"/>
  <c r="T581" i="2"/>
  <c r="U581" i="2" s="1"/>
  <c r="R175" i="2"/>
  <c r="R575" i="2"/>
  <c r="R177" i="2"/>
  <c r="R580" i="2"/>
  <c r="O62" i="2"/>
  <c r="P62" i="2" s="1"/>
  <c r="O77" i="2"/>
  <c r="T77" i="2" s="1"/>
  <c r="O550" i="2"/>
  <c r="P550" i="2" s="1"/>
  <c r="O95" i="7"/>
  <c r="O276" i="7"/>
  <c r="O38" i="2"/>
  <c r="P38" i="2" s="1"/>
  <c r="O48" i="2"/>
  <c r="P48" i="2" s="1"/>
  <c r="O269" i="2"/>
  <c r="P269" i="2" s="1"/>
  <c r="O8" i="7"/>
  <c r="O12" i="7"/>
  <c r="O86" i="7"/>
  <c r="O231" i="7"/>
  <c r="O240" i="7"/>
  <c r="O493" i="7"/>
  <c r="T493" i="7" s="1"/>
  <c r="U493" i="7" s="1"/>
  <c r="O642" i="7"/>
  <c r="P642" i="7" s="1"/>
  <c r="O646" i="7"/>
  <c r="P646" i="7" s="1"/>
  <c r="O598" i="7"/>
  <c r="T598" i="7" s="1"/>
  <c r="V598" i="7" s="1"/>
  <c r="O214" i="2"/>
  <c r="T214" i="2" s="1"/>
  <c r="V214" i="2" s="1"/>
  <c r="O224" i="2"/>
  <c r="T224" i="2" s="1"/>
  <c r="O338" i="2"/>
  <c r="P338" i="2" s="1"/>
  <c r="O141" i="7"/>
  <c r="O327" i="7"/>
  <c r="O4" i="2"/>
  <c r="T4" i="2" s="1"/>
  <c r="O210" i="2"/>
  <c r="P210" i="2" s="1"/>
  <c r="O354" i="2"/>
  <c r="P354" i="2" s="1"/>
  <c r="O412" i="2"/>
  <c r="T412" i="2" s="1"/>
  <c r="V412" i="2" s="1"/>
  <c r="O518" i="2"/>
  <c r="P518" i="2" s="1"/>
  <c r="O198" i="7"/>
  <c r="O451" i="7"/>
  <c r="O479" i="7"/>
  <c r="P479" i="7" s="1"/>
  <c r="O562" i="7"/>
  <c r="P562" i="7" s="1"/>
  <c r="O626" i="7"/>
  <c r="T626" i="7" s="1"/>
  <c r="V626" i="7" s="1"/>
  <c r="O602" i="7"/>
  <c r="T602" i="7" s="1"/>
  <c r="O609" i="7"/>
  <c r="T609" i="7" s="1"/>
  <c r="V609" i="7" s="1"/>
  <c r="O564" i="2"/>
  <c r="T564" i="2" s="1"/>
  <c r="V564" i="2" s="1"/>
  <c r="O571" i="2"/>
  <c r="T571" i="2" s="1"/>
  <c r="V571" i="2" s="1"/>
  <c r="O630" i="7"/>
  <c r="P630" i="7" s="1"/>
  <c r="O637" i="7"/>
  <c r="T637" i="7" s="1"/>
  <c r="V637" i="7" s="1"/>
  <c r="O606" i="7"/>
  <c r="T606" i="7" s="1"/>
  <c r="V606" i="7" s="1"/>
  <c r="O613" i="7"/>
  <c r="T613" i="7" s="1"/>
  <c r="V613" i="7" s="1"/>
  <c r="O575" i="2"/>
  <c r="T575" i="2" s="1"/>
  <c r="V575" i="2" s="1"/>
  <c r="T578" i="2"/>
  <c r="U578" i="2" s="1"/>
  <c r="O634" i="7"/>
  <c r="T634" i="7" s="1"/>
  <c r="V634" i="7" s="1"/>
  <c r="O641" i="7"/>
  <c r="P641" i="7" s="1"/>
  <c r="O561" i="2"/>
  <c r="T561" i="2" s="1"/>
  <c r="U561" i="2" s="1"/>
  <c r="O9" i="2"/>
  <c r="P9" i="2" s="1"/>
  <c r="O156" i="2"/>
  <c r="T156" i="2" s="1"/>
  <c r="V156" i="2" s="1"/>
  <c r="O434" i="2"/>
  <c r="T434" i="2" s="1"/>
  <c r="O94" i="2"/>
  <c r="T94" i="2" s="1"/>
  <c r="O152" i="2"/>
  <c r="T152" i="2" s="1"/>
  <c r="V152" i="2" s="1"/>
  <c r="O230" i="2"/>
  <c r="P230" i="2" s="1"/>
  <c r="O290" i="2"/>
  <c r="T290" i="2" s="1"/>
  <c r="V290" i="2" s="1"/>
  <c r="O300" i="2"/>
  <c r="T300" i="2" s="1"/>
  <c r="V300" i="2" s="1"/>
  <c r="O335" i="2"/>
  <c r="P335" i="2" s="1"/>
  <c r="O475" i="2"/>
  <c r="T475" i="2" s="1"/>
  <c r="O543" i="2"/>
  <c r="T543" i="2" s="1"/>
  <c r="O636" i="2"/>
  <c r="P636" i="2" s="1"/>
  <c r="P637" i="2" s="1"/>
  <c r="O9" i="7"/>
  <c r="O41" i="7"/>
  <c r="P41" i="7" s="1"/>
  <c r="O83" i="7"/>
  <c r="P83" i="7" s="1"/>
  <c r="O241" i="7"/>
  <c r="T241" i="7" s="1"/>
  <c r="O273" i="7"/>
  <c r="P273" i="7" s="1"/>
  <c r="O342" i="7"/>
  <c r="T342" i="7" s="1"/>
  <c r="O379" i="7"/>
  <c r="O466" i="7"/>
  <c r="T466" i="7" s="1"/>
  <c r="V466" i="7" s="1"/>
  <c r="O643" i="7"/>
  <c r="T643" i="7" s="1"/>
  <c r="V643" i="7" s="1"/>
  <c r="O599" i="7"/>
  <c r="P599" i="7" s="1"/>
  <c r="S599" i="7" s="1"/>
  <c r="R603" i="7"/>
  <c r="R610" i="7"/>
  <c r="O568" i="2"/>
  <c r="T568" i="2" s="1"/>
  <c r="V568" i="2" s="1"/>
  <c r="R579" i="2"/>
  <c r="O627" i="7"/>
  <c r="T627" i="7" s="1"/>
  <c r="V627" i="7" s="1"/>
  <c r="O603" i="7"/>
  <c r="T603" i="7" s="1"/>
  <c r="V603" i="7" s="1"/>
  <c r="O610" i="7"/>
  <c r="T610" i="7" s="1"/>
  <c r="R614" i="7"/>
  <c r="R558" i="2"/>
  <c r="R565" i="2"/>
  <c r="O572" i="2"/>
  <c r="P572" i="2" s="1"/>
  <c r="R576" i="2"/>
  <c r="O35" i="2"/>
  <c r="T35" i="2" s="1"/>
  <c r="V35" i="2" s="1"/>
  <c r="O142" i="2"/>
  <c r="P142" i="2" s="1"/>
  <c r="O445" i="2"/>
  <c r="T445" i="2" s="1"/>
  <c r="O105" i="2"/>
  <c r="T105" i="2" s="1"/>
  <c r="O286" i="2"/>
  <c r="T286" i="2" s="1"/>
  <c r="V286" i="2" s="1"/>
  <c r="R620" i="2"/>
  <c r="O51" i="7"/>
  <c r="O214" i="7"/>
  <c r="P214" i="7" s="1"/>
  <c r="O306" i="7"/>
  <c r="P306" i="7" s="1"/>
  <c r="O428" i="7"/>
  <c r="O559" i="7"/>
  <c r="T559" i="7" s="1"/>
  <c r="O631" i="7"/>
  <c r="T631" i="7" s="1"/>
  <c r="U631" i="7" s="1"/>
  <c r="O638" i="7"/>
  <c r="T638" i="7" s="1"/>
  <c r="V638" i="7" s="1"/>
  <c r="O614" i="7"/>
  <c r="T614" i="7" s="1"/>
  <c r="V614" i="7" s="1"/>
  <c r="O558" i="2"/>
  <c r="T558" i="2" s="1"/>
  <c r="V558" i="2" s="1"/>
  <c r="O565" i="2"/>
  <c r="T565" i="2" s="1"/>
  <c r="U565" i="2" s="1"/>
  <c r="O576" i="2"/>
  <c r="T576" i="2" s="1"/>
  <c r="V576" i="2" s="1"/>
  <c r="M584" i="2"/>
  <c r="O600" i="7"/>
  <c r="T600" i="7" s="1"/>
  <c r="V600" i="7" s="1"/>
  <c r="O607" i="7"/>
  <c r="T607" i="7" s="1"/>
  <c r="O562" i="2"/>
  <c r="T562" i="2" s="1"/>
  <c r="U562" i="2" s="1"/>
  <c r="O569" i="2"/>
  <c r="T569" i="2" s="1"/>
  <c r="V569" i="2" s="1"/>
  <c r="O65" i="2"/>
  <c r="P65" i="2" s="1"/>
  <c r="O26" i="2"/>
  <c r="T26" i="2" s="1"/>
  <c r="V26" i="2" s="1"/>
  <c r="O91" i="2"/>
  <c r="T91" i="2" s="1"/>
  <c r="O182" i="2"/>
  <c r="T182" i="2" s="1"/>
  <c r="V182" i="2" s="1"/>
  <c r="O227" i="2"/>
  <c r="T227" i="2" s="1"/>
  <c r="U227" i="2" s="1"/>
  <c r="O366" i="2"/>
  <c r="T366" i="2" s="1"/>
  <c r="O627" i="2"/>
  <c r="T627" i="2" s="1"/>
  <c r="U627" i="2" s="1"/>
  <c r="O24" i="7"/>
  <c r="O38" i="7"/>
  <c r="O66" i="7"/>
  <c r="O80" i="7"/>
  <c r="O247" i="7"/>
  <c r="T247" i="7" s="1"/>
  <c r="U247" i="7" s="1"/>
  <c r="O256" i="7"/>
  <c r="P256" i="7" s="1"/>
  <c r="O330" i="7"/>
  <c r="O339" i="7"/>
  <c r="O390" i="7"/>
  <c r="P390" i="7" s="1"/>
  <c r="O463" i="7"/>
  <c r="P463" i="7" s="1"/>
  <c r="R122" i="2"/>
  <c r="O628" i="7"/>
  <c r="P628" i="7" s="1"/>
  <c r="O604" i="7"/>
  <c r="T604" i="7" s="1"/>
  <c r="V604" i="7" s="1"/>
  <c r="O611" i="7"/>
  <c r="T611" i="7" s="1"/>
  <c r="V611" i="7" s="1"/>
  <c r="R615" i="7"/>
  <c r="T618" i="7"/>
  <c r="V618" i="7" s="1"/>
  <c r="O573" i="2"/>
  <c r="T573" i="2" s="1"/>
  <c r="V573" i="2" s="1"/>
  <c r="O632" i="7"/>
  <c r="T632" i="7" s="1"/>
  <c r="V632" i="7" s="1"/>
  <c r="O639" i="7"/>
  <c r="P639" i="7" s="1"/>
  <c r="O597" i="7"/>
  <c r="T597" i="7" s="1"/>
  <c r="V597" i="7" s="1"/>
  <c r="O615" i="7"/>
  <c r="T615" i="7" s="1"/>
  <c r="V615" i="7" s="1"/>
  <c r="O559" i="2"/>
  <c r="T559" i="2" s="1"/>
  <c r="V559" i="2" s="1"/>
  <c r="O566" i="2"/>
  <c r="P566" i="2" s="1"/>
  <c r="O577" i="2"/>
  <c r="T577" i="2" s="1"/>
  <c r="V577" i="2" s="1"/>
  <c r="O636" i="7"/>
  <c r="P636" i="7" s="1"/>
  <c r="O645" i="7"/>
  <c r="P645" i="7" s="1"/>
  <c r="R601" i="7"/>
  <c r="R608" i="7"/>
  <c r="R563" i="2"/>
  <c r="R570" i="2"/>
  <c r="O601" i="7"/>
  <c r="T601" i="7" s="1"/>
  <c r="V601" i="7" s="1"/>
  <c r="R605" i="7"/>
  <c r="O608" i="7"/>
  <c r="T608" i="7" s="1"/>
  <c r="U608" i="7" s="1"/>
  <c r="R612" i="7"/>
  <c r="O563" i="2"/>
  <c r="P563" i="2" s="1"/>
  <c r="P567" i="2"/>
  <c r="S567" i="2" s="1"/>
  <c r="O570" i="2"/>
  <c r="T570" i="2" s="1"/>
  <c r="U570" i="2" s="1"/>
  <c r="R574" i="2"/>
  <c r="O629" i="7"/>
  <c r="T629" i="7" s="1"/>
  <c r="V629" i="7" s="1"/>
  <c r="O605" i="7"/>
  <c r="T605" i="7" s="1"/>
  <c r="V605" i="7" s="1"/>
  <c r="O612" i="7"/>
  <c r="T612" i="7" s="1"/>
  <c r="V612" i="7" s="1"/>
  <c r="R616" i="7"/>
  <c r="R560" i="2"/>
  <c r="T567" i="2"/>
  <c r="U567" i="2" s="1"/>
  <c r="O574" i="2"/>
  <c r="T574" i="2" s="1"/>
  <c r="U574" i="2" s="1"/>
  <c r="O52" i="2"/>
  <c r="T52" i="2" s="1"/>
  <c r="O107" i="2"/>
  <c r="P107" i="2" s="1"/>
  <c r="O155" i="2"/>
  <c r="P155" i="2" s="1"/>
  <c r="O546" i="2"/>
  <c r="T546" i="2" s="1"/>
  <c r="V546" i="2" s="1"/>
  <c r="O618" i="2"/>
  <c r="P618" i="2" s="1"/>
  <c r="O633" i="7"/>
  <c r="P633" i="7" s="1"/>
  <c r="O640" i="7"/>
  <c r="T640" i="7" s="1"/>
  <c r="V640" i="7" s="1"/>
  <c r="O616" i="7"/>
  <c r="T616" i="7" s="1"/>
  <c r="U616" i="7" s="1"/>
  <c r="O560" i="2"/>
  <c r="T560" i="2" s="1"/>
  <c r="V560" i="2" s="1"/>
  <c r="P583" i="2"/>
  <c r="N584" i="2"/>
  <c r="R572" i="2"/>
  <c r="R569" i="2"/>
  <c r="R573" i="2"/>
  <c r="R571" i="2"/>
  <c r="V583" i="2"/>
  <c r="U583" i="2"/>
  <c r="U580" i="2"/>
  <c r="V580" i="2"/>
  <c r="V582" i="2"/>
  <c r="U582" i="2"/>
  <c r="V579" i="2"/>
  <c r="U579" i="2"/>
  <c r="P579" i="2"/>
  <c r="P580" i="2"/>
  <c r="P582" i="2"/>
  <c r="U619" i="7"/>
  <c r="V619" i="7"/>
  <c r="U620" i="7"/>
  <c r="V620" i="7"/>
  <c r="V623" i="7"/>
  <c r="U623" i="7"/>
  <c r="U617" i="7"/>
  <c r="V617" i="7"/>
  <c r="U622" i="7"/>
  <c r="P617" i="7"/>
  <c r="P620" i="7"/>
  <c r="P619" i="7"/>
  <c r="U609" i="7"/>
  <c r="R638" i="7"/>
  <c r="R641" i="7"/>
  <c r="M654" i="7"/>
  <c r="N654" i="7"/>
  <c r="R639" i="7"/>
  <c r="R650" i="7"/>
  <c r="R640" i="7"/>
  <c r="P652" i="7"/>
  <c r="P644" i="7"/>
  <c r="R630" i="7"/>
  <c r="R649" i="7"/>
  <c r="S649" i="7" s="1"/>
  <c r="R645" i="7"/>
  <c r="R651" i="7"/>
  <c r="R646" i="7"/>
  <c r="R644" i="7"/>
  <c r="R642" i="7"/>
  <c r="R653" i="7"/>
  <c r="V647" i="7"/>
  <c r="U647" i="7"/>
  <c r="P647" i="7"/>
  <c r="P134" i="7"/>
  <c r="P193" i="7"/>
  <c r="R127" i="7"/>
  <c r="R627" i="7"/>
  <c r="R652" i="7"/>
  <c r="R628" i="7"/>
  <c r="R133" i="7"/>
  <c r="T648" i="7"/>
  <c r="V648" i="7" s="1"/>
  <c r="R635" i="7"/>
  <c r="R632" i="7"/>
  <c r="R381" i="7"/>
  <c r="P651" i="7"/>
  <c r="R629" i="7"/>
  <c r="R626" i="7"/>
  <c r="R636" i="7"/>
  <c r="R648" i="7"/>
  <c r="S648" i="7" s="1"/>
  <c r="R633" i="7"/>
  <c r="T649" i="7"/>
  <c r="V649" i="7" s="1"/>
  <c r="P653" i="7"/>
  <c r="R643" i="7"/>
  <c r="R634" i="7"/>
  <c r="R631" i="7"/>
  <c r="V650" i="7"/>
  <c r="U650" i="7"/>
  <c r="V653" i="7"/>
  <c r="U653" i="7"/>
  <c r="U652" i="7"/>
  <c r="P650" i="7"/>
  <c r="U651" i="7"/>
  <c r="R592" i="7"/>
  <c r="R187" i="7"/>
  <c r="R282" i="7"/>
  <c r="R191" i="7"/>
  <c r="R439" i="7"/>
  <c r="R553" i="7"/>
  <c r="R188" i="7"/>
  <c r="R291" i="7"/>
  <c r="R189" i="7"/>
  <c r="R23" i="7"/>
  <c r="R577" i="7"/>
  <c r="R236" i="7"/>
  <c r="R448" i="7"/>
  <c r="R98" i="7"/>
  <c r="R556" i="7"/>
  <c r="P192" i="7"/>
  <c r="R89" i="7"/>
  <c r="R216" i="7"/>
  <c r="R372" i="7"/>
  <c r="E43" i="8"/>
  <c r="R26" i="7"/>
  <c r="T130" i="7"/>
  <c r="V130" i="7" s="1"/>
  <c r="O119" i="2"/>
  <c r="P119" i="2" s="1"/>
  <c r="O505" i="2"/>
  <c r="P505" i="2" s="1"/>
  <c r="O488" i="2"/>
  <c r="T488" i="2" s="1"/>
  <c r="O471" i="2"/>
  <c r="P471" i="2" s="1"/>
  <c r="O418" i="2"/>
  <c r="P418" i="2" s="1"/>
  <c r="O359" i="2"/>
  <c r="P359" i="2" s="1"/>
  <c r="O342" i="2"/>
  <c r="T342" i="2" s="1"/>
  <c r="U342" i="2" s="1"/>
  <c r="O325" i="2"/>
  <c r="P325" i="2" s="1"/>
  <c r="O274" i="2"/>
  <c r="P274" i="2" s="1"/>
  <c r="O257" i="2"/>
  <c r="T257" i="2" s="1"/>
  <c r="O240" i="2"/>
  <c r="P240" i="2" s="1"/>
  <c r="O223" i="2"/>
  <c r="T223" i="2" s="1"/>
  <c r="U223" i="2" s="1"/>
  <c r="O143" i="2"/>
  <c r="P143" i="2" s="1"/>
  <c r="O78" i="2"/>
  <c r="T78" i="2" s="1"/>
  <c r="V78" i="2" s="1"/>
  <c r="O61" i="2"/>
  <c r="T61" i="2" s="1"/>
  <c r="V61" i="2" s="1"/>
  <c r="O25" i="2"/>
  <c r="P25" i="2" s="1"/>
  <c r="O8" i="2"/>
  <c r="P8" i="2" s="1"/>
  <c r="B7" i="8"/>
  <c r="O474" i="2"/>
  <c r="P474" i="2" s="1"/>
  <c r="O457" i="2"/>
  <c r="P457" i="2" s="1"/>
  <c r="O421" i="2"/>
  <c r="P421" i="2" s="1"/>
  <c r="O362" i="2"/>
  <c r="T362" i="2" s="1"/>
  <c r="U362" i="2" s="1"/>
  <c r="O243" i="2"/>
  <c r="P243" i="2" s="1"/>
  <c r="O226" i="2"/>
  <c r="T226" i="2" s="1"/>
  <c r="O209" i="2"/>
  <c r="T209" i="2" s="1"/>
  <c r="O192" i="2"/>
  <c r="P192" i="2" s="1"/>
  <c r="O129" i="2"/>
  <c r="P129" i="2" s="1"/>
  <c r="O64" i="2"/>
  <c r="P64" i="2" s="1"/>
  <c r="O11" i="2"/>
  <c r="T11" i="2" s="1"/>
  <c r="V11" i="2" s="1"/>
  <c r="O118" i="2"/>
  <c r="T118" i="2" s="1"/>
  <c r="V118" i="2" s="1"/>
  <c r="O460" i="2"/>
  <c r="P460" i="2" s="1"/>
  <c r="O443" i="2"/>
  <c r="T443" i="2" s="1"/>
  <c r="O316" i="2"/>
  <c r="T316" i="2" s="1"/>
  <c r="O229" i="2"/>
  <c r="T229" i="2" s="1"/>
  <c r="O212" i="2"/>
  <c r="P212" i="2" s="1"/>
  <c r="O195" i="2"/>
  <c r="T195" i="2" s="1"/>
  <c r="V195" i="2" s="1"/>
  <c r="O132" i="2"/>
  <c r="P132" i="2" s="1"/>
  <c r="O103" i="2"/>
  <c r="T103" i="2" s="1"/>
  <c r="U103" i="2" s="1"/>
  <c r="O50" i="2"/>
  <c r="T50" i="2" s="1"/>
  <c r="V50" i="2" s="1"/>
  <c r="O490" i="2"/>
  <c r="P490" i="2" s="1"/>
  <c r="O420" i="2"/>
  <c r="T420" i="2" s="1"/>
  <c r="O361" i="2"/>
  <c r="P361" i="2" s="1"/>
  <c r="O344" i="2"/>
  <c r="T344" i="2" s="1"/>
  <c r="O259" i="2"/>
  <c r="P259" i="2" s="1"/>
  <c r="O128" i="2"/>
  <c r="T128" i="2" s="1"/>
  <c r="U128" i="2" s="1"/>
  <c r="O63" i="2"/>
  <c r="P63" i="2" s="1"/>
  <c r="O258" i="2"/>
  <c r="P258" i="2" s="1"/>
  <c r="O473" i="2"/>
  <c r="T473" i="2" s="1"/>
  <c r="V473" i="2" s="1"/>
  <c r="O456" i="2"/>
  <c r="P456" i="2" s="1"/>
  <c r="O242" i="2"/>
  <c r="P242" i="2" s="1"/>
  <c r="O225" i="2"/>
  <c r="P225" i="2" s="1"/>
  <c r="O208" i="2"/>
  <c r="P208" i="2" s="1"/>
  <c r="O191" i="2"/>
  <c r="T191" i="2" s="1"/>
  <c r="O27" i="2"/>
  <c r="T27" i="2" s="1"/>
  <c r="V27" i="2" s="1"/>
  <c r="O10" i="2"/>
  <c r="T10" i="2" s="1"/>
  <c r="V10" i="2" s="1"/>
  <c r="O211" i="2"/>
  <c r="P211" i="2" s="1"/>
  <c r="O506" i="2"/>
  <c r="T506" i="2" s="1"/>
  <c r="O489" i="2"/>
  <c r="P489" i="2" s="1"/>
  <c r="O472" i="2"/>
  <c r="T472" i="2" s="1"/>
  <c r="U472" i="2" s="1"/>
  <c r="O419" i="2"/>
  <c r="T419" i="2" s="1"/>
  <c r="U419" i="2" s="1"/>
  <c r="O360" i="2"/>
  <c r="T360" i="2" s="1"/>
  <c r="O343" i="2"/>
  <c r="P343" i="2" s="1"/>
  <c r="O117" i="2"/>
  <c r="P117" i="2" s="1"/>
  <c r="O503" i="2"/>
  <c r="P503" i="2" s="1"/>
  <c r="O486" i="2"/>
  <c r="P486" i="2" s="1"/>
  <c r="O469" i="2"/>
  <c r="P469" i="2" s="1"/>
  <c r="O433" i="2"/>
  <c r="P433" i="2" s="1"/>
  <c r="O357" i="2"/>
  <c r="P357" i="2" s="1"/>
  <c r="O340" i="2"/>
  <c r="T340" i="2" s="1"/>
  <c r="O323" i="2"/>
  <c r="P323" i="2" s="1"/>
  <c r="O306" i="2"/>
  <c r="P306" i="2" s="1"/>
  <c r="O289" i="2"/>
  <c r="P289" i="2" s="1"/>
  <c r="O272" i="2"/>
  <c r="P272" i="2" s="1"/>
  <c r="O255" i="2"/>
  <c r="P255" i="2" s="1"/>
  <c r="O238" i="2"/>
  <c r="T238" i="2" s="1"/>
  <c r="V238" i="2" s="1"/>
  <c r="O141" i="2"/>
  <c r="P141" i="2" s="1"/>
  <c r="O93" i="2"/>
  <c r="P93" i="2" s="1"/>
  <c r="O76" i="2"/>
  <c r="P76" i="2" s="1"/>
  <c r="O40" i="2"/>
  <c r="P40" i="2" s="1"/>
  <c r="O23" i="2"/>
  <c r="T23" i="2" s="1"/>
  <c r="V23" i="2" s="1"/>
  <c r="O6" i="2"/>
  <c r="T6" i="2" s="1"/>
  <c r="V6" i="2" s="1"/>
  <c r="O228" i="2"/>
  <c r="P228" i="2" s="1"/>
  <c r="O131" i="2"/>
  <c r="T131" i="2" s="1"/>
  <c r="V131" i="2" s="1"/>
  <c r="O66" i="2"/>
  <c r="P66" i="2" s="1"/>
  <c r="O49" i="2"/>
  <c r="T49" i="2" s="1"/>
  <c r="O446" i="2"/>
  <c r="P446" i="2" s="1"/>
  <c r="O336" i="2"/>
  <c r="T336" i="2" s="1"/>
  <c r="V336" i="2" s="1"/>
  <c r="O319" i="2"/>
  <c r="P319" i="2" s="1"/>
  <c r="O302" i="2"/>
  <c r="T302" i="2" s="1"/>
  <c r="U302" i="2" s="1"/>
  <c r="O285" i="2"/>
  <c r="P285" i="2" s="1"/>
  <c r="O268" i="2"/>
  <c r="T268" i="2" s="1"/>
  <c r="O198" i="2"/>
  <c r="T198" i="2" s="1"/>
  <c r="O154" i="2"/>
  <c r="P154" i="2" s="1"/>
  <c r="O106" i="2"/>
  <c r="T106" i="2" s="1"/>
  <c r="U106" i="2" s="1"/>
  <c r="O89" i="2"/>
  <c r="T89" i="2" s="1"/>
  <c r="V89" i="2" s="1"/>
  <c r="O53" i="2"/>
  <c r="T53" i="2" s="1"/>
  <c r="V53" i="2" s="1"/>
  <c r="O36" i="2"/>
  <c r="P36" i="2" s="1"/>
  <c r="O459" i="2"/>
  <c r="T459" i="2" s="1"/>
  <c r="O194" i="2"/>
  <c r="T194" i="2" s="1"/>
  <c r="V194" i="2" s="1"/>
  <c r="O102" i="2"/>
  <c r="P102" i="2" s="1"/>
  <c r="O120" i="2"/>
  <c r="T120" i="2" s="1"/>
  <c r="U120" i="2" s="1"/>
  <c r="O116" i="2"/>
  <c r="T116" i="2" s="1"/>
  <c r="V116" i="2" s="1"/>
  <c r="O502" i="2"/>
  <c r="P502" i="2" s="1"/>
  <c r="O485" i="2"/>
  <c r="P485" i="2" s="1"/>
  <c r="O432" i="2"/>
  <c r="T432" i="2" s="1"/>
  <c r="O356" i="2"/>
  <c r="P356" i="2" s="1"/>
  <c r="O339" i="2"/>
  <c r="T339" i="2" s="1"/>
  <c r="U339" i="2" s="1"/>
  <c r="O322" i="2"/>
  <c r="T322" i="2" s="1"/>
  <c r="O305" i="2"/>
  <c r="T305" i="2" s="1"/>
  <c r="O288" i="2"/>
  <c r="P288" i="2" s="1"/>
  <c r="O271" i="2"/>
  <c r="T271" i="2" s="1"/>
  <c r="V271" i="2" s="1"/>
  <c r="O254" i="2"/>
  <c r="T254" i="2" s="1"/>
  <c r="O140" i="2"/>
  <c r="P140" i="2" s="1"/>
  <c r="O92" i="2"/>
  <c r="T92" i="2" s="1"/>
  <c r="V92" i="2" s="1"/>
  <c r="O75" i="2"/>
  <c r="P75" i="2" s="1"/>
  <c r="O39" i="2"/>
  <c r="P39" i="2" s="1"/>
  <c r="O22" i="2"/>
  <c r="P22" i="2" s="1"/>
  <c r="O5" i="2"/>
  <c r="T5" i="2" s="1"/>
  <c r="V5" i="2" s="1"/>
  <c r="O74" i="2"/>
  <c r="P74" i="2" s="1"/>
  <c r="O144" i="2"/>
  <c r="T144" i="2" s="1"/>
  <c r="U144" i="2" s="1"/>
  <c r="O197" i="2"/>
  <c r="T197" i="2" s="1"/>
  <c r="O422" i="2"/>
  <c r="P422" i="2" s="1"/>
  <c r="O504" i="2"/>
  <c r="P504" i="2" s="1"/>
  <c r="O187" i="7"/>
  <c r="T187" i="7" s="1"/>
  <c r="U187" i="7" s="1"/>
  <c r="O128" i="7"/>
  <c r="T128" i="7" s="1"/>
  <c r="U128" i="7" s="1"/>
  <c r="O706" i="7"/>
  <c r="T706" i="7" s="1"/>
  <c r="O579" i="7"/>
  <c r="P579" i="7" s="1"/>
  <c r="O555" i="7"/>
  <c r="P555" i="7" s="1"/>
  <c r="O522" i="7"/>
  <c r="P522" i="7" s="1"/>
  <c r="O489" i="7"/>
  <c r="P489" i="7" s="1"/>
  <c r="O480" i="7"/>
  <c r="T480" i="7" s="1"/>
  <c r="O438" i="7"/>
  <c r="T438" i="7" s="1"/>
  <c r="O429" i="7"/>
  <c r="P429" i="7" s="1"/>
  <c r="O380" i="7"/>
  <c r="P380" i="7" s="1"/>
  <c r="O371" i="7"/>
  <c r="T371" i="7" s="1"/>
  <c r="U371" i="7" s="1"/>
  <c r="O347" i="7"/>
  <c r="T347" i="7" s="1"/>
  <c r="V347" i="7" s="1"/>
  <c r="O323" i="7"/>
  <c r="T323" i="7" s="1"/>
  <c r="O290" i="7"/>
  <c r="P290" i="7" s="1"/>
  <c r="O257" i="7"/>
  <c r="T257" i="7" s="1"/>
  <c r="O224" i="7"/>
  <c r="P224" i="7" s="1"/>
  <c r="O215" i="7"/>
  <c r="O164" i="7"/>
  <c r="T164" i="7" s="1"/>
  <c r="U164" i="7" s="1"/>
  <c r="O155" i="7"/>
  <c r="P155" i="7" s="1"/>
  <c r="O109" i="7"/>
  <c r="T109" i="7" s="1"/>
  <c r="O100" i="7"/>
  <c r="T100" i="7" s="1"/>
  <c r="V100" i="7" s="1"/>
  <c r="O67" i="7"/>
  <c r="P67" i="7" s="1"/>
  <c r="O25" i="7"/>
  <c r="T25" i="7" s="1"/>
  <c r="V25" i="7" s="1"/>
  <c r="O639" i="2"/>
  <c r="P639" i="2" s="1"/>
  <c r="O539" i="2"/>
  <c r="T539" i="2" s="1"/>
  <c r="O522" i="2"/>
  <c r="P522" i="2" s="1"/>
  <c r="O435" i="2"/>
  <c r="T435" i="2" s="1"/>
  <c r="V435" i="2" s="1"/>
  <c r="O399" i="2"/>
  <c r="P399" i="2" s="1"/>
  <c r="O308" i="2"/>
  <c r="P308" i="2" s="1"/>
  <c r="O291" i="2"/>
  <c r="P291" i="2" s="1"/>
  <c r="O95" i="2"/>
  <c r="T95" i="2" s="1"/>
  <c r="V95" i="2" s="1"/>
  <c r="O687" i="7"/>
  <c r="T687" i="7" s="1"/>
  <c r="V687" i="7" s="1"/>
  <c r="O575" i="7"/>
  <c r="T575" i="7" s="1"/>
  <c r="O542" i="7"/>
  <c r="T542" i="7" s="1"/>
  <c r="V542" i="7" s="1"/>
  <c r="O509" i="7"/>
  <c r="T509" i="7" s="1"/>
  <c r="O476" i="7"/>
  <c r="P476" i="7" s="1"/>
  <c r="O467" i="7"/>
  <c r="T467" i="7" s="1"/>
  <c r="O425" i="7"/>
  <c r="P425" i="7" s="1"/>
  <c r="O391" i="7"/>
  <c r="T391" i="7" s="1"/>
  <c r="V391" i="7" s="1"/>
  <c r="O367" i="7"/>
  <c r="T367" i="7" s="1"/>
  <c r="O343" i="7"/>
  <c r="P343" i="7" s="1"/>
  <c r="O310" i="7"/>
  <c r="T310" i="7" s="1"/>
  <c r="O277" i="7"/>
  <c r="P277" i="7" s="1"/>
  <c r="O244" i="7"/>
  <c r="T244" i="7" s="1"/>
  <c r="O211" i="7"/>
  <c r="T211" i="7" s="1"/>
  <c r="O151" i="7"/>
  <c r="P151" i="7" s="1"/>
  <c r="O142" i="7"/>
  <c r="T142" i="7" s="1"/>
  <c r="U142" i="7" s="1"/>
  <c r="O96" i="7"/>
  <c r="T96" i="7" s="1"/>
  <c r="V96" i="7" s="1"/>
  <c r="O54" i="7"/>
  <c r="P54" i="7" s="1"/>
  <c r="O189" i="7"/>
  <c r="T189" i="7" s="1"/>
  <c r="V189" i="7" s="1"/>
  <c r="O176" i="2"/>
  <c r="T176" i="2" s="1"/>
  <c r="V176" i="2" s="1"/>
  <c r="O124" i="7"/>
  <c r="T124" i="7" s="1"/>
  <c r="V124" i="7" s="1"/>
  <c r="O582" i="7"/>
  <c r="P582" i="7" s="1"/>
  <c r="O558" i="7"/>
  <c r="P558" i="7" s="1"/>
  <c r="O525" i="7"/>
  <c r="T525" i="7" s="1"/>
  <c r="V525" i="7" s="1"/>
  <c r="O492" i="7"/>
  <c r="P492" i="7" s="1"/>
  <c r="O450" i="7"/>
  <c r="P450" i="7" s="1"/>
  <c r="O441" i="7"/>
  <c r="P441" i="7" s="1"/>
  <c r="O383" i="7"/>
  <c r="P383" i="7" s="1"/>
  <c r="O359" i="7"/>
  <c r="T359" i="7" s="1"/>
  <c r="V359" i="7" s="1"/>
  <c r="O350" i="7"/>
  <c r="T350" i="7" s="1"/>
  <c r="O326" i="7"/>
  <c r="P326" i="7" s="1"/>
  <c r="O293" i="7"/>
  <c r="P293" i="7" s="1"/>
  <c r="O260" i="7"/>
  <c r="P260" i="7" s="1"/>
  <c r="O227" i="7"/>
  <c r="T227" i="7" s="1"/>
  <c r="O176" i="7"/>
  <c r="T176" i="7" s="1"/>
  <c r="O167" i="7"/>
  <c r="P167" i="7" s="1"/>
  <c r="O112" i="7"/>
  <c r="T112" i="7" s="1"/>
  <c r="O79" i="7"/>
  <c r="P79" i="7" s="1"/>
  <c r="O70" i="7"/>
  <c r="T70" i="7" s="1"/>
  <c r="O37" i="7"/>
  <c r="P37" i="7" s="1"/>
  <c r="O28" i="7"/>
  <c r="P28" i="7" s="1"/>
  <c r="O4" i="7"/>
  <c r="P4" i="7" s="1"/>
  <c r="O617" i="2"/>
  <c r="T617" i="2" s="1"/>
  <c r="O542" i="2"/>
  <c r="P542" i="2" s="1"/>
  <c r="O525" i="2"/>
  <c r="P525" i="2" s="1"/>
  <c r="O508" i="2"/>
  <c r="T508" i="2" s="1"/>
  <c r="V508" i="2" s="1"/>
  <c r="O491" i="2"/>
  <c r="P491" i="2" s="1"/>
  <c r="O402" i="2"/>
  <c r="P402" i="2" s="1"/>
  <c r="O345" i="2"/>
  <c r="T345" i="2" s="1"/>
  <c r="U345" i="2" s="1"/>
  <c r="O328" i="2"/>
  <c r="P328" i="2" s="1"/>
  <c r="O260" i="2"/>
  <c r="P260" i="2" s="1"/>
  <c r="O165" i="2"/>
  <c r="P165" i="2" s="1"/>
  <c r="O81" i="2"/>
  <c r="P81" i="2" s="1"/>
  <c r="O28" i="2"/>
  <c r="T28" i="2" s="1"/>
  <c r="V28" i="2" s="1"/>
  <c r="O127" i="7"/>
  <c r="T127" i="7" s="1"/>
  <c r="V127" i="7" s="1"/>
  <c r="O585" i="7"/>
  <c r="T585" i="7" s="1"/>
  <c r="V585" i="7" s="1"/>
  <c r="O561" i="7"/>
  <c r="T561" i="7" s="1"/>
  <c r="O537" i="7"/>
  <c r="T537" i="7" s="1"/>
  <c r="O504" i="7"/>
  <c r="P504" i="7" s="1"/>
  <c r="O495" i="7"/>
  <c r="P495" i="7" s="1"/>
  <c r="O462" i="7"/>
  <c r="T462" i="7" s="1"/>
  <c r="U462" i="7" s="1"/>
  <c r="O453" i="7"/>
  <c r="P453" i="7" s="1"/>
  <c r="O386" i="7"/>
  <c r="P386" i="7" s="1"/>
  <c r="O362" i="7"/>
  <c r="P362" i="7" s="1"/>
  <c r="O329" i="7"/>
  <c r="P329" i="7" s="1"/>
  <c r="O305" i="7"/>
  <c r="P305" i="7" s="1"/>
  <c r="O296" i="7"/>
  <c r="P296" i="7" s="1"/>
  <c r="O272" i="7"/>
  <c r="T272" i="7" s="1"/>
  <c r="U272" i="7" s="1"/>
  <c r="O263" i="7"/>
  <c r="P263" i="7" s="1"/>
  <c r="O230" i="7"/>
  <c r="P230" i="7" s="1"/>
  <c r="O206" i="7"/>
  <c r="T206" i="7" s="1"/>
  <c r="O197" i="7"/>
  <c r="T197" i="7" s="1"/>
  <c r="O179" i="7"/>
  <c r="T179" i="7" s="1"/>
  <c r="V179" i="7" s="1"/>
  <c r="O137" i="7"/>
  <c r="P137" i="7" s="1"/>
  <c r="O115" i="7"/>
  <c r="P115" i="7" s="1"/>
  <c r="O82" i="7"/>
  <c r="P82" i="7" s="1"/>
  <c r="O40" i="7"/>
  <c r="P40" i="7" s="1"/>
  <c r="O7" i="7"/>
  <c r="T7" i="7" s="1"/>
  <c r="V7" i="7" s="1"/>
  <c r="O620" i="2"/>
  <c r="T620" i="2" s="1"/>
  <c r="U620" i="2" s="1"/>
  <c r="O545" i="2"/>
  <c r="P545" i="2" s="1"/>
  <c r="O528" i="2"/>
  <c r="T528" i="2" s="1"/>
  <c r="O407" i="2"/>
  <c r="P407" i="2" s="1"/>
  <c r="O365" i="2"/>
  <c r="P365" i="2" s="1"/>
  <c r="O168" i="2"/>
  <c r="P168" i="2" s="1"/>
  <c r="O67" i="2"/>
  <c r="T67" i="2" s="1"/>
  <c r="V67" i="2" s="1"/>
  <c r="O14" i="2"/>
  <c r="T14" i="2" s="1"/>
  <c r="U14" i="2" s="1"/>
  <c r="O259" i="7"/>
  <c r="P259" i="7" s="1"/>
  <c r="O226" i="7"/>
  <c r="P226" i="7" s="1"/>
  <c r="O166" i="7"/>
  <c r="T166" i="7" s="1"/>
  <c r="O111" i="7"/>
  <c r="P111" i="7" s="1"/>
  <c r="O69" i="7"/>
  <c r="P69" i="7" s="1"/>
  <c r="O3" i="7"/>
  <c r="T3" i="7" s="1"/>
  <c r="O541" i="2"/>
  <c r="T541" i="2" s="1"/>
  <c r="V541" i="2" s="1"/>
  <c r="O524" i="2"/>
  <c r="T524" i="2" s="1"/>
  <c r="O401" i="2"/>
  <c r="P401" i="2" s="1"/>
  <c r="O327" i="2"/>
  <c r="T327" i="2" s="1"/>
  <c r="V327" i="2" s="1"/>
  <c r="O145" i="2"/>
  <c r="T145" i="2" s="1"/>
  <c r="V145" i="2" s="1"/>
  <c r="O584" i="7"/>
  <c r="P584" i="7" s="1"/>
  <c r="O560" i="7"/>
  <c r="T560" i="7" s="1"/>
  <c r="O385" i="7"/>
  <c r="T385" i="7" s="1"/>
  <c r="O262" i="7"/>
  <c r="P262" i="7" s="1"/>
  <c r="O196" i="7"/>
  <c r="T196" i="7" s="1"/>
  <c r="O39" i="7"/>
  <c r="T39" i="7" s="1"/>
  <c r="U39" i="7" s="1"/>
  <c r="O364" i="2"/>
  <c r="P364" i="2" s="1"/>
  <c r="O347" i="2"/>
  <c r="T347" i="2" s="1"/>
  <c r="U347" i="2" s="1"/>
  <c r="O709" i="7"/>
  <c r="T709" i="7" s="1"/>
  <c r="O580" i="7"/>
  <c r="P580" i="7" s="1"/>
  <c r="O556" i="7"/>
  <c r="T556" i="7" s="1"/>
  <c r="O523" i="7"/>
  <c r="T523" i="7" s="1"/>
  <c r="U523" i="7" s="1"/>
  <c r="O490" i="7"/>
  <c r="P490" i="7" s="1"/>
  <c r="O481" i="7"/>
  <c r="T481" i="7" s="1"/>
  <c r="O448" i="7"/>
  <c r="P448" i="7" s="1"/>
  <c r="O439" i="7"/>
  <c r="P439" i="7" s="1"/>
  <c r="S439" i="7" s="1"/>
  <c r="O430" i="7"/>
  <c r="P430" i="7" s="1"/>
  <c r="O381" i="7"/>
  <c r="T381" i="7" s="1"/>
  <c r="V381" i="7" s="1"/>
  <c r="O348" i="7"/>
  <c r="P348" i="7" s="1"/>
  <c r="O324" i="7"/>
  <c r="T324" i="7" s="1"/>
  <c r="V324" i="7" s="1"/>
  <c r="O258" i="7"/>
  <c r="T258" i="7" s="1"/>
  <c r="O436" i="2"/>
  <c r="T436" i="2" s="1"/>
  <c r="V436" i="2" s="1"/>
  <c r="O400" i="2"/>
  <c r="P400" i="2" s="1"/>
  <c r="O292" i="2"/>
  <c r="T292" i="2" s="1"/>
  <c r="U292" i="2" s="1"/>
  <c r="O121" i="2"/>
  <c r="P121" i="2" s="1"/>
  <c r="O712" i="7"/>
  <c r="T712" i="7" s="1"/>
  <c r="O581" i="7"/>
  <c r="P581" i="7" s="1"/>
  <c r="O557" i="7"/>
  <c r="P557" i="7" s="1"/>
  <c r="O524" i="7"/>
  <c r="T524" i="7" s="1"/>
  <c r="V524" i="7" s="1"/>
  <c r="O491" i="7"/>
  <c r="P491" i="7" s="1"/>
  <c r="O449" i="7"/>
  <c r="P449" i="7" s="1"/>
  <c r="O440" i="7"/>
  <c r="P440" i="7" s="1"/>
  <c r="O382" i="7"/>
  <c r="T382" i="7" s="1"/>
  <c r="O349" i="7"/>
  <c r="P349" i="7" s="1"/>
  <c r="O325" i="7"/>
  <c r="T325" i="7" s="1"/>
  <c r="O292" i="7"/>
  <c r="T292" i="7" s="1"/>
  <c r="O27" i="7"/>
  <c r="P27" i="7" s="1"/>
  <c r="O616" i="2"/>
  <c r="T616" i="2" s="1"/>
  <c r="O507" i="2"/>
  <c r="P507" i="2" s="1"/>
  <c r="O276" i="2"/>
  <c r="P276" i="2" s="1"/>
  <c r="O164" i="2"/>
  <c r="T164" i="2" s="1"/>
  <c r="V164" i="2" s="1"/>
  <c r="O80" i="2"/>
  <c r="P80" i="2" s="1"/>
  <c r="O619" i="2"/>
  <c r="P619" i="2" s="1"/>
  <c r="O544" i="2"/>
  <c r="T544" i="2" s="1"/>
  <c r="O291" i="7"/>
  <c r="T291" i="7" s="1"/>
  <c r="O225" i="7"/>
  <c r="P225" i="7" s="1"/>
  <c r="O216" i="7"/>
  <c r="T216" i="7" s="1"/>
  <c r="V216" i="7" s="1"/>
  <c r="O165" i="7"/>
  <c r="P165" i="7" s="1"/>
  <c r="O110" i="7"/>
  <c r="T110" i="7" s="1"/>
  <c r="U110" i="7" s="1"/>
  <c r="O101" i="7"/>
  <c r="P101" i="7" s="1"/>
  <c r="O68" i="7"/>
  <c r="P68" i="7" s="1"/>
  <c r="O26" i="7"/>
  <c r="P26" i="7" s="1"/>
  <c r="O642" i="2"/>
  <c r="P642" i="2" s="1"/>
  <c r="P643" i="2" s="1"/>
  <c r="O540" i="2"/>
  <c r="P540" i="2" s="1"/>
  <c r="O523" i="2"/>
  <c r="T523" i="2" s="1"/>
  <c r="O326" i="2"/>
  <c r="T326" i="2" s="1"/>
  <c r="O275" i="2"/>
  <c r="T275" i="2" s="1"/>
  <c r="O191" i="7"/>
  <c r="T191" i="7" s="1"/>
  <c r="U191" i="7" s="1"/>
  <c r="O178" i="2"/>
  <c r="T178" i="2" s="1"/>
  <c r="O175" i="2"/>
  <c r="T175" i="2" s="1"/>
  <c r="V175" i="2" s="1"/>
  <c r="O126" i="7"/>
  <c r="T126" i="7" s="1"/>
  <c r="O700" i="7"/>
  <c r="T700" i="7" s="1"/>
  <c r="O689" i="7"/>
  <c r="T689" i="7" s="1"/>
  <c r="O577" i="7"/>
  <c r="P577" i="7" s="1"/>
  <c r="O553" i="7"/>
  <c r="T553" i="7" s="1"/>
  <c r="O544" i="7"/>
  <c r="T544" i="7" s="1"/>
  <c r="V544" i="7" s="1"/>
  <c r="O520" i="7"/>
  <c r="P520" i="7" s="1"/>
  <c r="O478" i="7"/>
  <c r="P478" i="7" s="1"/>
  <c r="O436" i="7"/>
  <c r="T436" i="7" s="1"/>
  <c r="O427" i="7"/>
  <c r="T427" i="7" s="1"/>
  <c r="U427" i="7" s="1"/>
  <c r="O369" i="7"/>
  <c r="T369" i="7" s="1"/>
  <c r="O345" i="7"/>
  <c r="T345" i="7" s="1"/>
  <c r="O312" i="7"/>
  <c r="P312" i="7" s="1"/>
  <c r="O288" i="7"/>
  <c r="P288" i="7" s="1"/>
  <c r="O279" i="7"/>
  <c r="T279" i="7" s="1"/>
  <c r="V279" i="7" s="1"/>
  <c r="O246" i="7"/>
  <c r="P246" i="7" s="1"/>
  <c r="O213" i="7"/>
  <c r="T213" i="7" s="1"/>
  <c r="U213" i="7" s="1"/>
  <c r="O153" i="7"/>
  <c r="T153" i="7" s="1"/>
  <c r="V153" i="7" s="1"/>
  <c r="O98" i="7"/>
  <c r="P98" i="7" s="1"/>
  <c r="O65" i="7"/>
  <c r="T65" i="7" s="1"/>
  <c r="O56" i="7"/>
  <c r="P56" i="7" s="1"/>
  <c r="O23" i="7"/>
  <c r="P23" i="7" s="1"/>
  <c r="O14" i="7"/>
  <c r="T14" i="7" s="1"/>
  <c r="O633" i="2"/>
  <c r="T633" i="2" s="1"/>
  <c r="U633" i="2" s="1"/>
  <c r="O537" i="2"/>
  <c r="T537" i="2" s="1"/>
  <c r="V537" i="2" s="1"/>
  <c r="O520" i="2"/>
  <c r="P520" i="2" s="1"/>
  <c r="O397" i="2"/>
  <c r="T397" i="2" s="1"/>
  <c r="O185" i="2"/>
  <c r="P185" i="2" s="1"/>
  <c r="O295" i="7"/>
  <c r="P295" i="7" s="1"/>
  <c r="O178" i="7"/>
  <c r="T178" i="7" s="1"/>
  <c r="V178" i="7" s="1"/>
  <c r="O114" i="7"/>
  <c r="P114" i="7" s="1"/>
  <c r="O6" i="7"/>
  <c r="P6" i="7" s="1"/>
  <c r="O527" i="2"/>
  <c r="T527" i="2" s="1"/>
  <c r="O167" i="2"/>
  <c r="T167" i="2" s="1"/>
  <c r="O13" i="2"/>
  <c r="T13" i="2" s="1"/>
  <c r="O188" i="7"/>
  <c r="T188" i="7" s="1"/>
  <c r="O685" i="7"/>
  <c r="T685" i="7" s="1"/>
  <c r="O588" i="7"/>
  <c r="P588" i="7" s="1"/>
  <c r="O564" i="7"/>
  <c r="T564" i="7" s="1"/>
  <c r="O540" i="7"/>
  <c r="P540" i="7" s="1"/>
  <c r="O507" i="7"/>
  <c r="P507" i="7" s="1"/>
  <c r="O465" i="7"/>
  <c r="P465" i="7" s="1"/>
  <c r="O389" i="7"/>
  <c r="P389" i="7" s="1"/>
  <c r="O365" i="7"/>
  <c r="T365" i="7" s="1"/>
  <c r="V365" i="7" s="1"/>
  <c r="O341" i="7"/>
  <c r="P341" i="7" s="1"/>
  <c r="O308" i="7"/>
  <c r="T308" i="7" s="1"/>
  <c r="O275" i="7"/>
  <c r="T275" i="7" s="1"/>
  <c r="V275" i="7" s="1"/>
  <c r="O242" i="7"/>
  <c r="P242" i="7" s="1"/>
  <c r="O209" i="7"/>
  <c r="T209" i="7" s="1"/>
  <c r="O200" i="7"/>
  <c r="T200" i="7" s="1"/>
  <c r="O140" i="7"/>
  <c r="T140" i="7" s="1"/>
  <c r="O94" i="7"/>
  <c r="T94" i="7" s="1"/>
  <c r="O85" i="7"/>
  <c r="P85" i="7" s="1"/>
  <c r="O52" i="7"/>
  <c r="P52" i="7" s="1"/>
  <c r="O43" i="7"/>
  <c r="T43" i="7" s="1"/>
  <c r="U43" i="7" s="1"/>
  <c r="O10" i="7"/>
  <c r="T10" i="7" s="1"/>
  <c r="O548" i="2"/>
  <c r="P548" i="2" s="1"/>
  <c r="O516" i="2"/>
  <c r="P516" i="2" s="1"/>
  <c r="O410" i="2"/>
  <c r="P410" i="2" s="1"/>
  <c r="O215" i="2"/>
  <c r="T215" i="2" s="1"/>
  <c r="O503" i="7"/>
  <c r="T503" i="7" s="1"/>
  <c r="U503" i="7" s="1"/>
  <c r="O494" i="7"/>
  <c r="T494" i="7" s="1"/>
  <c r="O461" i="7"/>
  <c r="T461" i="7" s="1"/>
  <c r="V461" i="7" s="1"/>
  <c r="O452" i="7"/>
  <c r="P452" i="7" s="1"/>
  <c r="O361" i="7"/>
  <c r="T361" i="7" s="1"/>
  <c r="V361" i="7" s="1"/>
  <c r="O328" i="7"/>
  <c r="P328" i="7" s="1"/>
  <c r="O229" i="7"/>
  <c r="T229" i="7" s="1"/>
  <c r="V229" i="7" s="1"/>
  <c r="O205" i="7"/>
  <c r="P205" i="7" s="1"/>
  <c r="O81" i="7"/>
  <c r="P81" i="7" s="1"/>
  <c r="O423" i="2"/>
  <c r="P423" i="2" s="1"/>
  <c r="O245" i="2"/>
  <c r="P245" i="2" s="1"/>
  <c r="O129" i="7"/>
  <c r="P129" i="7" s="1"/>
  <c r="O190" i="7"/>
  <c r="P190" i="7" s="1"/>
  <c r="O125" i="7"/>
  <c r="P125" i="7" s="1"/>
  <c r="O697" i="7"/>
  <c r="P697" i="7" s="1"/>
  <c r="P698" i="7" s="1"/>
  <c r="O688" i="7"/>
  <c r="P688" i="7" s="1"/>
  <c r="O576" i="7"/>
  <c r="T576" i="7" s="1"/>
  <c r="O543" i="7"/>
  <c r="P543" i="7" s="1"/>
  <c r="O477" i="7"/>
  <c r="P477" i="7" s="1"/>
  <c r="O426" i="7"/>
  <c r="T426" i="7" s="1"/>
  <c r="O368" i="7"/>
  <c r="T368" i="7" s="1"/>
  <c r="O344" i="7"/>
  <c r="T344" i="7" s="1"/>
  <c r="U344" i="7" s="1"/>
  <c r="O311" i="7"/>
  <c r="T311" i="7" s="1"/>
  <c r="V311" i="7" s="1"/>
  <c r="O278" i="7"/>
  <c r="P278" i="7" s="1"/>
  <c r="O245" i="7"/>
  <c r="T245" i="7" s="1"/>
  <c r="V245" i="7" s="1"/>
  <c r="O212" i="7"/>
  <c r="T212" i="7" s="1"/>
  <c r="O152" i="7"/>
  <c r="T152" i="7" s="1"/>
  <c r="O97" i="7"/>
  <c r="T97" i="7" s="1"/>
  <c r="U97" i="7" s="1"/>
  <c r="O55" i="7"/>
  <c r="T55" i="7" s="1"/>
  <c r="V55" i="7" s="1"/>
  <c r="O13" i="7"/>
  <c r="T13" i="7" s="1"/>
  <c r="O630" i="2"/>
  <c r="P630" i="2" s="1"/>
  <c r="O536" i="2"/>
  <c r="T536" i="2" s="1"/>
  <c r="O519" i="2"/>
  <c r="T519" i="2" s="1"/>
  <c r="V519" i="2" s="1"/>
  <c r="O449" i="2"/>
  <c r="T449" i="2" s="1"/>
  <c r="U449" i="2" s="1"/>
  <c r="O396" i="2"/>
  <c r="P396" i="2" s="1"/>
  <c r="O201" i="2"/>
  <c r="T201" i="2" s="1"/>
  <c r="V201" i="2" s="1"/>
  <c r="O184" i="2"/>
  <c r="T184" i="2" s="1"/>
  <c r="O157" i="2"/>
  <c r="P157" i="2" s="1"/>
  <c r="O109" i="2"/>
  <c r="P109" i="2" s="1"/>
  <c r="O177" i="2"/>
  <c r="P177" i="2" s="1"/>
  <c r="O587" i="7"/>
  <c r="P587" i="7" s="1"/>
  <c r="O563" i="7"/>
  <c r="P563" i="7" s="1"/>
  <c r="O539" i="7"/>
  <c r="T539" i="7" s="1"/>
  <c r="U539" i="7" s="1"/>
  <c r="O506" i="7"/>
  <c r="T506" i="7" s="1"/>
  <c r="O464" i="7"/>
  <c r="T464" i="7" s="1"/>
  <c r="O388" i="7"/>
  <c r="T388" i="7" s="1"/>
  <c r="O364" i="7"/>
  <c r="T364" i="7" s="1"/>
  <c r="V364" i="7" s="1"/>
  <c r="O340" i="7"/>
  <c r="P340" i="7" s="1"/>
  <c r="O307" i="7"/>
  <c r="P307" i="7" s="1"/>
  <c r="O274" i="7"/>
  <c r="T274" i="7" s="1"/>
  <c r="V274" i="7" s="1"/>
  <c r="O193" i="2"/>
  <c r="P193" i="2" s="1"/>
  <c r="O284" i="2"/>
  <c r="P284" i="2" s="1"/>
  <c r="O79" i="2"/>
  <c r="P79" i="2" s="1"/>
  <c r="O130" i="2"/>
  <c r="P130" i="2" s="1"/>
  <c r="O317" i="2"/>
  <c r="T317" i="2" s="1"/>
  <c r="O321" i="2"/>
  <c r="T321" i="2" s="1"/>
  <c r="O447" i="2"/>
  <c r="P447" i="2" s="1"/>
  <c r="O578" i="7"/>
  <c r="P578" i="7" s="1"/>
  <c r="O104" i="2"/>
  <c r="T104" i="2" s="1"/>
  <c r="U104" i="2" s="1"/>
  <c r="O241" i="2"/>
  <c r="P241" i="2" s="1"/>
  <c r="O270" i="2"/>
  <c r="P270" i="2" s="1"/>
  <c r="O303" i="2"/>
  <c r="P303" i="2" s="1"/>
  <c r="O355" i="2"/>
  <c r="P355" i="2" s="1"/>
  <c r="O583" i="7"/>
  <c r="T583" i="7" s="1"/>
  <c r="O703" i="7"/>
  <c r="P703" i="7" s="1"/>
  <c r="O174" i="2"/>
  <c r="O501" i="2"/>
  <c r="T501" i="2" s="1"/>
  <c r="U501" i="2" s="1"/>
  <c r="O690" i="7"/>
  <c r="T690" i="7" s="1"/>
  <c r="O12" i="2"/>
  <c r="T12" i="2" s="1"/>
  <c r="V12" i="2" s="1"/>
  <c r="O51" i="2"/>
  <c r="P51" i="2" s="1"/>
  <c r="O90" i="2"/>
  <c r="P90" i="2" s="1"/>
  <c r="O213" i="2"/>
  <c r="T213" i="2" s="1"/>
  <c r="O256" i="2"/>
  <c r="T256" i="2" s="1"/>
  <c r="V256" i="2" s="1"/>
  <c r="O341" i="2"/>
  <c r="T341" i="2" s="1"/>
  <c r="O458" i="2"/>
  <c r="T458" i="2" s="1"/>
  <c r="O37" i="2"/>
  <c r="P37" i="2" s="1"/>
  <c r="O190" i="2"/>
  <c r="T190" i="2" s="1"/>
  <c r="V190" i="2" s="1"/>
  <c r="O318" i="2"/>
  <c r="P318" i="2" s="1"/>
  <c r="O337" i="2"/>
  <c r="P337" i="2" s="1"/>
  <c r="O346" i="2"/>
  <c r="P346" i="2" s="1"/>
  <c r="O409" i="2"/>
  <c r="T409" i="2" s="1"/>
  <c r="V409" i="2" s="1"/>
  <c r="O444" i="2"/>
  <c r="P444" i="2" s="1"/>
  <c r="O448" i="2"/>
  <c r="P448" i="2" s="1"/>
  <c r="O487" i="2"/>
  <c r="T487" i="2" s="1"/>
  <c r="U487" i="2" s="1"/>
  <c r="O621" i="2"/>
  <c r="T621" i="2" s="1"/>
  <c r="O42" i="7"/>
  <c r="T42" i="7" s="1"/>
  <c r="V42" i="7" s="1"/>
  <c r="O116" i="7"/>
  <c r="P116" i="7" s="1"/>
  <c r="O208" i="7"/>
  <c r="P208" i="7" s="1"/>
  <c r="O309" i="7"/>
  <c r="P309" i="7" s="1"/>
  <c r="O387" i="7"/>
  <c r="T387" i="7" s="1"/>
  <c r="O538" i="7"/>
  <c r="T538" i="7" s="1"/>
  <c r="O430" i="2"/>
  <c r="P430" i="2" s="1"/>
  <c r="O24" i="2"/>
  <c r="P24" i="2" s="1"/>
  <c r="O196" i="2"/>
  <c r="P196" i="2" s="1"/>
  <c r="O239" i="2"/>
  <c r="T239" i="2" s="1"/>
  <c r="O301" i="2"/>
  <c r="P301" i="2" s="1"/>
  <c r="O133" i="2"/>
  <c r="P133" i="2" s="1"/>
  <c r="O153" i="2"/>
  <c r="P153" i="2" s="1"/>
  <c r="O287" i="2"/>
  <c r="P287" i="2" s="1"/>
  <c r="O324" i="2"/>
  <c r="P324" i="2" s="1"/>
  <c r="O431" i="2"/>
  <c r="T431" i="2" s="1"/>
  <c r="O470" i="2"/>
  <c r="P470" i="2" s="1"/>
  <c r="O53" i="7"/>
  <c r="P53" i="7" s="1"/>
  <c r="O99" i="7"/>
  <c r="P99" i="7" s="1"/>
  <c r="O163" i="7"/>
  <c r="T163" i="7" s="1"/>
  <c r="U163" i="7" s="1"/>
  <c r="O177" i="7"/>
  <c r="T177" i="7" s="1"/>
  <c r="O88" i="2"/>
  <c r="P88" i="2" s="1"/>
  <c r="O244" i="2"/>
  <c r="P244" i="2" s="1"/>
  <c r="O273" i="2"/>
  <c r="P273" i="2" s="1"/>
  <c r="O320" i="2"/>
  <c r="P320" i="2" s="1"/>
  <c r="O358" i="2"/>
  <c r="P358" i="2" s="1"/>
  <c r="R132" i="7"/>
  <c r="R130" i="7"/>
  <c r="S130" i="7" s="1"/>
  <c r="R193" i="7"/>
  <c r="R179" i="2"/>
  <c r="R192" i="7"/>
  <c r="R128" i="7"/>
  <c r="R123" i="2"/>
  <c r="R174" i="2"/>
  <c r="E38" i="8"/>
  <c r="R190" i="7"/>
  <c r="M194" i="7"/>
  <c r="N194" i="7"/>
  <c r="V192" i="7"/>
  <c r="U192" i="7"/>
  <c r="U193" i="7"/>
  <c r="R125" i="7"/>
  <c r="P133" i="7"/>
  <c r="R126" i="7"/>
  <c r="R124" i="7"/>
  <c r="R131" i="7"/>
  <c r="R134" i="7"/>
  <c r="R178" i="2"/>
  <c r="M180" i="2"/>
  <c r="N180" i="2"/>
  <c r="V179" i="2"/>
  <c r="U179" i="2"/>
  <c r="P179" i="2"/>
  <c r="R120" i="2"/>
  <c r="R117" i="2"/>
  <c r="T124" i="2"/>
  <c r="V124" i="2" s="1"/>
  <c r="R125" i="2"/>
  <c r="P125" i="2"/>
  <c r="R119" i="2"/>
  <c r="R116" i="2"/>
  <c r="N135" i="7"/>
  <c r="R129" i="7"/>
  <c r="M135" i="7"/>
  <c r="V132" i="7"/>
  <c r="U132" i="7"/>
  <c r="V131" i="7"/>
  <c r="U131" i="7"/>
  <c r="V134" i="7"/>
  <c r="U134" i="7"/>
  <c r="P132" i="7"/>
  <c r="U133" i="7"/>
  <c r="P131" i="7"/>
  <c r="N126" i="2"/>
  <c r="R121" i="2"/>
  <c r="R118" i="2"/>
  <c r="M126" i="2"/>
  <c r="V123" i="2"/>
  <c r="U123" i="2"/>
  <c r="V125" i="2"/>
  <c r="U125" i="2"/>
  <c r="V122" i="2"/>
  <c r="U122" i="2"/>
  <c r="P123" i="2"/>
  <c r="P122" i="2"/>
  <c r="R102" i="2"/>
  <c r="R262" i="2"/>
  <c r="E48" i="9"/>
  <c r="F48" i="9" s="1"/>
  <c r="R249" i="2"/>
  <c r="R351" i="2"/>
  <c r="R410" i="2"/>
  <c r="R10" i="7"/>
  <c r="R555" i="7"/>
  <c r="R546" i="7"/>
  <c r="R579" i="7"/>
  <c r="R502" i="2"/>
  <c r="R551" i="2"/>
  <c r="S551" i="2" s="1"/>
  <c r="E30" i="8"/>
  <c r="E35" i="8"/>
  <c r="R14" i="7"/>
  <c r="R72" i="7"/>
  <c r="R81" i="7"/>
  <c r="R114" i="7"/>
  <c r="R121" i="7"/>
  <c r="R295" i="7"/>
  <c r="R302" i="7"/>
  <c r="R527" i="7"/>
  <c r="S527" i="7" s="1"/>
  <c r="R137" i="7"/>
  <c r="R3" i="7"/>
  <c r="R18" i="7"/>
  <c r="R221" i="7"/>
  <c r="R575" i="7"/>
  <c r="R687" i="7"/>
  <c r="R694" i="7"/>
  <c r="E31" i="8"/>
  <c r="E42" i="8"/>
  <c r="R181" i="7"/>
  <c r="R199" i="7"/>
  <c r="R265" i="7"/>
  <c r="R331" i="7"/>
  <c r="R521" i="2"/>
  <c r="R538" i="2"/>
  <c r="R24" i="2"/>
  <c r="R209" i="2"/>
  <c r="R243" i="2"/>
  <c r="R294" i="2"/>
  <c r="R345" i="2"/>
  <c r="R402" i="2"/>
  <c r="R474" i="2"/>
  <c r="R44" i="7"/>
  <c r="R95" i="7"/>
  <c r="R333" i="7"/>
  <c r="R342" i="7"/>
  <c r="R532" i="7"/>
  <c r="R589" i="7"/>
  <c r="R19" i="2"/>
  <c r="R200" i="2"/>
  <c r="R439" i="2"/>
  <c r="S439" i="2" s="1"/>
  <c r="R482" i="2"/>
  <c r="R32" i="7"/>
  <c r="R586" i="7"/>
  <c r="R526" i="7"/>
  <c r="R354" i="7"/>
  <c r="E54" i="8"/>
  <c r="E61" i="8"/>
  <c r="R12" i="7"/>
  <c r="R339" i="7"/>
  <c r="R10" i="2"/>
  <c r="R18" i="2"/>
  <c r="S18" i="2" s="1"/>
  <c r="R27" i="2"/>
  <c r="R63" i="2"/>
  <c r="R71" i="2"/>
  <c r="R80" i="2"/>
  <c r="R155" i="2"/>
  <c r="R164" i="2"/>
  <c r="R15" i="2"/>
  <c r="R213" i="2"/>
  <c r="R264" i="2"/>
  <c r="R332" i="2"/>
  <c r="R349" i="2"/>
  <c r="R512" i="2"/>
  <c r="P141" i="7"/>
  <c r="R206" i="7"/>
  <c r="R237" i="7"/>
  <c r="R336" i="7"/>
  <c r="R362" i="7"/>
  <c r="R453" i="7"/>
  <c r="R462" i="7"/>
  <c r="P475" i="7"/>
  <c r="R495" i="7"/>
  <c r="R42" i="2"/>
  <c r="S42" i="2" s="1"/>
  <c r="R445" i="2"/>
  <c r="R496" i="2"/>
  <c r="S496" i="2" s="1"/>
  <c r="R265" i="2"/>
  <c r="R201" i="2"/>
  <c r="R210" i="2"/>
  <c r="R261" i="2"/>
  <c r="R278" i="2"/>
  <c r="S278" i="2" s="1"/>
  <c r="R312" i="2"/>
  <c r="S312" i="2" s="1"/>
  <c r="R79" i="7"/>
  <c r="R90" i="7"/>
  <c r="R96" i="7"/>
  <c r="R103" i="7"/>
  <c r="R112" i="7"/>
  <c r="R251" i="7"/>
  <c r="R558" i="7"/>
  <c r="P252" i="7"/>
  <c r="E34" i="8"/>
  <c r="E46" i="8"/>
  <c r="E63" i="8"/>
  <c r="E75" i="8"/>
  <c r="R198" i="2"/>
  <c r="R453" i="2"/>
  <c r="R164" i="7"/>
  <c r="R281" i="7"/>
  <c r="S281" i="7" s="1"/>
  <c r="R314" i="7"/>
  <c r="R497" i="7"/>
  <c r="R513" i="7"/>
  <c r="R522" i="7"/>
  <c r="R384" i="7"/>
  <c r="E47" i="8"/>
  <c r="R476" i="2"/>
  <c r="R29" i="7"/>
  <c r="R104" i="7"/>
  <c r="S104" i="7" s="1"/>
  <c r="R310" i="2"/>
  <c r="S310" i="2" s="1"/>
  <c r="R423" i="2"/>
  <c r="R327" i="7"/>
  <c r="R458" i="7"/>
  <c r="R583" i="7"/>
  <c r="R6" i="2"/>
  <c r="R31" i="2"/>
  <c r="R110" i="2"/>
  <c r="S110" i="2" s="1"/>
  <c r="R219" i="2"/>
  <c r="S219" i="2" s="1"/>
  <c r="R255" i="2"/>
  <c r="R272" i="2"/>
  <c r="R289" i="2"/>
  <c r="R520" i="2"/>
  <c r="R537" i="2"/>
  <c r="R552" i="2"/>
  <c r="R75" i="7"/>
  <c r="R97" i="7"/>
  <c r="N222" i="7"/>
  <c r="R468" i="7"/>
  <c r="S468" i="7" s="1"/>
  <c r="N518" i="7"/>
  <c r="R517" i="7"/>
  <c r="R534" i="7"/>
  <c r="N303" i="7"/>
  <c r="R216" i="2"/>
  <c r="R303" i="2"/>
  <c r="R447" i="2"/>
  <c r="R481" i="2"/>
  <c r="R209" i="7"/>
  <c r="R233" i="7"/>
  <c r="R242" i="7"/>
  <c r="R266" i="7"/>
  <c r="R275" i="7"/>
  <c r="R292" i="7"/>
  <c r="R465" i="7"/>
  <c r="R472" i="7"/>
  <c r="R498" i="7"/>
  <c r="S498" i="7" s="1"/>
  <c r="R531" i="7"/>
  <c r="R540" i="7"/>
  <c r="R571" i="7"/>
  <c r="R295" i="2"/>
  <c r="S295" i="2" s="1"/>
  <c r="R418" i="2"/>
  <c r="R510" i="7"/>
  <c r="S510" i="7" s="1"/>
  <c r="R559" i="7"/>
  <c r="R75" i="2"/>
  <c r="R231" i="2"/>
  <c r="S231" i="2" s="1"/>
  <c r="R301" i="2"/>
  <c r="R346" i="2"/>
  <c r="R471" i="2"/>
  <c r="R27" i="7"/>
  <c r="R60" i="7"/>
  <c r="R76" i="7"/>
  <c r="R170" i="7"/>
  <c r="R213" i="7"/>
  <c r="R272" i="7"/>
  <c r="R312" i="7"/>
  <c r="R361" i="7"/>
  <c r="R443" i="7"/>
  <c r="S443" i="7" s="1"/>
  <c r="R514" i="7"/>
  <c r="S514" i="7" s="1"/>
  <c r="R311" i="7"/>
  <c r="R9" i="2"/>
  <c r="M33" i="2"/>
  <c r="R62" i="2"/>
  <c r="R335" i="2"/>
  <c r="R505" i="2"/>
  <c r="R173" i="7"/>
  <c r="R250" i="7"/>
  <c r="R308" i="7"/>
  <c r="R158" i="2"/>
  <c r="S158" i="2" s="1"/>
  <c r="R326" i="2"/>
  <c r="R462" i="2"/>
  <c r="R491" i="7"/>
  <c r="R325" i="2"/>
  <c r="R495" i="2"/>
  <c r="R94" i="7"/>
  <c r="R26" i="2"/>
  <c r="R43" i="2"/>
  <c r="R161" i="2"/>
  <c r="S161" i="2" s="1"/>
  <c r="R409" i="2"/>
  <c r="R492" i="2"/>
  <c r="R554" i="2"/>
  <c r="S554" i="2" s="1"/>
  <c r="R259" i="7"/>
  <c r="P319" i="7"/>
  <c r="R697" i="7"/>
  <c r="R698" i="7" s="1"/>
  <c r="R23" i="2"/>
  <c r="R30" i="2"/>
  <c r="R89" i="2"/>
  <c r="R360" i="2"/>
  <c r="R436" i="2"/>
  <c r="M467" i="2"/>
  <c r="R485" i="2"/>
  <c r="R622" i="2"/>
  <c r="R4" i="7"/>
  <c r="R167" i="7"/>
  <c r="R227" i="7"/>
  <c r="R234" i="7"/>
  <c r="S234" i="7" s="1"/>
  <c r="R243" i="7"/>
  <c r="R276" i="7"/>
  <c r="P289" i="7"/>
  <c r="R373" i="7"/>
  <c r="S373" i="7" s="1"/>
  <c r="R240" i="2"/>
  <c r="R338" i="2"/>
  <c r="R508" i="2"/>
  <c r="N551" i="7"/>
  <c r="R14" i="2"/>
  <c r="P54" i="2"/>
  <c r="R77" i="2"/>
  <c r="M251" i="2"/>
  <c r="R357" i="2"/>
  <c r="R414" i="2"/>
  <c r="R463" i="2"/>
  <c r="R510" i="2"/>
  <c r="R527" i="2"/>
  <c r="R16" i="7"/>
  <c r="S16" i="7" s="1"/>
  <c r="R45" i="7"/>
  <c r="S45" i="7" s="1"/>
  <c r="R54" i="7"/>
  <c r="R87" i="7"/>
  <c r="R171" i="7"/>
  <c r="R180" i="7"/>
  <c r="R198" i="7"/>
  <c r="R313" i="7"/>
  <c r="R322" i="7"/>
  <c r="R370" i="7"/>
  <c r="R492" i="7"/>
  <c r="R508" i="7"/>
  <c r="R548" i="7"/>
  <c r="R581" i="7"/>
  <c r="R90" i="2"/>
  <c r="R182" i="2"/>
  <c r="R212" i="2"/>
  <c r="R246" i="2"/>
  <c r="R331" i="2"/>
  <c r="S331" i="2" s="1"/>
  <c r="R497" i="2"/>
  <c r="S497" i="2" s="1"/>
  <c r="P71" i="7"/>
  <c r="N185" i="7"/>
  <c r="R317" i="7"/>
  <c r="S317" i="7" s="1"/>
  <c r="R383" i="7"/>
  <c r="P432" i="7"/>
  <c r="T528" i="7"/>
  <c r="U528" i="7" s="1"/>
  <c r="P686" i="7"/>
  <c r="R693" i="7"/>
  <c r="E49" i="8"/>
  <c r="E73" i="8"/>
  <c r="E36" i="8"/>
  <c r="M416" i="2"/>
  <c r="R3" i="2"/>
  <c r="R37" i="2"/>
  <c r="R107" i="2"/>
  <c r="N162" i="2"/>
  <c r="R88" i="7"/>
  <c r="R159" i="7"/>
  <c r="R323" i="7"/>
  <c r="P375" i="7"/>
  <c r="R98" i="2"/>
  <c r="R146" i="2"/>
  <c r="R290" i="2"/>
  <c r="R411" i="2"/>
  <c r="R460" i="2"/>
  <c r="N483" i="2"/>
  <c r="R494" i="2"/>
  <c r="R616" i="2"/>
  <c r="R13" i="7"/>
  <c r="R51" i="7"/>
  <c r="R117" i="7"/>
  <c r="P139" i="7"/>
  <c r="R219" i="7"/>
  <c r="S219" i="7" s="1"/>
  <c r="R228" i="7"/>
  <c r="P294" i="7"/>
  <c r="R425" i="7"/>
  <c r="R480" i="7"/>
  <c r="R505" i="7"/>
  <c r="R516" i="7"/>
  <c r="R525" i="7"/>
  <c r="R545" i="7"/>
  <c r="N416" i="2"/>
  <c r="R493" i="7"/>
  <c r="E39" i="8"/>
  <c r="E55" i="8"/>
  <c r="E74" i="8"/>
  <c r="R137" i="2"/>
  <c r="R52" i="2"/>
  <c r="R235" i="7"/>
  <c r="R244" i="7"/>
  <c r="R355" i="2"/>
  <c r="R438" i="2"/>
  <c r="S438" i="2" s="1"/>
  <c r="R224" i="7"/>
  <c r="R248" i="7"/>
  <c r="R268" i="7"/>
  <c r="R359" i="7"/>
  <c r="R486" i="7"/>
  <c r="R499" i="7"/>
  <c r="R512" i="7"/>
  <c r="S512" i="7" s="1"/>
  <c r="R288" i="2"/>
  <c r="T425" i="2"/>
  <c r="V425" i="2" s="1"/>
  <c r="T438" i="2"/>
  <c r="U438" i="2" s="1"/>
  <c r="R444" i="2"/>
  <c r="R278" i="7"/>
  <c r="R285" i="7"/>
  <c r="R445" i="7"/>
  <c r="R476" i="7"/>
  <c r="R529" i="7"/>
  <c r="R102" i="7"/>
  <c r="P331" i="7"/>
  <c r="R536" i="2"/>
  <c r="T547" i="2"/>
  <c r="U547" i="2" s="1"/>
  <c r="R28" i="7"/>
  <c r="R267" i="7"/>
  <c r="R38" i="2"/>
  <c r="R493" i="2"/>
  <c r="R555" i="2"/>
  <c r="S555" i="2" s="1"/>
  <c r="R61" i="7"/>
  <c r="R382" i="7"/>
  <c r="R12" i="2"/>
  <c r="R328" i="2"/>
  <c r="P451" i="2"/>
  <c r="T451" i="2"/>
  <c r="V451" i="2" s="1"/>
  <c r="R192" i="2"/>
  <c r="R413" i="2"/>
  <c r="R478" i="2"/>
  <c r="P521" i="2"/>
  <c r="R532" i="2"/>
  <c r="P549" i="2"/>
  <c r="R642" i="2"/>
  <c r="R643" i="2" s="1"/>
  <c r="R145" i="7"/>
  <c r="S145" i="7" s="1"/>
  <c r="R163" i="7"/>
  <c r="R332" i="7"/>
  <c r="R481" i="7"/>
  <c r="R574" i="7"/>
  <c r="R293" i="2"/>
  <c r="S293" i="2" s="1"/>
  <c r="R316" i="2"/>
  <c r="R39" i="2"/>
  <c r="R56" i="2"/>
  <c r="R69" i="2"/>
  <c r="S69" i="2" s="1"/>
  <c r="R95" i="2"/>
  <c r="R263" i="2"/>
  <c r="R280" i="2"/>
  <c r="R465" i="2"/>
  <c r="R491" i="2"/>
  <c r="R504" i="2"/>
  <c r="R542" i="2"/>
  <c r="R100" i="7"/>
  <c r="R256" i="7"/>
  <c r="R456" i="7"/>
  <c r="S456" i="7" s="1"/>
  <c r="P593" i="7"/>
  <c r="R690" i="7"/>
  <c r="E32" i="8"/>
  <c r="E37" i="8"/>
  <c r="M100" i="2"/>
  <c r="M371" i="2"/>
  <c r="P482" i="2"/>
  <c r="T482" i="2"/>
  <c r="V482" i="2" s="1"/>
  <c r="P75" i="7"/>
  <c r="P231" i="7"/>
  <c r="T240" i="7"/>
  <c r="V240" i="7" s="1"/>
  <c r="R53" i="2"/>
  <c r="R66" i="2"/>
  <c r="M206" i="2"/>
  <c r="R234" i="2"/>
  <c r="P253" i="2"/>
  <c r="M499" i="2"/>
  <c r="R488" i="2"/>
  <c r="R501" i="2"/>
  <c r="R215" i="7"/>
  <c r="R386" i="7"/>
  <c r="R304" i="2"/>
  <c r="R311" i="2"/>
  <c r="R440" i="2"/>
  <c r="N499" i="2"/>
  <c r="R177" i="7"/>
  <c r="P181" i="7"/>
  <c r="R184" i="7"/>
  <c r="P199" i="7"/>
  <c r="R212" i="7"/>
  <c r="P228" i="7"/>
  <c r="N206" i="2"/>
  <c r="R190" i="2"/>
  <c r="R204" i="2"/>
  <c r="R197" i="2"/>
  <c r="R15" i="7"/>
  <c r="R350" i="7"/>
  <c r="R412" i="2"/>
  <c r="P44" i="7"/>
  <c r="T86" i="7"/>
  <c r="U86" i="7" s="1"/>
  <c r="R144" i="7"/>
  <c r="S144" i="7" s="1"/>
  <c r="R298" i="7"/>
  <c r="R470" i="7"/>
  <c r="R580" i="7"/>
  <c r="R132" i="2"/>
  <c r="R342" i="2"/>
  <c r="R359" i="2"/>
  <c r="P363" i="2"/>
  <c r="R450" i="2"/>
  <c r="R639" i="2"/>
  <c r="R640" i="2" s="1"/>
  <c r="P95" i="7"/>
  <c r="R140" i="7"/>
  <c r="N572" i="7"/>
  <c r="P30" i="2"/>
  <c r="T30" i="2"/>
  <c r="U30" i="2" s="1"/>
  <c r="R245" i="2"/>
  <c r="R142" i="2"/>
  <c r="P302" i="7"/>
  <c r="T302" i="7"/>
  <c r="U302" i="7" s="1"/>
  <c r="R392" i="7"/>
  <c r="S392" i="7" s="1"/>
  <c r="P349" i="2"/>
  <c r="T349" i="2"/>
  <c r="V349" i="2" s="1"/>
  <c r="R45" i="2"/>
  <c r="S45" i="2" s="1"/>
  <c r="M72" i="2"/>
  <c r="R129" i="2"/>
  <c r="R195" i="2"/>
  <c r="R548" i="2"/>
  <c r="R157" i="7"/>
  <c r="P299" i="7"/>
  <c r="T299" i="7"/>
  <c r="V299" i="7" s="1"/>
  <c r="R324" i="7"/>
  <c r="R355" i="7"/>
  <c r="R442" i="7"/>
  <c r="R700" i="7"/>
  <c r="R701" i="7" s="1"/>
  <c r="R78" i="2"/>
  <c r="R99" i="2"/>
  <c r="S99" i="2" s="1"/>
  <c r="R152" i="2"/>
  <c r="R318" i="2"/>
  <c r="R369" i="2"/>
  <c r="S369" i="2" s="1"/>
  <c r="R461" i="2"/>
  <c r="R487" i="2"/>
  <c r="R498" i="2"/>
  <c r="R511" i="2"/>
  <c r="S511" i="2" s="1"/>
  <c r="R528" i="2"/>
  <c r="N21" i="7"/>
  <c r="T11" i="7"/>
  <c r="V11" i="7" s="1"/>
  <c r="T15" i="7"/>
  <c r="U15" i="7" s="1"/>
  <c r="R34" i="7"/>
  <c r="R360" i="7"/>
  <c r="R371" i="7"/>
  <c r="R391" i="7"/>
  <c r="R454" i="7"/>
  <c r="R457" i="7"/>
  <c r="R466" i="7"/>
  <c r="R523" i="7"/>
  <c r="R542" i="7"/>
  <c r="E52" i="8"/>
  <c r="E64" i="8"/>
  <c r="E71" i="8"/>
  <c r="E77" i="8"/>
  <c r="R8" i="2"/>
  <c r="R36" i="2"/>
  <c r="R147" i="2"/>
  <c r="P166" i="2"/>
  <c r="R233" i="2"/>
  <c r="S233" i="2" s="1"/>
  <c r="R276" i="2"/>
  <c r="R366" i="2"/>
  <c r="R545" i="2"/>
  <c r="R8" i="7"/>
  <c r="P12" i="7"/>
  <c r="R19" i="7"/>
  <c r="P57" i="7"/>
  <c r="P66" i="7"/>
  <c r="R111" i="7"/>
  <c r="R118" i="7"/>
  <c r="R156" i="7"/>
  <c r="S156" i="7" s="1"/>
  <c r="R264" i="7"/>
  <c r="R319" i="7"/>
  <c r="R352" i="7"/>
  <c r="R368" i="7"/>
  <c r="R395" i="7"/>
  <c r="R429" i="7"/>
  <c r="R438" i="7"/>
  <c r="R463" i="7"/>
  <c r="R504" i="7"/>
  <c r="R520" i="7"/>
  <c r="R539" i="7"/>
  <c r="R562" i="7"/>
  <c r="R709" i="7"/>
  <c r="R710" i="7" s="1"/>
  <c r="R245" i="7"/>
  <c r="R252" i="7"/>
  <c r="T261" i="7"/>
  <c r="U261" i="7" s="1"/>
  <c r="M459" i="7"/>
  <c r="R5" i="2"/>
  <c r="R25" i="2"/>
  <c r="R44" i="2"/>
  <c r="R167" i="2"/>
  <c r="R184" i="2"/>
  <c r="R230" i="2"/>
  <c r="R273" i="2"/>
  <c r="R320" i="2"/>
  <c r="R327" i="2"/>
  <c r="R403" i="2"/>
  <c r="S403" i="2" s="1"/>
  <c r="R434" i="2"/>
  <c r="R446" i="2"/>
  <c r="R624" i="2"/>
  <c r="S624" i="2" s="1"/>
  <c r="R25" i="7"/>
  <c r="R38" i="7"/>
  <c r="R48" i="7"/>
  <c r="R106" i="7"/>
  <c r="R153" i="7"/>
  <c r="R182" i="7"/>
  <c r="S182" i="7" s="1"/>
  <c r="R261" i="7"/>
  <c r="R297" i="7"/>
  <c r="T322" i="7"/>
  <c r="U322" i="7" s="1"/>
  <c r="R349" i="7"/>
  <c r="R356" i="7"/>
  <c r="R365" i="7"/>
  <c r="R376" i="7"/>
  <c r="R426" i="7"/>
  <c r="R455" i="7"/>
  <c r="T505" i="7"/>
  <c r="V505" i="7" s="1"/>
  <c r="R528" i="7"/>
  <c r="S528" i="7" s="1"/>
  <c r="R570" i="7"/>
  <c r="R691" i="7"/>
  <c r="S691" i="7" s="1"/>
  <c r="R703" i="7"/>
  <c r="R704" i="7" s="1"/>
  <c r="E44" i="8"/>
  <c r="R13" i="2"/>
  <c r="R22" i="2"/>
  <c r="R32" i="2"/>
  <c r="R84" i="2"/>
  <c r="R171" i="2"/>
  <c r="S171" i="2" s="1"/>
  <c r="R227" i="2"/>
  <c r="R270" i="2"/>
  <c r="R287" i="2"/>
  <c r="R307" i="2"/>
  <c r="R324" i="2"/>
  <c r="R400" i="2"/>
  <c r="R480" i="2"/>
  <c r="S480" i="2" s="1"/>
  <c r="R486" i="2"/>
  <c r="R519" i="2"/>
  <c r="R550" i="2"/>
  <c r="R621" i="2"/>
  <c r="R20" i="7"/>
  <c r="R42" i="7"/>
  <c r="P84" i="7"/>
  <c r="R179" i="7"/>
  <c r="R274" i="7"/>
  <c r="R294" i="7"/>
  <c r="R301" i="7"/>
  <c r="R326" i="7"/>
  <c r="T330" i="7"/>
  <c r="V330" i="7" s="1"/>
  <c r="R346" i="7"/>
  <c r="P366" i="7"/>
  <c r="R390" i="7"/>
  <c r="R440" i="7"/>
  <c r="R452" i="7"/>
  <c r="R461" i="7"/>
  <c r="R506" i="7"/>
  <c r="R587" i="7"/>
  <c r="R712" i="7"/>
  <c r="R713" i="7" s="1"/>
  <c r="T379" i="7"/>
  <c r="V379" i="7" s="1"/>
  <c r="P485" i="7"/>
  <c r="R494" i="7"/>
  <c r="R111" i="2"/>
  <c r="M221" i="2"/>
  <c r="R254" i="2"/>
  <c r="R284" i="2"/>
  <c r="R341" i="2"/>
  <c r="R426" i="2"/>
  <c r="R464" i="2"/>
  <c r="R477" i="2"/>
  <c r="R490" i="2"/>
  <c r="R516" i="2"/>
  <c r="R531" i="2"/>
  <c r="P11" i="7"/>
  <c r="R30" i="7"/>
  <c r="S30" i="7" s="1"/>
  <c r="R39" i="7"/>
  <c r="R142" i="7"/>
  <c r="R176" i="7"/>
  <c r="T180" i="7"/>
  <c r="V180" i="7" s="1"/>
  <c r="R214" i="7"/>
  <c r="R253" i="7"/>
  <c r="R263" i="7"/>
  <c r="R334" i="7"/>
  <c r="S334" i="7" s="1"/>
  <c r="R343" i="7"/>
  <c r="R374" i="7"/>
  <c r="P424" i="7"/>
  <c r="R449" i="7"/>
  <c r="R469" i="7"/>
  <c r="R478" i="7"/>
  <c r="R485" i="7"/>
  <c r="R503" i="7"/>
  <c r="R538" i="7"/>
  <c r="R568" i="7"/>
  <c r="S568" i="7" s="1"/>
  <c r="R584" i="7"/>
  <c r="R706" i="7"/>
  <c r="R707" i="7" s="1"/>
  <c r="T310" i="2"/>
  <c r="U310" i="2" s="1"/>
  <c r="T136" i="2"/>
  <c r="V136" i="2" s="1"/>
  <c r="T104" i="7"/>
  <c r="V104" i="7" s="1"/>
  <c r="V566" i="7"/>
  <c r="T415" i="2"/>
  <c r="V415" i="2" s="1"/>
  <c r="T18" i="2"/>
  <c r="U18" i="2" s="1"/>
  <c r="T331" i="2"/>
  <c r="V331" i="2" s="1"/>
  <c r="T334" i="7"/>
  <c r="U334" i="7" s="1"/>
  <c r="P268" i="7"/>
  <c r="T160" i="2"/>
  <c r="V160" i="2" s="1"/>
  <c r="T312" i="2"/>
  <c r="V312" i="2" s="1"/>
  <c r="U476" i="2"/>
  <c r="T624" i="2"/>
  <c r="U624" i="2" s="1"/>
  <c r="T16" i="7"/>
  <c r="V16" i="7" s="1"/>
  <c r="P464" i="2"/>
  <c r="P313" i="7"/>
  <c r="T144" i="7"/>
  <c r="U144" i="7" s="1"/>
  <c r="V395" i="7"/>
  <c r="R4" i="2"/>
  <c r="R68" i="2"/>
  <c r="S68" i="2" s="1"/>
  <c r="R113" i="2"/>
  <c r="S113" i="2" s="1"/>
  <c r="R156" i="2"/>
  <c r="R211" i="2"/>
  <c r="R218" i="2"/>
  <c r="R292" i="2"/>
  <c r="R308" i="2"/>
  <c r="R399" i="2"/>
  <c r="R427" i="2"/>
  <c r="R37" i="7"/>
  <c r="R73" i="7"/>
  <c r="R160" i="7"/>
  <c r="R202" i="7"/>
  <c r="R369" i="7"/>
  <c r="R432" i="7"/>
  <c r="P505" i="7"/>
  <c r="T508" i="7"/>
  <c r="V508" i="7" s="1"/>
  <c r="R48" i="2"/>
  <c r="R93" i="2"/>
  <c r="R202" i="2"/>
  <c r="S202" i="2" s="1"/>
  <c r="R224" i="2"/>
  <c r="R260" i="2"/>
  <c r="R305" i="2"/>
  <c r="R356" i="2"/>
  <c r="R529" i="2"/>
  <c r="S529" i="2" s="1"/>
  <c r="R619" i="2"/>
  <c r="P622" i="2"/>
  <c r="R17" i="7"/>
  <c r="T215" i="7"/>
  <c r="V215" i="7" s="1"/>
  <c r="R85" i="2"/>
  <c r="R215" i="2"/>
  <c r="R421" i="2"/>
  <c r="R452" i="2"/>
  <c r="S452" i="2" s="1"/>
  <c r="U202" i="7"/>
  <c r="R128" i="2"/>
  <c r="R166" i="2"/>
  <c r="R187" i="2"/>
  <c r="S187" i="2" s="1"/>
  <c r="R196" i="2"/>
  <c r="R309" i="2"/>
  <c r="R364" i="2"/>
  <c r="R437" i="2"/>
  <c r="R513" i="2"/>
  <c r="R305" i="7"/>
  <c r="T366" i="7"/>
  <c r="V366" i="7" s="1"/>
  <c r="R500" i="7"/>
  <c r="R509" i="7"/>
  <c r="R16" i="2"/>
  <c r="R322" i="2"/>
  <c r="R449" i="2"/>
  <c r="T461" i="2"/>
  <c r="V461" i="2" s="1"/>
  <c r="R33" i="7"/>
  <c r="T54" i="7"/>
  <c r="V54" i="7" s="1"/>
  <c r="R105" i="7"/>
  <c r="R200" i="7"/>
  <c r="R205" i="7"/>
  <c r="V266" i="7"/>
  <c r="T370" i="7"/>
  <c r="V370" i="7" s="1"/>
  <c r="T373" i="7"/>
  <c r="U373" i="7" s="1"/>
  <c r="R433" i="7"/>
  <c r="P470" i="7"/>
  <c r="T527" i="7"/>
  <c r="V527" i="7" s="1"/>
  <c r="R82" i="2"/>
  <c r="R193" i="2"/>
  <c r="R306" i="2"/>
  <c r="R368" i="2"/>
  <c r="T83" i="7"/>
  <c r="V83" i="7" s="1"/>
  <c r="T182" i="7"/>
  <c r="U182" i="7" s="1"/>
  <c r="T497" i="2"/>
  <c r="V497" i="2" s="1"/>
  <c r="R11" i="7"/>
  <c r="V33" i="7"/>
  <c r="T256" i="7"/>
  <c r="V256" i="7" s="1"/>
  <c r="P455" i="7"/>
  <c r="P24" i="7"/>
  <c r="R43" i="7"/>
  <c r="R464" i="7"/>
  <c r="R483" i="7"/>
  <c r="S483" i="7" s="1"/>
  <c r="R565" i="7"/>
  <c r="R17" i="2"/>
  <c r="R41" i="2"/>
  <c r="R54" i="2"/>
  <c r="P453" i="2"/>
  <c r="R83" i="2"/>
  <c r="S83" i="2" s="1"/>
  <c r="R92" i="2"/>
  <c r="R275" i="2"/>
  <c r="R168" i="7"/>
  <c r="T276" i="7"/>
  <c r="U276" i="7" s="1"/>
  <c r="R280" i="7"/>
  <c r="S280" i="7" s="1"/>
  <c r="V571" i="7"/>
  <c r="P58" i="2"/>
  <c r="R47" i="7"/>
  <c r="R65" i="7"/>
  <c r="T75" i="7"/>
  <c r="V75" i="7" s="1"/>
  <c r="R353" i="7"/>
  <c r="S353" i="7" s="1"/>
  <c r="R550" i="7"/>
  <c r="T7" i="2"/>
  <c r="V7" i="2" s="1"/>
  <c r="R11" i="2"/>
  <c r="U250" i="2"/>
  <c r="R618" i="2"/>
  <c r="R147" i="7"/>
  <c r="R165" i="7"/>
  <c r="R249" i="7"/>
  <c r="S249" i="7" s="1"/>
  <c r="R437" i="7"/>
  <c r="R444" i="7"/>
  <c r="R511" i="7"/>
  <c r="T526" i="7"/>
  <c r="U526" i="7" s="1"/>
  <c r="R35" i="2"/>
  <c r="R205" i="2"/>
  <c r="S205" i="2" s="1"/>
  <c r="R244" i="2"/>
  <c r="R350" i="2"/>
  <c r="T554" i="2"/>
  <c r="U554" i="2" s="1"/>
  <c r="T207" i="7"/>
  <c r="U207" i="7" s="1"/>
  <c r="R218" i="7"/>
  <c r="R496" i="7"/>
  <c r="T574" i="7"/>
  <c r="V574" i="7" s="1"/>
  <c r="R578" i="7"/>
  <c r="R585" i="7"/>
  <c r="P15" i="7"/>
  <c r="P445" i="7"/>
  <c r="T510" i="7"/>
  <c r="P249" i="2"/>
  <c r="T69" i="2"/>
  <c r="U69" i="2" s="1"/>
  <c r="P264" i="2"/>
  <c r="P404" i="2"/>
  <c r="T45" i="7"/>
  <c r="P91" i="7"/>
  <c r="T249" i="7"/>
  <c r="V249" i="7" s="1"/>
  <c r="P546" i="7"/>
  <c r="P82" i="2"/>
  <c r="P217" i="2"/>
  <c r="V264" i="2"/>
  <c r="P498" i="2"/>
  <c r="P147" i="7"/>
  <c r="V268" i="7"/>
  <c r="T205" i="2"/>
  <c r="U205" i="2" s="1"/>
  <c r="U217" i="2"/>
  <c r="T480" i="2"/>
  <c r="P492" i="2"/>
  <c r="P180" i="7"/>
  <c r="P533" i="7"/>
  <c r="T568" i="7"/>
  <c r="V568" i="7" s="1"/>
  <c r="T590" i="7"/>
  <c r="V590" i="7" s="1"/>
  <c r="T593" i="7"/>
  <c r="U593" i="7" s="1"/>
  <c r="T281" i="7"/>
  <c r="U281" i="7" s="1"/>
  <c r="P414" i="2"/>
  <c r="P235" i="7"/>
  <c r="P370" i="2"/>
  <c r="V19" i="7"/>
  <c r="T31" i="7"/>
  <c r="V31" i="7" s="1"/>
  <c r="P87" i="7"/>
  <c r="V147" i="7"/>
  <c r="U315" i="7"/>
  <c r="T353" i="7"/>
  <c r="V353" i="7" s="1"/>
  <c r="T443" i="7"/>
  <c r="V443" i="7" s="1"/>
  <c r="T547" i="7"/>
  <c r="V547" i="7" s="1"/>
  <c r="P566" i="7"/>
  <c r="U235" i="7"/>
  <c r="P149" i="2"/>
  <c r="T95" i="7"/>
  <c r="V95" i="7" s="1"/>
  <c r="T145" i="7"/>
  <c r="V145" i="7" s="1"/>
  <c r="P157" i="7"/>
  <c r="T483" i="7"/>
  <c r="U483" i="7" s="1"/>
  <c r="P513" i="7"/>
  <c r="T158" i="2"/>
  <c r="U158" i="2" s="1"/>
  <c r="U249" i="2"/>
  <c r="V249" i="2"/>
  <c r="U183" i="7"/>
  <c r="V183" i="7"/>
  <c r="V98" i="2"/>
  <c r="U98" i="2"/>
  <c r="U169" i="7"/>
  <c r="V169" i="7"/>
  <c r="P309" i="2"/>
  <c r="P60" i="7"/>
  <c r="P76" i="7"/>
  <c r="P298" i="7"/>
  <c r="P370" i="7"/>
  <c r="T96" i="2"/>
  <c r="V96" i="2" s="1"/>
  <c r="P159" i="7"/>
  <c r="P517" i="7"/>
  <c r="P148" i="2"/>
  <c r="P277" i="2"/>
  <c r="P280" i="2"/>
  <c r="P476" i="2"/>
  <c r="T30" i="7"/>
  <c r="U30" i="7" s="1"/>
  <c r="U90" i="7"/>
  <c r="P220" i="7"/>
  <c r="P269" i="7"/>
  <c r="P339" i="7"/>
  <c r="T392" i="7"/>
  <c r="U472" i="7"/>
  <c r="P493" i="7"/>
  <c r="P508" i="7"/>
  <c r="P34" i="7"/>
  <c r="T533" i="2"/>
  <c r="U533" i="2" s="1"/>
  <c r="T199" i="7"/>
  <c r="V199" i="7" s="1"/>
  <c r="P232" i="7"/>
  <c r="P396" i="7"/>
  <c r="V444" i="7"/>
  <c r="T691" i="7"/>
  <c r="V691" i="7" s="1"/>
  <c r="P200" i="2"/>
  <c r="P314" i="7"/>
  <c r="P98" i="2"/>
  <c r="P351" i="2"/>
  <c r="T623" i="2"/>
  <c r="V623" i="2" s="1"/>
  <c r="P143" i="7"/>
  <c r="P169" i="7"/>
  <c r="P332" i="7"/>
  <c r="V354" i="7"/>
  <c r="P515" i="7"/>
  <c r="P541" i="7"/>
  <c r="U546" i="7"/>
  <c r="P565" i="7"/>
  <c r="P571" i="7"/>
  <c r="P586" i="7"/>
  <c r="P692" i="7"/>
  <c r="P146" i="2"/>
  <c r="T348" i="2"/>
  <c r="U348" i="2" s="1"/>
  <c r="T369" i="2"/>
  <c r="V369" i="2" s="1"/>
  <c r="V427" i="2"/>
  <c r="P29" i="2"/>
  <c r="P296" i="2"/>
  <c r="T511" i="2"/>
  <c r="V511" i="2" s="1"/>
  <c r="T71" i="7"/>
  <c r="V71" i="7" s="1"/>
  <c r="P90" i="7"/>
  <c r="U143" i="7"/>
  <c r="P173" i="7"/>
  <c r="V297" i="7"/>
  <c r="P330" i="7"/>
  <c r="V332" i="7"/>
  <c r="P451" i="7"/>
  <c r="T468" i="7"/>
  <c r="U468" i="7" s="1"/>
  <c r="P693" i="7"/>
  <c r="T113" i="2"/>
  <c r="V113" i="2" s="1"/>
  <c r="T293" i="2"/>
  <c r="T439" i="2"/>
  <c r="V439" i="2" s="1"/>
  <c r="T496" i="2"/>
  <c r="V496" i="2" s="1"/>
  <c r="P210" i="7"/>
  <c r="T219" i="7"/>
  <c r="V219" i="7" s="1"/>
  <c r="P237" i="7"/>
  <c r="P315" i="7"/>
  <c r="U445" i="7"/>
  <c r="P466" i="7"/>
  <c r="U135" i="2"/>
  <c r="T159" i="2"/>
  <c r="V159" i="2" s="1"/>
  <c r="T235" i="2"/>
  <c r="V235" i="2" s="1"/>
  <c r="T279" i="2"/>
  <c r="V279" i="2" s="1"/>
  <c r="T5" i="7"/>
  <c r="V5" i="7" s="1"/>
  <c r="P38" i="7"/>
  <c r="P48" i="7"/>
  <c r="P198" i="7"/>
  <c r="P428" i="7"/>
  <c r="T498" i="7"/>
  <c r="U498" i="7" s="1"/>
  <c r="U58" i="2"/>
  <c r="V58" i="2"/>
  <c r="V368" i="2"/>
  <c r="U368" i="2"/>
  <c r="V55" i="2"/>
  <c r="U55" i="2"/>
  <c r="V56" i="2"/>
  <c r="U56" i="2"/>
  <c r="V44" i="2"/>
  <c r="U44" i="2"/>
  <c r="V84" i="2"/>
  <c r="U84" i="2"/>
  <c r="V147" i="2"/>
  <c r="U147" i="2"/>
  <c r="U246" i="2"/>
  <c r="V246" i="2"/>
  <c r="V32" i="2"/>
  <c r="U32" i="2"/>
  <c r="R28" i="2"/>
  <c r="R50" i="2"/>
  <c r="R55" i="2"/>
  <c r="R57" i="2"/>
  <c r="R108" i="2"/>
  <c r="R203" i="2"/>
  <c r="R208" i="2"/>
  <c r="P263" i="2"/>
  <c r="R274" i="2"/>
  <c r="R296" i="2"/>
  <c r="R323" i="2"/>
  <c r="R329" i="2"/>
  <c r="R285" i="2"/>
  <c r="R347" i="2"/>
  <c r="V458" i="7"/>
  <c r="U458" i="7"/>
  <c r="P55" i="2"/>
  <c r="P57" i="2"/>
  <c r="P84" i="2"/>
  <c r="R153" i="2"/>
  <c r="P203" i="2"/>
  <c r="P329" i="2"/>
  <c r="V453" i="2"/>
  <c r="U453" i="2"/>
  <c r="P477" i="2"/>
  <c r="T477" i="2"/>
  <c r="U477" i="2" s="1"/>
  <c r="U531" i="7"/>
  <c r="V531" i="7"/>
  <c r="R29" i="2"/>
  <c r="R51" i="2"/>
  <c r="R65" i="2"/>
  <c r="R106" i="2"/>
  <c r="R159" i="2"/>
  <c r="S159" i="2" s="1"/>
  <c r="T166" i="2"/>
  <c r="T171" i="2"/>
  <c r="U171" i="2" s="1"/>
  <c r="V203" i="2"/>
  <c r="T219" i="2"/>
  <c r="P246" i="2"/>
  <c r="P261" i="2"/>
  <c r="R365" i="2"/>
  <c r="P368" i="2"/>
  <c r="T450" i="2"/>
  <c r="V450" i="2" s="1"/>
  <c r="P450" i="2"/>
  <c r="P103" i="7"/>
  <c r="T103" i="7"/>
  <c r="R131" i="2"/>
  <c r="T161" i="2"/>
  <c r="T187" i="2"/>
  <c r="U187" i="2" s="1"/>
  <c r="R297" i="2"/>
  <c r="R302" i="2"/>
  <c r="R330" i="2"/>
  <c r="R362" i="2"/>
  <c r="R112" i="2"/>
  <c r="R313" i="2"/>
  <c r="S313" i="2" s="1"/>
  <c r="R433" i="2"/>
  <c r="R459" i="2"/>
  <c r="R296" i="7"/>
  <c r="T296" i="7"/>
  <c r="R430" i="2"/>
  <c r="P44" i="2"/>
  <c r="U82" i="2"/>
  <c r="P97" i="2"/>
  <c r="R228" i="2"/>
  <c r="P17" i="2"/>
  <c r="P56" i="2"/>
  <c r="R104" i="2"/>
  <c r="R144" i="2"/>
  <c r="P147" i="2"/>
  <c r="T231" i="2"/>
  <c r="U172" i="7"/>
  <c r="P32" i="2"/>
  <c r="P134" i="2"/>
  <c r="T220" i="2"/>
  <c r="U220" i="2" s="1"/>
  <c r="R279" i="2"/>
  <c r="S279" i="2" s="1"/>
  <c r="T313" i="2"/>
  <c r="T437" i="2"/>
  <c r="U437" i="2" s="1"/>
  <c r="P437" i="2"/>
  <c r="T463" i="2"/>
  <c r="P463" i="2"/>
  <c r="U146" i="7"/>
  <c r="V146" i="7"/>
  <c r="T54" i="2"/>
  <c r="U71" i="2"/>
  <c r="R170" i="2"/>
  <c r="T218" i="2"/>
  <c r="P218" i="2"/>
  <c r="P247" i="2"/>
  <c r="R354" i="2"/>
  <c r="R431" i="2"/>
  <c r="R279" i="7"/>
  <c r="V318" i="7"/>
  <c r="U318" i="7"/>
  <c r="R61" i="2"/>
  <c r="R105" i="2"/>
  <c r="V134" i="2"/>
  <c r="R145" i="2"/>
  <c r="R191" i="2"/>
  <c r="T202" i="2"/>
  <c r="R229" i="2"/>
  <c r="R343" i="2"/>
  <c r="T363" i="2"/>
  <c r="U363" i="2" s="1"/>
  <c r="R363" i="2"/>
  <c r="R404" i="2"/>
  <c r="P426" i="2"/>
  <c r="R7" i="2"/>
  <c r="T42" i="2"/>
  <c r="R88" i="2"/>
  <c r="R96" i="2"/>
  <c r="S96" i="2" s="1"/>
  <c r="T110" i="2"/>
  <c r="R194" i="2"/>
  <c r="T398" i="2"/>
  <c r="U398" i="2" s="1"/>
  <c r="R40" i="2"/>
  <c r="R81" i="2"/>
  <c r="R148" i="2"/>
  <c r="R248" i="2"/>
  <c r="R257" i="2"/>
  <c r="R277" i="2"/>
  <c r="R337" i="2"/>
  <c r="R340" i="2"/>
  <c r="R370" i="2"/>
  <c r="R457" i="2"/>
  <c r="V516" i="7"/>
  <c r="U516" i="7"/>
  <c r="R7" i="7"/>
  <c r="T29" i="7"/>
  <c r="V29" i="7" s="1"/>
  <c r="T569" i="7"/>
  <c r="P569" i="7"/>
  <c r="R540" i="2"/>
  <c r="R633" i="2"/>
  <c r="R634" i="2" s="1"/>
  <c r="P29" i="7"/>
  <c r="R40" i="7"/>
  <c r="R115" i="7"/>
  <c r="R507" i="7"/>
  <c r="V479" i="2"/>
  <c r="U479" i="2"/>
  <c r="R91" i="7"/>
  <c r="P172" i="7"/>
  <c r="T184" i="7"/>
  <c r="V184" i="7" s="1"/>
  <c r="P184" i="7"/>
  <c r="R217" i="7"/>
  <c r="R230" i="7"/>
  <c r="T233" i="7"/>
  <c r="U233" i="7" s="1"/>
  <c r="P233" i="7"/>
  <c r="P336" i="7"/>
  <c r="T336" i="7"/>
  <c r="U375" i="7"/>
  <c r="V375" i="7"/>
  <c r="P479" i="2"/>
  <c r="R506" i="2"/>
  <c r="P538" i="2"/>
  <c r="T32" i="7"/>
  <c r="U32" i="7" s="1"/>
  <c r="P32" i="7"/>
  <c r="P118" i="7"/>
  <c r="T139" i="7"/>
  <c r="U139" i="7" s="1"/>
  <c r="T317" i="7"/>
  <c r="T319" i="7"/>
  <c r="U319" i="7" s="1"/>
  <c r="T351" i="7"/>
  <c r="V351" i="7" s="1"/>
  <c r="P384" i="7"/>
  <c r="R387" i="7"/>
  <c r="R393" i="7"/>
  <c r="V497" i="7"/>
  <c r="T521" i="7"/>
  <c r="U521" i="7" s="1"/>
  <c r="R521" i="7"/>
  <c r="R415" i="2"/>
  <c r="S415" i="2" s="1"/>
  <c r="R524" i="2"/>
  <c r="R544" i="2"/>
  <c r="P46" i="7"/>
  <c r="R83" i="7"/>
  <c r="T113" i="7"/>
  <c r="R116" i="7"/>
  <c r="R166" i="7"/>
  <c r="R172" i="7"/>
  <c r="R284" i="7"/>
  <c r="T301" i="7"/>
  <c r="V301" i="7" s="1"/>
  <c r="P301" i="7"/>
  <c r="T393" i="7"/>
  <c r="U393" i="7" s="1"/>
  <c r="P393" i="7"/>
  <c r="U470" i="7"/>
  <c r="U486" i="7"/>
  <c r="T8" i="7"/>
  <c r="T265" i="7"/>
  <c r="P265" i="7"/>
  <c r="P318" i="7"/>
  <c r="P458" i="7"/>
  <c r="R110" i="7"/>
  <c r="R119" i="7"/>
  <c r="R208" i="7"/>
  <c r="P360" i="7"/>
  <c r="R441" i="7"/>
  <c r="P531" i="2"/>
  <c r="P58" i="7"/>
  <c r="T119" i="7"/>
  <c r="P119" i="7"/>
  <c r="T218" i="7"/>
  <c r="U218" i="7" s="1"/>
  <c r="P218" i="7"/>
  <c r="R318" i="7"/>
  <c r="R388" i="7"/>
  <c r="U533" i="7"/>
  <c r="V533" i="7"/>
  <c r="T554" i="7"/>
  <c r="T355" i="7"/>
  <c r="U355" i="7" s="1"/>
  <c r="P355" i="7"/>
  <c r="T20" i="7"/>
  <c r="V20" i="7" s="1"/>
  <c r="P20" i="7"/>
  <c r="T38" i="7"/>
  <c r="V38" i="7" s="1"/>
  <c r="V58" i="7"/>
  <c r="T234" i="7"/>
  <c r="U234" i="7" s="1"/>
  <c r="P531" i="7"/>
  <c r="R319" i="2"/>
  <c r="R424" i="2"/>
  <c r="P440" i="2"/>
  <c r="U510" i="2"/>
  <c r="P513" i="2"/>
  <c r="R6" i="7"/>
  <c r="P9" i="7"/>
  <c r="P18" i="7"/>
  <c r="T18" i="7"/>
  <c r="T66" i="7"/>
  <c r="P282" i="7"/>
  <c r="P496" i="7"/>
  <c r="P499" i="7"/>
  <c r="R336" i="2"/>
  <c r="R397" i="2"/>
  <c r="R432" i="2"/>
  <c r="R435" i="2"/>
  <c r="R472" i="2"/>
  <c r="R475" i="2"/>
  <c r="P494" i="2"/>
  <c r="T551" i="2"/>
  <c r="R9" i="7"/>
  <c r="R31" i="7"/>
  <c r="S31" i="7" s="1"/>
  <c r="R59" i="7"/>
  <c r="S59" i="7" s="1"/>
  <c r="R70" i="7"/>
  <c r="P117" i="7"/>
  <c r="T117" i="7"/>
  <c r="V117" i="7" s="1"/>
  <c r="P146" i="7"/>
  <c r="R310" i="7"/>
  <c r="R335" i="7"/>
  <c r="R431" i="7"/>
  <c r="T512" i="7"/>
  <c r="V512" i="7" s="1"/>
  <c r="P526" i="7"/>
  <c r="U513" i="2"/>
  <c r="P372" i="7"/>
  <c r="T485" i="7"/>
  <c r="U485" i="7" s="1"/>
  <c r="R348" i="2"/>
  <c r="S348" i="2" s="1"/>
  <c r="R361" i="2"/>
  <c r="R401" i="2"/>
  <c r="R456" i="2"/>
  <c r="R67" i="7"/>
  <c r="T88" i="7"/>
  <c r="V88" i="7" s="1"/>
  <c r="P88" i="7"/>
  <c r="R201" i="7"/>
  <c r="R269" i="7"/>
  <c r="R300" i="7"/>
  <c r="R330" i="7"/>
  <c r="R428" i="7"/>
  <c r="P486" i="7"/>
  <c r="U499" i="7"/>
  <c r="V499" i="7"/>
  <c r="R141" i="2"/>
  <c r="R259" i="2"/>
  <c r="R281" i="2"/>
  <c r="R286" i="2"/>
  <c r="R339" i="2"/>
  <c r="P398" i="2"/>
  <c r="R425" i="2"/>
  <c r="S425" i="2" s="1"/>
  <c r="P427" i="2"/>
  <c r="R469" i="2"/>
  <c r="T529" i="2"/>
  <c r="U529" i="2" s="1"/>
  <c r="V34" i="7"/>
  <c r="U34" i="7"/>
  <c r="T59" i="7"/>
  <c r="R62" i="7"/>
  <c r="R151" i="7"/>
  <c r="T156" i="7"/>
  <c r="T198" i="7"/>
  <c r="V198" i="7" s="1"/>
  <c r="R277" i="7"/>
  <c r="R341" i="7"/>
  <c r="P472" i="7"/>
  <c r="R451" i="2"/>
  <c r="R466" i="2"/>
  <c r="R530" i="2"/>
  <c r="S530" i="2" s="1"/>
  <c r="R636" i="2"/>
  <c r="R637" i="2" s="1"/>
  <c r="P47" i="7"/>
  <c r="R85" i="7"/>
  <c r="R113" i="7"/>
  <c r="R155" i="7"/>
  <c r="P183" i="7"/>
  <c r="P202" i="7"/>
  <c r="R231" i="7"/>
  <c r="R247" i="7"/>
  <c r="R260" i="7"/>
  <c r="R283" i="7"/>
  <c r="P363" i="7"/>
  <c r="P433" i="7"/>
  <c r="P444" i="7"/>
  <c r="R471" i="7"/>
  <c r="R484" i="7"/>
  <c r="R566" i="7"/>
  <c r="V592" i="7"/>
  <c r="P86" i="7"/>
  <c r="R120" i="7"/>
  <c r="P138" i="7"/>
  <c r="R141" i="7"/>
  <c r="R178" i="7"/>
  <c r="R226" i="7"/>
  <c r="P261" i="7"/>
  <c r="P276" i="7"/>
  <c r="R348" i="7"/>
  <c r="T363" i="7"/>
  <c r="V363" i="7" s="1"/>
  <c r="P395" i="7"/>
  <c r="R479" i="7"/>
  <c r="P516" i="7"/>
  <c r="R533" i="7"/>
  <c r="R582" i="7"/>
  <c r="R692" i="7"/>
  <c r="T538" i="2"/>
  <c r="V538" i="2" s="1"/>
  <c r="R547" i="2"/>
  <c r="R86" i="7"/>
  <c r="R146" i="7"/>
  <c r="T181" i="7"/>
  <c r="U181" i="7" s="1"/>
  <c r="R197" i="7"/>
  <c r="R309" i="7"/>
  <c r="T339" i="7"/>
  <c r="U339" i="7" s="1"/>
  <c r="P351" i="7"/>
  <c r="R363" i="7"/>
  <c r="R467" i="7"/>
  <c r="R591" i="7"/>
  <c r="R689" i="7"/>
  <c r="V694" i="7"/>
  <c r="R564" i="7"/>
  <c r="P591" i="7"/>
  <c r="R561" i="7"/>
  <c r="R567" i="7"/>
  <c r="P534" i="7"/>
  <c r="P589" i="7"/>
  <c r="V567" i="7"/>
  <c r="U589" i="7"/>
  <c r="R74" i="7"/>
  <c r="T562" i="7"/>
  <c r="V562" i="7" s="1"/>
  <c r="T565" i="7"/>
  <c r="U565" i="7" s="1"/>
  <c r="P694" i="7"/>
  <c r="R546" i="2"/>
  <c r="R623" i="2"/>
  <c r="S623" i="2" s="1"/>
  <c r="P19" i="7"/>
  <c r="R99" i="7"/>
  <c r="P113" i="7"/>
  <c r="R143" i="7"/>
  <c r="V201" i="7"/>
  <c r="P207" i="7"/>
  <c r="T228" i="7"/>
  <c r="V228" i="7" s="1"/>
  <c r="P247" i="7"/>
  <c r="T280" i="7"/>
  <c r="V280" i="7" s="1"/>
  <c r="R299" i="7"/>
  <c r="R344" i="7"/>
  <c r="R347" i="7"/>
  <c r="R451" i="7"/>
  <c r="U534" i="7"/>
  <c r="P554" i="7"/>
  <c r="R590" i="7"/>
  <c r="S590" i="7" s="1"/>
  <c r="V43" i="2"/>
  <c r="U43" i="2"/>
  <c r="V16" i="2"/>
  <c r="U16" i="2"/>
  <c r="V31" i="2"/>
  <c r="U31" i="2"/>
  <c r="V70" i="2"/>
  <c r="U70" i="2"/>
  <c r="V19" i="2"/>
  <c r="U19" i="2"/>
  <c r="V97" i="2"/>
  <c r="U97" i="2"/>
  <c r="U329" i="2"/>
  <c r="V329" i="2"/>
  <c r="P3" i="2"/>
  <c r="M46" i="2"/>
  <c r="R49" i="2"/>
  <c r="N59" i="2"/>
  <c r="T83" i="2"/>
  <c r="V112" i="2"/>
  <c r="M150" i="2"/>
  <c r="T170" i="2"/>
  <c r="P170" i="2"/>
  <c r="T234" i="2"/>
  <c r="P234" i="2"/>
  <c r="R258" i="2"/>
  <c r="V404" i="2"/>
  <c r="U404" i="2"/>
  <c r="N46" i="2"/>
  <c r="N100" i="2"/>
  <c r="R109" i="2"/>
  <c r="N150" i="2"/>
  <c r="R160" i="2"/>
  <c r="S160" i="2" s="1"/>
  <c r="M172" i="2"/>
  <c r="V216" i="2"/>
  <c r="U216" i="2"/>
  <c r="R241" i="2"/>
  <c r="M266" i="2"/>
  <c r="T311" i="2"/>
  <c r="P311" i="2"/>
  <c r="R358" i="2"/>
  <c r="V61" i="7"/>
  <c r="U61" i="7"/>
  <c r="N33" i="2"/>
  <c r="P71" i="2"/>
  <c r="M86" i="2"/>
  <c r="N172" i="2"/>
  <c r="P216" i="2"/>
  <c r="V309" i="2"/>
  <c r="U309" i="2"/>
  <c r="R344" i="2"/>
  <c r="P493" i="2"/>
  <c r="T493" i="2"/>
  <c r="R64" i="2"/>
  <c r="N86" i="2"/>
  <c r="R91" i="2"/>
  <c r="V232" i="2"/>
  <c r="U232" i="2"/>
  <c r="T248" i="2"/>
  <c r="P248" i="2"/>
  <c r="T294" i="2"/>
  <c r="P294" i="2"/>
  <c r="M405" i="2"/>
  <c r="V414" i="2"/>
  <c r="U414" i="2"/>
  <c r="R470" i="2"/>
  <c r="R549" i="2"/>
  <c r="T549" i="2"/>
  <c r="V111" i="2"/>
  <c r="U111" i="2"/>
  <c r="M236" i="2"/>
  <c r="R235" i="2"/>
  <c r="S235" i="2" s="1"/>
  <c r="R321" i="2"/>
  <c r="V332" i="2"/>
  <c r="U332" i="2"/>
  <c r="V367" i="2"/>
  <c r="U367" i="2"/>
  <c r="U424" i="2"/>
  <c r="V424" i="2"/>
  <c r="R443" i="2"/>
  <c r="M59" i="2"/>
  <c r="M114" i="2"/>
  <c r="P111" i="2"/>
  <c r="R135" i="2"/>
  <c r="R140" i="2"/>
  <c r="U146" i="2"/>
  <c r="V148" i="2"/>
  <c r="R168" i="2"/>
  <c r="M188" i="2"/>
  <c r="R199" i="2"/>
  <c r="T199" i="2"/>
  <c r="R223" i="2"/>
  <c r="T278" i="2"/>
  <c r="T281" i="2"/>
  <c r="P281" i="2"/>
  <c r="P367" i="2"/>
  <c r="R422" i="2"/>
  <c r="P424" i="2"/>
  <c r="R543" i="2"/>
  <c r="R617" i="2"/>
  <c r="N72" i="2"/>
  <c r="V261" i="2"/>
  <c r="U261" i="2"/>
  <c r="R503" i="2"/>
  <c r="P19" i="2"/>
  <c r="P31" i="2"/>
  <c r="P43" i="2"/>
  <c r="R97" i="2"/>
  <c r="P135" i="2"/>
  <c r="R149" i="2"/>
  <c r="R169" i="2"/>
  <c r="R185" i="2"/>
  <c r="R242" i="2"/>
  <c r="V297" i="2"/>
  <c r="U297" i="2"/>
  <c r="M631" i="2"/>
  <c r="P7" i="2"/>
  <c r="U17" i="2"/>
  <c r="U29" i="2"/>
  <c r="P70" i="2"/>
  <c r="T137" i="2"/>
  <c r="P137" i="2"/>
  <c r="R143" i="2"/>
  <c r="T169" i="2"/>
  <c r="M282" i="2"/>
  <c r="P297" i="2"/>
  <c r="P330" i="2"/>
  <c r="T330" i="2"/>
  <c r="M352" i="2"/>
  <c r="P350" i="2"/>
  <c r="T350" i="2"/>
  <c r="T68" i="2"/>
  <c r="R157" i="2"/>
  <c r="P204" i="2"/>
  <c r="T204" i="2"/>
  <c r="N236" i="2"/>
  <c r="N282" i="2"/>
  <c r="N352" i="2"/>
  <c r="M514" i="2"/>
  <c r="T452" i="2"/>
  <c r="U494" i="2"/>
  <c r="N514" i="2"/>
  <c r="N114" i="2"/>
  <c r="V440" i="2"/>
  <c r="U440" i="2"/>
  <c r="P16" i="2"/>
  <c r="M20" i="2"/>
  <c r="U57" i="2"/>
  <c r="R74" i="2"/>
  <c r="T108" i="2"/>
  <c r="P112" i="2"/>
  <c r="N138" i="2"/>
  <c r="R165" i="2"/>
  <c r="T233" i="2"/>
  <c r="R269" i="2"/>
  <c r="N298" i="2"/>
  <c r="P532" i="2"/>
  <c r="T532" i="2"/>
  <c r="N20" i="2"/>
  <c r="T45" i="2"/>
  <c r="R67" i="2"/>
  <c r="R94" i="2"/>
  <c r="T99" i="2"/>
  <c r="U149" i="2"/>
  <c r="R247" i="2"/>
  <c r="T295" i="2"/>
  <c r="R317" i="2"/>
  <c r="N371" i="2"/>
  <c r="R398" i="2"/>
  <c r="N467" i="2"/>
  <c r="T85" i="2"/>
  <c r="P85" i="2"/>
  <c r="R103" i="2"/>
  <c r="M138" i="2"/>
  <c r="U247" i="2"/>
  <c r="V247" i="2"/>
  <c r="V263" i="2"/>
  <c r="U263" i="2"/>
  <c r="T265" i="2"/>
  <c r="P265" i="2"/>
  <c r="R300" i="2"/>
  <c r="N314" i="2"/>
  <c r="T411" i="2"/>
  <c r="M441" i="2"/>
  <c r="R448" i="2"/>
  <c r="R523" i="2"/>
  <c r="M625" i="2"/>
  <c r="R58" i="2"/>
  <c r="R134" i="2"/>
  <c r="M162" i="2"/>
  <c r="N188" i="2"/>
  <c r="V280" i="2"/>
  <c r="U280" i="2"/>
  <c r="R291" i="2"/>
  <c r="N405" i="2"/>
  <c r="R396" i="2"/>
  <c r="T512" i="2"/>
  <c r="P512" i="2"/>
  <c r="R517" i="2"/>
  <c r="N534" i="2"/>
  <c r="V60" i="7"/>
  <c r="U60" i="7"/>
  <c r="P74" i="7"/>
  <c r="T74" i="7"/>
  <c r="R84" i="7"/>
  <c r="T84" i="7"/>
  <c r="U44" i="7"/>
  <c r="U48" i="7"/>
  <c r="V76" i="7"/>
  <c r="U76" i="7"/>
  <c r="N77" i="7"/>
  <c r="R109" i="7"/>
  <c r="N122" i="7"/>
  <c r="R56" i="7"/>
  <c r="R68" i="7"/>
  <c r="R154" i="2"/>
  <c r="R232" i="2"/>
  <c r="R239" i="2"/>
  <c r="R407" i="2"/>
  <c r="V426" i="2"/>
  <c r="U426" i="2"/>
  <c r="T465" i="2"/>
  <c r="P465" i="2"/>
  <c r="R526" i="2"/>
  <c r="T526" i="2"/>
  <c r="R41" i="7"/>
  <c r="T41" i="7"/>
  <c r="V47" i="7"/>
  <c r="U47" i="7"/>
  <c r="P61" i="7"/>
  <c r="R253" i="2"/>
  <c r="N266" i="2"/>
  <c r="V481" i="2"/>
  <c r="U481" i="2"/>
  <c r="R630" i="2"/>
  <c r="R631" i="2" s="1"/>
  <c r="R225" i="2"/>
  <c r="P232" i="2"/>
  <c r="T253" i="2"/>
  <c r="M314" i="2"/>
  <c r="P332" i="2"/>
  <c r="R420" i="2"/>
  <c r="M483" i="2"/>
  <c r="P481" i="2"/>
  <c r="T72" i="7"/>
  <c r="P72" i="7"/>
  <c r="R82" i="7"/>
  <c r="M333" i="2"/>
  <c r="T403" i="2"/>
  <c r="R539" i="2"/>
  <c r="N556" i="2"/>
  <c r="T552" i="2"/>
  <c r="P552" i="2"/>
  <c r="U105" i="7"/>
  <c r="V105" i="7"/>
  <c r="R79" i="2"/>
  <c r="R186" i="2"/>
  <c r="P262" i="2"/>
  <c r="R408" i="2"/>
  <c r="P461" i="2"/>
  <c r="R473" i="2"/>
  <c r="R509" i="2"/>
  <c r="M534" i="2"/>
  <c r="R5" i="7"/>
  <c r="R24" i="7"/>
  <c r="N35" i="7"/>
  <c r="M35" i="7"/>
  <c r="T57" i="7"/>
  <c r="R57" i="7"/>
  <c r="R76" i="2"/>
  <c r="R136" i="2"/>
  <c r="S136" i="2" s="1"/>
  <c r="R250" i="2"/>
  <c r="V351" i="2"/>
  <c r="U351" i="2"/>
  <c r="P466" i="2"/>
  <c r="T466" i="2"/>
  <c r="T509" i="2"/>
  <c r="P509" i="2"/>
  <c r="T521" i="2"/>
  <c r="M628" i="2"/>
  <c r="V15" i="7"/>
  <c r="C12" i="8"/>
  <c r="C13" i="8" s="1"/>
  <c r="C14" i="8" s="1"/>
  <c r="C15" i="8" s="1"/>
  <c r="B12" i="8"/>
  <c r="B13" i="8" s="1"/>
  <c r="B14" i="8" s="1"/>
  <c r="B15" i="8" s="1"/>
  <c r="M49" i="7"/>
  <c r="P73" i="7"/>
  <c r="T73" i="7"/>
  <c r="V120" i="7"/>
  <c r="U120" i="7"/>
  <c r="R133" i="2"/>
  <c r="R183" i="2"/>
  <c r="N221" i="2"/>
  <c r="R238" i="2"/>
  <c r="N251" i="2"/>
  <c r="V262" i="2"/>
  <c r="T289" i="2"/>
  <c r="V296" i="2"/>
  <c r="M428" i="2"/>
  <c r="P462" i="2"/>
  <c r="T530" i="2"/>
  <c r="R53" i="7"/>
  <c r="N63" i="7"/>
  <c r="T80" i="7"/>
  <c r="P80" i="7"/>
  <c r="R70" i="2"/>
  <c r="R130" i="2"/>
  <c r="T183" i="2"/>
  <c r="R214" i="2"/>
  <c r="R226" i="2"/>
  <c r="P250" i="2"/>
  <c r="R268" i="2"/>
  <c r="N333" i="2"/>
  <c r="V370" i="2"/>
  <c r="R419" i="2"/>
  <c r="N428" i="2"/>
  <c r="R553" i="2"/>
  <c r="T24" i="7"/>
  <c r="V62" i="7"/>
  <c r="U62" i="7"/>
  <c r="P89" i="7"/>
  <c r="T89" i="7"/>
  <c r="N161" i="7"/>
  <c r="P106" i="7"/>
  <c r="T106" i="7"/>
  <c r="P257" i="7"/>
  <c r="M270" i="7"/>
  <c r="T293" i="7"/>
  <c r="R293" i="7"/>
  <c r="R479" i="2"/>
  <c r="R507" i="2"/>
  <c r="R46" i="7"/>
  <c r="R150" i="7"/>
  <c r="V464" i="2"/>
  <c r="U464" i="2"/>
  <c r="U531" i="2"/>
  <c r="V46" i="7"/>
  <c r="U46" i="7"/>
  <c r="P160" i="7"/>
  <c r="V232" i="7"/>
  <c r="U232" i="7"/>
  <c r="P250" i="7"/>
  <c r="T250" i="7"/>
  <c r="M238" i="7"/>
  <c r="V253" i="7"/>
  <c r="U253" i="7"/>
  <c r="V160" i="7"/>
  <c r="U160" i="7"/>
  <c r="R225" i="7"/>
  <c r="N238" i="7"/>
  <c r="U248" i="7"/>
  <c r="V248" i="7"/>
  <c r="P253" i="7"/>
  <c r="V277" i="2"/>
  <c r="U277" i="2"/>
  <c r="M298" i="2"/>
  <c r="R367" i="2"/>
  <c r="R489" i="2"/>
  <c r="V492" i="2"/>
  <c r="P517" i="2"/>
  <c r="P547" i="2"/>
  <c r="P553" i="2"/>
  <c r="T553" i="2"/>
  <c r="M222" i="7"/>
  <c r="P248" i="7"/>
  <c r="T316" i="7"/>
  <c r="P316" i="7"/>
  <c r="R158" i="7"/>
  <c r="M122" i="7"/>
  <c r="T158" i="7"/>
  <c r="P158" i="7"/>
  <c r="M174" i="7"/>
  <c r="T168" i="7"/>
  <c r="T171" i="7"/>
  <c r="P171" i="7"/>
  <c r="R289" i="7"/>
  <c r="T289" i="7"/>
  <c r="T121" i="7"/>
  <c r="P121" i="7"/>
  <c r="M203" i="7"/>
  <c r="M254" i="7"/>
  <c r="P240" i="7"/>
  <c r="R246" i="7"/>
  <c r="V413" i="2"/>
  <c r="U413" i="2"/>
  <c r="M454" i="2"/>
  <c r="V498" i="2"/>
  <c r="U498" i="2"/>
  <c r="R533" i="2"/>
  <c r="S533" i="2" s="1"/>
  <c r="P105" i="7"/>
  <c r="R154" i="7"/>
  <c r="N203" i="7"/>
  <c r="R196" i="7"/>
  <c r="P413" i="2"/>
  <c r="N454" i="2"/>
  <c r="P478" i="2"/>
  <c r="V495" i="2"/>
  <c r="U495" i="2"/>
  <c r="P510" i="2"/>
  <c r="R522" i="2"/>
  <c r="U622" i="2"/>
  <c r="P33" i="7"/>
  <c r="R66" i="7"/>
  <c r="U87" i="7"/>
  <c r="V87" i="7"/>
  <c r="M107" i="7"/>
  <c r="T154" i="7"/>
  <c r="R220" i="2"/>
  <c r="S220" i="2" s="1"/>
  <c r="N441" i="2"/>
  <c r="R458" i="2"/>
  <c r="P473" i="2"/>
  <c r="P495" i="2"/>
  <c r="R518" i="2"/>
  <c r="T51" i="7"/>
  <c r="R69" i="7"/>
  <c r="P154" i="7"/>
  <c r="T243" i="7"/>
  <c r="P243" i="7"/>
  <c r="R217" i="2"/>
  <c r="R256" i="2"/>
  <c r="R271" i="2"/>
  <c r="V478" i="2"/>
  <c r="R525" i="2"/>
  <c r="N628" i="2"/>
  <c r="R627" i="2"/>
  <c r="R628" i="2" s="1"/>
  <c r="M21" i="7"/>
  <c r="M77" i="7"/>
  <c r="R101" i="7"/>
  <c r="R139" i="7"/>
  <c r="T150" i="7"/>
  <c r="V236" i="7"/>
  <c r="U236" i="7"/>
  <c r="R241" i="7"/>
  <c r="P267" i="7"/>
  <c r="T267" i="7"/>
  <c r="M303" i="7"/>
  <c r="T555" i="2"/>
  <c r="P5" i="7"/>
  <c r="T12" i="7"/>
  <c r="T141" i="7"/>
  <c r="N254" i="7"/>
  <c r="R240" i="7"/>
  <c r="T285" i="7"/>
  <c r="P285" i="7"/>
  <c r="V335" i="7"/>
  <c r="U335" i="7"/>
  <c r="V314" i="7"/>
  <c r="U314" i="7"/>
  <c r="R325" i="7"/>
  <c r="R340" i="7"/>
  <c r="N357" i="7"/>
  <c r="T456" i="7"/>
  <c r="P333" i="7"/>
  <c r="T333" i="7"/>
  <c r="R385" i="7"/>
  <c r="N625" i="2"/>
  <c r="T9" i="7"/>
  <c r="R55" i="7"/>
  <c r="R80" i="7"/>
  <c r="V91" i="7"/>
  <c r="U91" i="7"/>
  <c r="V118" i="7"/>
  <c r="U118" i="7"/>
  <c r="M161" i="7"/>
  <c r="P150" i="7"/>
  <c r="P168" i="7"/>
  <c r="R307" i="7"/>
  <c r="R258" i="7"/>
  <c r="V269" i="7"/>
  <c r="U269" i="7"/>
  <c r="M286" i="7"/>
  <c r="U221" i="7"/>
  <c r="T251" i="7"/>
  <c r="P251" i="7"/>
  <c r="R262" i="7"/>
  <c r="U356" i="7"/>
  <c r="M357" i="7"/>
  <c r="U515" i="7"/>
  <c r="V515" i="7"/>
  <c r="R329" i="7"/>
  <c r="T329" i="7"/>
  <c r="N107" i="7"/>
  <c r="N148" i="7"/>
  <c r="R138" i="7"/>
  <c r="V284" i="7"/>
  <c r="U284" i="7"/>
  <c r="T346" i="7"/>
  <c r="P346" i="7"/>
  <c r="P526" i="2"/>
  <c r="M556" i="2"/>
  <c r="P17" i="7"/>
  <c r="T17" i="7"/>
  <c r="R52" i="7"/>
  <c r="R71" i="7"/>
  <c r="T138" i="7"/>
  <c r="V173" i="7"/>
  <c r="U173" i="7"/>
  <c r="R220" i="7"/>
  <c r="T231" i="7"/>
  <c r="T352" i="7"/>
  <c r="P352" i="7"/>
  <c r="V376" i="7"/>
  <c r="U376" i="7"/>
  <c r="U433" i="7"/>
  <c r="T500" i="7"/>
  <c r="P500" i="7"/>
  <c r="R541" i="2"/>
  <c r="N49" i="7"/>
  <c r="T52" i="7"/>
  <c r="R58" i="7"/>
  <c r="P62" i="7"/>
  <c r="V220" i="7"/>
  <c r="U220" i="7"/>
  <c r="U237" i="7"/>
  <c r="T374" i="7"/>
  <c r="P374" i="7"/>
  <c r="T26" i="7"/>
  <c r="T40" i="7"/>
  <c r="V157" i="7"/>
  <c r="U157" i="7"/>
  <c r="V159" i="7"/>
  <c r="U159" i="7"/>
  <c r="R211" i="7"/>
  <c r="P236" i="7"/>
  <c r="V252" i="7"/>
  <c r="U252" i="7"/>
  <c r="R316" i="7"/>
  <c r="P335" i="7"/>
  <c r="V372" i="7"/>
  <c r="U372" i="7"/>
  <c r="R306" i="7"/>
  <c r="T306" i="7"/>
  <c r="P376" i="7"/>
  <c r="R477" i="7"/>
  <c r="T482" i="7"/>
  <c r="P482" i="7"/>
  <c r="T428" i="7"/>
  <c r="T431" i="7"/>
  <c r="P431" i="7"/>
  <c r="T549" i="7"/>
  <c r="P549" i="7"/>
  <c r="P120" i="7"/>
  <c r="R152" i="7"/>
  <c r="R394" i="7"/>
  <c r="M397" i="7"/>
  <c r="P379" i="7"/>
  <c r="P394" i="7"/>
  <c r="T394" i="7"/>
  <c r="R424" i="7"/>
  <c r="N434" i="7"/>
  <c r="T424" i="7"/>
  <c r="P442" i="7"/>
  <c r="T442" i="7"/>
  <c r="M701" i="7"/>
  <c r="U471" i="7"/>
  <c r="V471" i="7"/>
  <c r="M63" i="7"/>
  <c r="N174" i="7"/>
  <c r="T210" i="7"/>
  <c r="R210" i="7"/>
  <c r="R257" i="7"/>
  <c r="N270" i="7"/>
  <c r="P356" i="7"/>
  <c r="R366" i="7"/>
  <c r="M446" i="7"/>
  <c r="P437" i="7"/>
  <c r="P469" i="7"/>
  <c r="T469" i="7"/>
  <c r="R576" i="7"/>
  <c r="N595" i="7"/>
  <c r="P102" i="7"/>
  <c r="P170" i="7"/>
  <c r="T170" i="7"/>
  <c r="M185" i="7"/>
  <c r="V283" i="7"/>
  <c r="U283" i="7"/>
  <c r="N377" i="7"/>
  <c r="R686" i="7"/>
  <c r="N695" i="7"/>
  <c r="T686" i="7"/>
  <c r="U692" i="7"/>
  <c r="V692" i="7"/>
  <c r="P8" i="7"/>
  <c r="M92" i="7"/>
  <c r="P283" i="7"/>
  <c r="T300" i="7"/>
  <c r="P300" i="7"/>
  <c r="T327" i="7"/>
  <c r="T529" i="7"/>
  <c r="P529" i="7"/>
  <c r="P51" i="7"/>
  <c r="V102" i="7"/>
  <c r="T217" i="7"/>
  <c r="P217" i="7"/>
  <c r="P241" i="7"/>
  <c r="T264" i="7"/>
  <c r="P264" i="7"/>
  <c r="N286" i="7"/>
  <c r="U331" i="7"/>
  <c r="V331" i="7"/>
  <c r="P215" i="7"/>
  <c r="M320" i="7"/>
  <c r="M518" i="7"/>
  <c r="P503" i="7"/>
  <c r="U513" i="7"/>
  <c r="V513" i="7"/>
  <c r="M535" i="7"/>
  <c r="M337" i="7"/>
  <c r="N92" i="7"/>
  <c r="R207" i="7"/>
  <c r="N337" i="7"/>
  <c r="M377" i="7"/>
  <c r="N501" i="7"/>
  <c r="R489" i="7"/>
  <c r="R169" i="7"/>
  <c r="R273" i="7"/>
  <c r="R290" i="7"/>
  <c r="N320" i="7"/>
  <c r="R367" i="7"/>
  <c r="M487" i="7"/>
  <c r="T214" i="7"/>
  <c r="P266" i="7"/>
  <c r="T273" i="7"/>
  <c r="U282" i="7"/>
  <c r="R288" i="7"/>
  <c r="T313" i="7"/>
  <c r="P322" i="7"/>
  <c r="R328" i="7"/>
  <c r="R345" i="7"/>
  <c r="R475" i="7"/>
  <c r="N487" i="7"/>
  <c r="P201" i="7"/>
  <c r="P221" i="7"/>
  <c r="V298" i="7"/>
  <c r="U298" i="7"/>
  <c r="T328" i="7"/>
  <c r="P359" i="7"/>
  <c r="R389" i="7"/>
  <c r="R396" i="7"/>
  <c r="V455" i="7"/>
  <c r="U455" i="7"/>
  <c r="T514" i="7"/>
  <c r="R557" i="7"/>
  <c r="T557" i="7"/>
  <c r="R351" i="7"/>
  <c r="R379" i="7"/>
  <c r="N397" i="7"/>
  <c r="T454" i="7"/>
  <c r="P454" i="7"/>
  <c r="N473" i="7"/>
  <c r="R482" i="7"/>
  <c r="T484" i="7"/>
  <c r="P484" i="7"/>
  <c r="T548" i="7"/>
  <c r="P548" i="7"/>
  <c r="M551" i="7"/>
  <c r="R563" i="7"/>
  <c r="R688" i="7"/>
  <c r="R450" i="7"/>
  <c r="T457" i="7"/>
  <c r="P457" i="7"/>
  <c r="U496" i="7"/>
  <c r="V496" i="7"/>
  <c r="V517" i="7"/>
  <c r="U517" i="7"/>
  <c r="N446" i="7"/>
  <c r="T532" i="7"/>
  <c r="P532" i="7"/>
  <c r="S532" i="7" s="1"/>
  <c r="M148" i="7"/>
  <c r="R183" i="7"/>
  <c r="R232" i="7"/>
  <c r="R315" i="7"/>
  <c r="T360" i="7"/>
  <c r="R364" i="7"/>
  <c r="R380" i="7"/>
  <c r="T520" i="7"/>
  <c r="R541" i="7"/>
  <c r="T541" i="7"/>
  <c r="R229" i="7"/>
  <c r="P354" i="7"/>
  <c r="R375" i="7"/>
  <c r="T384" i="7"/>
  <c r="U396" i="7"/>
  <c r="T479" i="7"/>
  <c r="P511" i="7"/>
  <c r="T511" i="7"/>
  <c r="P284" i="7"/>
  <c r="P327" i="7"/>
  <c r="M434" i="7"/>
  <c r="R430" i="7"/>
  <c r="T432" i="7"/>
  <c r="R436" i="7"/>
  <c r="P530" i="7"/>
  <c r="T530" i="7"/>
  <c r="V550" i="7"/>
  <c r="U550" i="7"/>
  <c r="P574" i="7"/>
  <c r="T491" i="7"/>
  <c r="M501" i="7"/>
  <c r="R515" i="7"/>
  <c r="R530" i="7"/>
  <c r="M595" i="7"/>
  <c r="T390" i="7"/>
  <c r="R537" i="7"/>
  <c r="V693" i="7"/>
  <c r="U693" i="7"/>
  <c r="T437" i="7"/>
  <c r="R544" i="7"/>
  <c r="P550" i="7"/>
  <c r="U570" i="7"/>
  <c r="T294" i="7"/>
  <c r="P297" i="7"/>
  <c r="R427" i="7"/>
  <c r="T439" i="7"/>
  <c r="R524" i="7"/>
  <c r="R594" i="7"/>
  <c r="V594" i="7"/>
  <c r="U594" i="7"/>
  <c r="M695" i="7"/>
  <c r="V591" i="7"/>
  <c r="R543" i="7"/>
  <c r="R569" i="7"/>
  <c r="R588" i="7"/>
  <c r="R685" i="7"/>
  <c r="M473" i="7"/>
  <c r="P497" i="7"/>
  <c r="S497" i="7" s="1"/>
  <c r="P521" i="7"/>
  <c r="P567" i="7"/>
  <c r="T586" i="7"/>
  <c r="N535" i="7"/>
  <c r="T545" i="7"/>
  <c r="P545" i="7"/>
  <c r="R554" i="7"/>
  <c r="T451" i="7"/>
  <c r="P592" i="7"/>
  <c r="P594" i="7"/>
  <c r="R490" i="7"/>
  <c r="R549" i="7"/>
  <c r="T558" i="7"/>
  <c r="R560" i="7"/>
  <c r="R593" i="7"/>
  <c r="E33" i="8"/>
  <c r="E50" i="8"/>
  <c r="E67" i="8"/>
  <c r="E60" i="8"/>
  <c r="E51" i="8"/>
  <c r="E68" i="8"/>
  <c r="E48" i="8"/>
  <c r="E65" i="8"/>
  <c r="E40" i="8"/>
  <c r="E58" i="8"/>
  <c r="N459" i="7"/>
  <c r="T475" i="7"/>
  <c r="E45" i="8"/>
  <c r="E62" i="8"/>
  <c r="E66" i="8"/>
  <c r="E53" i="8"/>
  <c r="E72" i="8"/>
  <c r="P471" i="7"/>
  <c r="R547" i="7"/>
  <c r="S547" i="7" s="1"/>
  <c r="P570" i="7"/>
  <c r="E41" i="8"/>
  <c r="E59" i="8"/>
  <c r="M572" i="7"/>
  <c r="S391" i="2" l="1"/>
  <c r="P385" i="2"/>
  <c r="R379" i="2"/>
  <c r="P374" i="2"/>
  <c r="S374" i="2" s="1"/>
  <c r="U375" i="2"/>
  <c r="P304" i="2"/>
  <c r="T595" i="2"/>
  <c r="V595" i="2" s="1"/>
  <c r="T15" i="2"/>
  <c r="V15" i="2" s="1"/>
  <c r="V382" i="2"/>
  <c r="U389" i="2"/>
  <c r="P11" i="2"/>
  <c r="S11" i="2" s="1"/>
  <c r="P307" i="2"/>
  <c r="P382" i="2"/>
  <c r="S382" i="2" s="1"/>
  <c r="P376" i="2"/>
  <c r="S376" i="2" s="1"/>
  <c r="P383" i="2"/>
  <c r="S383" i="2" s="1"/>
  <c r="U376" i="2"/>
  <c r="U383" i="2"/>
  <c r="U384" i="2"/>
  <c r="P373" i="2"/>
  <c r="S373" i="2" s="1"/>
  <c r="P41" i="2"/>
  <c r="P26" i="2"/>
  <c r="P28" i="2"/>
  <c r="U377" i="2"/>
  <c r="U385" i="2"/>
  <c r="P377" i="2"/>
  <c r="S377" i="2" s="1"/>
  <c r="T259" i="2"/>
  <c r="T430" i="2"/>
  <c r="V430" i="2" s="1"/>
  <c r="T65" i="2"/>
  <c r="U65" i="2" s="1"/>
  <c r="U373" i="2"/>
  <c r="P186" i="2"/>
  <c r="S186" i="2" s="1"/>
  <c r="V409" i="7"/>
  <c r="U409" i="7"/>
  <c r="P409" i="7"/>
  <c r="U413" i="7"/>
  <c r="F57" i="8"/>
  <c r="H57" i="8" s="1"/>
  <c r="J40" i="1"/>
  <c r="J39" i="1"/>
  <c r="F56" i="8"/>
  <c r="H56" i="8" s="1"/>
  <c r="P388" i="2"/>
  <c r="S388" i="2" s="1"/>
  <c r="P400" i="7"/>
  <c r="S400" i="7" s="1"/>
  <c r="T641" i="7"/>
  <c r="V641" i="7" s="1"/>
  <c r="S375" i="2"/>
  <c r="S381" i="2"/>
  <c r="R394" i="2"/>
  <c r="U386" i="2"/>
  <c r="U400" i="7"/>
  <c r="P386" i="2"/>
  <c r="U412" i="7"/>
  <c r="P415" i="7"/>
  <c r="S415" i="7" s="1"/>
  <c r="P399" i="7"/>
  <c r="S392" i="2"/>
  <c r="P401" i="7"/>
  <c r="S401" i="7" s="1"/>
  <c r="P408" i="7"/>
  <c r="P416" i="7"/>
  <c r="S416" i="7" s="1"/>
  <c r="U388" i="2"/>
  <c r="P412" i="7"/>
  <c r="S412" i="7" s="1"/>
  <c r="P384" i="2"/>
  <c r="S384" i="2" s="1"/>
  <c r="S393" i="2"/>
  <c r="E34" i="9"/>
  <c r="F34" i="9" s="1"/>
  <c r="S409" i="7"/>
  <c r="S386" i="2"/>
  <c r="S385" i="2"/>
  <c r="U381" i="2"/>
  <c r="P643" i="7"/>
  <c r="S622" i="7"/>
  <c r="U600" i="7"/>
  <c r="P637" i="7"/>
  <c r="S637" i="7" s="1"/>
  <c r="U597" i="7"/>
  <c r="U613" i="7"/>
  <c r="T630" i="7"/>
  <c r="V630" i="7" s="1"/>
  <c r="P286" i="2"/>
  <c r="T323" i="2"/>
  <c r="T447" i="2"/>
  <c r="V447" i="2" s="1"/>
  <c r="T354" i="2"/>
  <c r="V354" i="2" s="1"/>
  <c r="P412" i="2"/>
  <c r="S412" i="2" s="1"/>
  <c r="P61" i="2"/>
  <c r="P128" i="2"/>
  <c r="S128" i="2" s="1"/>
  <c r="T276" i="2"/>
  <c r="V276" i="2" s="1"/>
  <c r="P362" i="2"/>
  <c r="S362" i="2" s="1"/>
  <c r="P226" i="2"/>
  <c r="S226" i="2" s="1"/>
  <c r="P431" i="2"/>
  <c r="S431" i="2" s="1"/>
  <c r="P340" i="2"/>
  <c r="T444" i="2"/>
  <c r="U444" i="2" s="1"/>
  <c r="P106" i="2"/>
  <c r="S106" i="2" s="1"/>
  <c r="T456" i="2"/>
  <c r="U456" i="2" s="1"/>
  <c r="T358" i="2"/>
  <c r="U358" i="2" s="1"/>
  <c r="P229" i="2"/>
  <c r="S229" i="2" s="1"/>
  <c r="S612" i="2"/>
  <c r="P256" i="2"/>
  <c r="S256" i="2" s="1"/>
  <c r="P316" i="2"/>
  <c r="S316" i="2" s="1"/>
  <c r="P5" i="2"/>
  <c r="S5" i="2" s="1"/>
  <c r="T504" i="2"/>
  <c r="V504" i="2" s="1"/>
  <c r="T337" i="2"/>
  <c r="U337" i="2" s="1"/>
  <c r="T25" i="2"/>
  <c r="V25" i="2" s="1"/>
  <c r="P435" i="2"/>
  <c r="S435" i="2" s="1"/>
  <c r="T507" i="2"/>
  <c r="V507" i="2" s="1"/>
  <c r="T154" i="2"/>
  <c r="U154" i="2" s="1"/>
  <c r="P432" i="2"/>
  <c r="S432" i="2" s="1"/>
  <c r="P302" i="2"/>
  <c r="S302" i="2" s="1"/>
  <c r="P195" i="2"/>
  <c r="T522" i="2"/>
  <c r="U522" i="2" s="1"/>
  <c r="T485" i="2"/>
  <c r="V485" i="2" s="1"/>
  <c r="P78" i="2"/>
  <c r="S78" i="2" s="1"/>
  <c r="T597" i="2"/>
  <c r="V597" i="2" s="1"/>
  <c r="T76" i="2"/>
  <c r="U76" i="2" s="1"/>
  <c r="U607" i="2"/>
  <c r="S613" i="2"/>
  <c r="P238" i="2"/>
  <c r="S238" i="2" s="1"/>
  <c r="P366" i="2"/>
  <c r="S366" i="2" s="1"/>
  <c r="P360" i="2"/>
  <c r="S360" i="2" s="1"/>
  <c r="S43" i="2"/>
  <c r="T402" i="2"/>
  <c r="V402" i="2" s="1"/>
  <c r="T460" i="2"/>
  <c r="V460" i="2" s="1"/>
  <c r="P617" i="2"/>
  <c r="S617" i="2" s="1"/>
  <c r="T359" i="2"/>
  <c r="V359" i="2" s="1"/>
  <c r="T618" i="2"/>
  <c r="V618" i="2" s="1"/>
  <c r="T210" i="2"/>
  <c r="V210" i="2" s="1"/>
  <c r="T63" i="2"/>
  <c r="V63" i="2" s="1"/>
  <c r="T287" i="2"/>
  <c r="V287" i="2" s="1"/>
  <c r="P77" i="2"/>
  <c r="S77" i="2" s="1"/>
  <c r="P14" i="2"/>
  <c r="S14" i="2" s="1"/>
  <c r="P592" i="2"/>
  <c r="S592" i="2" s="1"/>
  <c r="S566" i="2"/>
  <c r="U596" i="2"/>
  <c r="P627" i="2"/>
  <c r="S627" i="2" s="1"/>
  <c r="S606" i="2"/>
  <c r="S611" i="2"/>
  <c r="P214" i="2"/>
  <c r="S214" i="2" s="1"/>
  <c r="P271" i="2"/>
  <c r="S271" i="2" s="1"/>
  <c r="P620" i="2"/>
  <c r="S620" i="2" s="1"/>
  <c r="V603" i="2"/>
  <c r="P546" i="2"/>
  <c r="S546" i="2" s="1"/>
  <c r="P519" i="2"/>
  <c r="S519" i="2" s="1"/>
  <c r="T325" i="2"/>
  <c r="U325" i="2" s="1"/>
  <c r="P227" i="2"/>
  <c r="S227" i="2" s="1"/>
  <c r="P103" i="2"/>
  <c r="S103" i="2" s="1"/>
  <c r="P342" i="2"/>
  <c r="S342" i="2" s="1"/>
  <c r="T240" i="2"/>
  <c r="V240" i="2" s="1"/>
  <c r="T36" i="2"/>
  <c r="V36" i="2" s="1"/>
  <c r="T288" i="2"/>
  <c r="V288" i="2" s="1"/>
  <c r="T90" i="2"/>
  <c r="U90" i="2" s="1"/>
  <c r="T130" i="2"/>
  <c r="V130" i="2" s="1"/>
  <c r="T469" i="2"/>
  <c r="V469" i="2" s="1"/>
  <c r="T503" i="2"/>
  <c r="V503" i="2" s="1"/>
  <c r="T421" i="2"/>
  <c r="V421" i="2" s="1"/>
  <c r="T244" i="2"/>
  <c r="U244" i="2" s="1"/>
  <c r="T471" i="2"/>
  <c r="U471" i="2" s="1"/>
  <c r="T408" i="2"/>
  <c r="U408" i="2" s="1"/>
  <c r="T335" i="2"/>
  <c r="V335" i="2" s="1"/>
  <c r="T40" i="2"/>
  <c r="U40" i="2" s="1"/>
  <c r="T491" i="2"/>
  <c r="U491" i="2" s="1"/>
  <c r="T291" i="2"/>
  <c r="V291" i="2" s="1"/>
  <c r="P475" i="2"/>
  <c r="S475" i="2" s="1"/>
  <c r="P152" i="2"/>
  <c r="S152" i="2" s="1"/>
  <c r="T284" i="2"/>
  <c r="V284" i="2" s="1"/>
  <c r="T474" i="2"/>
  <c r="V474" i="2" s="1"/>
  <c r="P305" i="2"/>
  <c r="S305" i="2" s="1"/>
  <c r="P501" i="2"/>
  <c r="S501" i="2" s="1"/>
  <c r="P27" i="2"/>
  <c r="S27" i="2" s="1"/>
  <c r="P184" i="2"/>
  <c r="S184" i="2" s="1"/>
  <c r="T133" i="2"/>
  <c r="V133" i="2" s="1"/>
  <c r="T301" i="2"/>
  <c r="U301" i="2" s="1"/>
  <c r="P599" i="2"/>
  <c r="S599" i="2" s="1"/>
  <c r="T225" i="2"/>
  <c r="U225" i="2" s="1"/>
  <c r="P596" i="2"/>
  <c r="S596" i="2" s="1"/>
  <c r="P292" i="2"/>
  <c r="S292" i="2" s="1"/>
  <c r="P436" i="2"/>
  <c r="S436" i="2" s="1"/>
  <c r="P92" i="2"/>
  <c r="S92" i="2" s="1"/>
  <c r="V604" i="2"/>
  <c r="U604" i="2"/>
  <c r="T285" i="2"/>
  <c r="U285" i="2" s="1"/>
  <c r="P317" i="2"/>
  <c r="S317" i="2" s="1"/>
  <c r="T274" i="2"/>
  <c r="U274" i="2" s="1"/>
  <c r="P590" i="2"/>
  <c r="S590" i="2" s="1"/>
  <c r="S597" i="2"/>
  <c r="U118" i="2"/>
  <c r="P336" i="2"/>
  <c r="S336" i="2" s="1"/>
  <c r="T260" i="2"/>
  <c r="U260" i="2" s="1"/>
  <c r="P508" i="2"/>
  <c r="S508" i="2" s="1"/>
  <c r="P156" i="2"/>
  <c r="S156" i="2" s="1"/>
  <c r="T132" i="2"/>
  <c r="V132" i="2" s="1"/>
  <c r="P105" i="2"/>
  <c r="S105" i="2" s="1"/>
  <c r="P586" i="2"/>
  <c r="S586" i="2" s="1"/>
  <c r="S583" i="2"/>
  <c r="S600" i="2"/>
  <c r="T606" i="2"/>
  <c r="P604" i="2"/>
  <c r="S604" i="2" s="1"/>
  <c r="P603" i="2"/>
  <c r="S603" i="2" s="1"/>
  <c r="S595" i="2"/>
  <c r="P397" i="2"/>
  <c r="S397" i="2" s="1"/>
  <c r="T642" i="2"/>
  <c r="U642" i="2" s="1"/>
  <c r="P527" i="2"/>
  <c r="S527" i="2" s="1"/>
  <c r="S265" i="2"/>
  <c r="P6" i="2"/>
  <c r="S6" i="2" s="1"/>
  <c r="P419" i="2"/>
  <c r="S419" i="2" s="1"/>
  <c r="T356" i="2"/>
  <c r="V356" i="2" s="1"/>
  <c r="P268" i="2"/>
  <c r="S268" i="2" s="1"/>
  <c r="P523" i="2"/>
  <c r="S523" i="2" s="1"/>
  <c r="T418" i="2"/>
  <c r="V418" i="2" s="1"/>
  <c r="P191" i="2"/>
  <c r="S191" i="2" s="1"/>
  <c r="P131" i="2"/>
  <c r="P605" i="2"/>
  <c r="S605" i="2" s="1"/>
  <c r="P598" i="2"/>
  <c r="S598" i="2" s="1"/>
  <c r="S593" i="2"/>
  <c r="P632" i="7"/>
  <c r="S632" i="7" s="1"/>
  <c r="S591" i="2"/>
  <c r="P635" i="7"/>
  <c r="P589" i="2"/>
  <c r="S589" i="2" s="1"/>
  <c r="P601" i="7"/>
  <c r="S601" i="7" s="1"/>
  <c r="R614" i="2"/>
  <c r="T357" i="2"/>
  <c r="V357" i="2" s="1"/>
  <c r="P209" i="2"/>
  <c r="S209" i="2" s="1"/>
  <c r="U601" i="7"/>
  <c r="T600" i="2"/>
  <c r="S601" i="2"/>
  <c r="V599" i="2"/>
  <c r="U599" i="2"/>
  <c r="U587" i="2"/>
  <c r="V587" i="2"/>
  <c r="V589" i="2"/>
  <c r="U589" i="2"/>
  <c r="U594" i="2"/>
  <c r="V594" i="2"/>
  <c r="U588" i="2"/>
  <c r="V588" i="2"/>
  <c r="U605" i="2"/>
  <c r="V605" i="2"/>
  <c r="T591" i="2"/>
  <c r="T601" i="2"/>
  <c r="S608" i="2"/>
  <c r="P602" i="2"/>
  <c r="S602" i="2" s="1"/>
  <c r="P588" i="2"/>
  <c r="S588" i="2" s="1"/>
  <c r="U611" i="7"/>
  <c r="T593" i="2"/>
  <c r="U586" i="2"/>
  <c r="P201" i="2"/>
  <c r="S201" i="2" s="1"/>
  <c r="P587" i="2"/>
  <c r="S587" i="2" s="1"/>
  <c r="U598" i="2"/>
  <c r="P634" i="7"/>
  <c r="S634" i="7" s="1"/>
  <c r="U610" i="2"/>
  <c r="S609" i="2"/>
  <c r="P594" i="2"/>
  <c r="S594" i="2" s="1"/>
  <c r="S249" i="2"/>
  <c r="U592" i="2"/>
  <c r="V602" i="2"/>
  <c r="P487" i="2"/>
  <c r="S487" i="2" s="1"/>
  <c r="S216" i="2"/>
  <c r="T51" i="2"/>
  <c r="V51" i="2" s="1"/>
  <c r="T208" i="2"/>
  <c r="V208" i="2" s="1"/>
  <c r="P53" i="2"/>
  <c r="S53" i="2" s="1"/>
  <c r="V562" i="2"/>
  <c r="V590" i="2"/>
  <c r="U595" i="2"/>
  <c r="S225" i="2"/>
  <c r="T516" i="2"/>
  <c r="U516" i="2" s="1"/>
  <c r="U568" i="2"/>
  <c r="P537" i="2"/>
  <c r="S537" i="2" s="1"/>
  <c r="P213" i="2"/>
  <c r="S213" i="2" s="1"/>
  <c r="T140" i="2"/>
  <c r="U140" i="2" s="1"/>
  <c r="P167" i="2"/>
  <c r="S167" i="2" s="1"/>
  <c r="T24" i="2"/>
  <c r="V24" i="2" s="1"/>
  <c r="S490" i="2"/>
  <c r="S474" i="2"/>
  <c r="P562" i="2"/>
  <c r="S562" i="2" s="1"/>
  <c r="T88" i="2"/>
  <c r="U88" i="2" s="1"/>
  <c r="T303" i="2"/>
  <c r="V303" i="2" s="1"/>
  <c r="P290" i="2"/>
  <c r="S290" i="2" s="1"/>
  <c r="T168" i="2"/>
  <c r="V168" i="2" s="1"/>
  <c r="S413" i="2"/>
  <c r="P91" i="2"/>
  <c r="S91" i="2" s="1"/>
  <c r="T255" i="2"/>
  <c r="U255" i="2" s="1"/>
  <c r="S482" i="2"/>
  <c r="T74" i="2"/>
  <c r="V74" i="2" s="1"/>
  <c r="P472" i="2"/>
  <c r="P449" i="2"/>
  <c r="S449" i="2" s="1"/>
  <c r="T636" i="2"/>
  <c r="U636" i="2" s="1"/>
  <c r="P190" i="2"/>
  <c r="S190" i="2" s="1"/>
  <c r="T9" i="2"/>
  <c r="U9" i="2" s="1"/>
  <c r="T364" i="2"/>
  <c r="V364" i="2" s="1"/>
  <c r="P23" i="2"/>
  <c r="S23" i="2" s="1"/>
  <c r="P569" i="2"/>
  <c r="S569" i="2" s="1"/>
  <c r="S137" i="2"/>
  <c r="P194" i="2"/>
  <c r="S194" i="2" s="1"/>
  <c r="T400" i="2"/>
  <c r="V400" i="2" s="1"/>
  <c r="P616" i="2"/>
  <c r="S616" i="2" s="1"/>
  <c r="P4" i="2"/>
  <c r="S4" i="2" s="1"/>
  <c r="T525" i="2"/>
  <c r="V525" i="2" s="1"/>
  <c r="S122" i="2"/>
  <c r="S505" i="2"/>
  <c r="P347" i="2"/>
  <c r="S347" i="2" s="1"/>
  <c r="P89" i="2"/>
  <c r="S89" i="2" s="1"/>
  <c r="T448" i="2"/>
  <c r="U448" i="2" s="1"/>
  <c r="P50" i="2"/>
  <c r="S50" i="2" s="1"/>
  <c r="T446" i="2"/>
  <c r="V446" i="2" s="1"/>
  <c r="S580" i="2"/>
  <c r="P95" i="2"/>
  <c r="S95" i="2" s="1"/>
  <c r="T79" i="2"/>
  <c r="V79" i="2" s="1"/>
  <c r="T212" i="2"/>
  <c r="V212" i="2" s="1"/>
  <c r="T457" i="2"/>
  <c r="V457" i="2" s="1"/>
  <c r="S26" i="2"/>
  <c r="P145" i="2"/>
  <c r="S145" i="2" s="1"/>
  <c r="T39" i="2"/>
  <c r="U39" i="2" s="1"/>
  <c r="T62" i="2"/>
  <c r="V62" i="2" s="1"/>
  <c r="T157" i="2"/>
  <c r="V157" i="2" s="1"/>
  <c r="T242" i="2"/>
  <c r="V242" i="2" s="1"/>
  <c r="T241" i="2"/>
  <c r="U241" i="2" s="1"/>
  <c r="P257" i="2"/>
  <c r="S257" i="2" s="1"/>
  <c r="T486" i="2"/>
  <c r="U486" i="2" s="1"/>
  <c r="P94" i="2"/>
  <c r="S94" i="2" s="1"/>
  <c r="S155" i="2"/>
  <c r="T355" i="2"/>
  <c r="U355" i="2" s="1"/>
  <c r="T422" i="2"/>
  <c r="V422" i="2" s="1"/>
  <c r="P239" i="2"/>
  <c r="T542" i="2"/>
  <c r="U542" i="2" s="1"/>
  <c r="T343" i="2"/>
  <c r="U343" i="2" s="1"/>
  <c r="T8" i="2"/>
  <c r="V8" i="2" s="1"/>
  <c r="S284" i="2"/>
  <c r="T93" i="2"/>
  <c r="V93" i="2" s="1"/>
  <c r="T399" i="2"/>
  <c r="U399" i="2" s="1"/>
  <c r="S31" i="2"/>
  <c r="T258" i="2"/>
  <c r="V258" i="2" s="1"/>
  <c r="T273" i="2"/>
  <c r="V273" i="2" s="1"/>
  <c r="P144" i="2"/>
  <c r="S144" i="2" s="1"/>
  <c r="S410" i="2"/>
  <c r="S39" i="2"/>
  <c r="T38" i="2"/>
  <c r="V38" i="2" s="1"/>
  <c r="T75" i="2"/>
  <c r="V75" i="2" s="1"/>
  <c r="T550" i="2"/>
  <c r="U550" i="2" s="1"/>
  <c r="T119" i="2"/>
  <c r="V119" i="2" s="1"/>
  <c r="S402" i="2"/>
  <c r="T230" i="2"/>
  <c r="U230" i="2" s="1"/>
  <c r="P539" i="2"/>
  <c r="S539" i="2" s="1"/>
  <c r="P536" i="2"/>
  <c r="S536" i="2" s="1"/>
  <c r="T141" i="2"/>
  <c r="V141" i="2" s="1"/>
  <c r="P443" i="2"/>
  <c r="S218" i="2"/>
  <c r="S253" i="2"/>
  <c r="S71" i="2"/>
  <c r="S15" i="2"/>
  <c r="P197" i="2"/>
  <c r="S197" i="2" s="1"/>
  <c r="P182" i="2"/>
  <c r="P67" i="2"/>
  <c r="S67" i="2" s="1"/>
  <c r="P321" i="2"/>
  <c r="S321" i="2" s="1"/>
  <c r="P434" i="2"/>
  <c r="S434" i="2" s="1"/>
  <c r="S476" i="2"/>
  <c r="P322" i="2"/>
  <c r="S322" i="2" s="1"/>
  <c r="P409" i="2"/>
  <c r="S409" i="2" s="1"/>
  <c r="P420" i="2"/>
  <c r="S420" i="2" s="1"/>
  <c r="P559" i="2"/>
  <c r="S559" i="2" s="1"/>
  <c r="U254" i="2"/>
  <c r="V254" i="2"/>
  <c r="P445" i="2"/>
  <c r="S445" i="2" s="1"/>
  <c r="T630" i="2"/>
  <c r="U630" i="2" s="1"/>
  <c r="T143" i="2"/>
  <c r="V143" i="2" s="1"/>
  <c r="T142" i="2"/>
  <c r="V142" i="2" s="1"/>
  <c r="T365" i="2"/>
  <c r="P571" i="2"/>
  <c r="S571" i="2" s="1"/>
  <c r="S512" i="2"/>
  <c r="T192" i="2"/>
  <c r="U192" i="2" s="1"/>
  <c r="P458" i="2"/>
  <c r="S458" i="2" s="1"/>
  <c r="P544" i="2"/>
  <c r="S544" i="2" s="1"/>
  <c r="T165" i="2"/>
  <c r="U165" i="2" s="1"/>
  <c r="T22" i="2"/>
  <c r="V22" i="2" s="1"/>
  <c r="P223" i="2"/>
  <c r="S223" i="2" s="1"/>
  <c r="T619" i="2"/>
  <c r="U619" i="2" s="1"/>
  <c r="S494" i="2"/>
  <c r="P341" i="2"/>
  <c r="S341" i="2" s="1"/>
  <c r="T107" i="2"/>
  <c r="T243" i="2"/>
  <c r="U243" i="2" s="1"/>
  <c r="T102" i="2"/>
  <c r="V102" i="2" s="1"/>
  <c r="P528" i="2"/>
  <c r="S528" i="2" s="1"/>
  <c r="T407" i="2"/>
  <c r="V407" i="2" s="1"/>
  <c r="T490" i="2"/>
  <c r="U490" i="2" s="1"/>
  <c r="T66" i="2"/>
  <c r="U66" i="2" s="1"/>
  <c r="P164" i="2"/>
  <c r="S164" i="2" s="1"/>
  <c r="S411" i="2"/>
  <c r="T520" i="2"/>
  <c r="V520" i="2" s="1"/>
  <c r="T361" i="2"/>
  <c r="U361" i="2" s="1"/>
  <c r="P49" i="2"/>
  <c r="V547" i="2"/>
  <c r="P254" i="2"/>
  <c r="S254" i="2" s="1"/>
  <c r="T269" i="2"/>
  <c r="U269" i="2" s="1"/>
  <c r="T410" i="2"/>
  <c r="V410" i="2" s="1"/>
  <c r="P224" i="2"/>
  <c r="S224" i="2" s="1"/>
  <c r="P10" i="2"/>
  <c r="S10" i="2" s="1"/>
  <c r="P506" i="2"/>
  <c r="P300" i="2"/>
  <c r="S123" i="2"/>
  <c r="P215" i="2"/>
  <c r="S215" i="2" s="1"/>
  <c r="P275" i="2"/>
  <c r="S275" i="2" s="1"/>
  <c r="T37" i="2"/>
  <c r="U37" i="2" s="1"/>
  <c r="S465" i="2"/>
  <c r="T272" i="2"/>
  <c r="V272" i="2" s="1"/>
  <c r="T401" i="2"/>
  <c r="V401" i="2" s="1"/>
  <c r="P524" i="2"/>
  <c r="S524" i="2" s="1"/>
  <c r="T502" i="2"/>
  <c r="V502" i="2" s="1"/>
  <c r="P541" i="2"/>
  <c r="S541" i="2" s="1"/>
  <c r="T518" i="2"/>
  <c r="V518" i="2" s="1"/>
  <c r="S303" i="2"/>
  <c r="S532" i="2"/>
  <c r="T155" i="2"/>
  <c r="V155" i="2" s="1"/>
  <c r="P339" i="2"/>
  <c r="S339" i="2" s="1"/>
  <c r="T470" i="2"/>
  <c r="V470" i="2" s="1"/>
  <c r="T505" i="2"/>
  <c r="V505" i="2" s="1"/>
  <c r="T338" i="2"/>
  <c r="U338" i="2" s="1"/>
  <c r="T545" i="2"/>
  <c r="U545" i="2" s="1"/>
  <c r="P120" i="2"/>
  <c r="S120" i="2" s="1"/>
  <c r="V561" i="2"/>
  <c r="T396" i="2"/>
  <c r="V396" i="2" s="1"/>
  <c r="S495" i="2"/>
  <c r="T489" i="2"/>
  <c r="U489" i="2" s="1"/>
  <c r="P459" i="2"/>
  <c r="S459" i="2" s="1"/>
  <c r="U415" i="2"/>
  <c r="P345" i="2"/>
  <c r="S345" i="2" s="1"/>
  <c r="S259" i="2"/>
  <c r="T185" i="2"/>
  <c r="U185" i="2" s="1"/>
  <c r="P327" i="2"/>
  <c r="P344" i="2"/>
  <c r="S344" i="2" s="1"/>
  <c r="P35" i="2"/>
  <c r="S35" i="2" s="1"/>
  <c r="S129" i="2"/>
  <c r="P104" i="2"/>
  <c r="S104" i="2" s="1"/>
  <c r="P326" i="2"/>
  <c r="S326" i="2" s="1"/>
  <c r="S504" i="2"/>
  <c r="T129" i="2"/>
  <c r="U129" i="2" s="1"/>
  <c r="T48" i="2"/>
  <c r="V48" i="2" s="1"/>
  <c r="T306" i="2"/>
  <c r="U306" i="2" s="1"/>
  <c r="S461" i="2"/>
  <c r="S351" i="2"/>
  <c r="P621" i="2"/>
  <c r="S621" i="2" s="1"/>
  <c r="T319" i="2"/>
  <c r="V319" i="2" s="1"/>
  <c r="P198" i="2"/>
  <c r="S16" i="2"/>
  <c r="S304" i="2"/>
  <c r="T245" i="2"/>
  <c r="V245" i="2" s="1"/>
  <c r="T228" i="2"/>
  <c r="V228" i="2" s="1"/>
  <c r="T270" i="2"/>
  <c r="V270" i="2" s="1"/>
  <c r="T548" i="2"/>
  <c r="U548" i="2" s="1"/>
  <c r="P52" i="2"/>
  <c r="S52" i="2" s="1"/>
  <c r="T211" i="2"/>
  <c r="U211" i="2" s="1"/>
  <c r="T423" i="2"/>
  <c r="U423" i="2" s="1"/>
  <c r="T80" i="2"/>
  <c r="U80" i="2" s="1"/>
  <c r="T328" i="2"/>
  <c r="V328" i="2" s="1"/>
  <c r="T109" i="2"/>
  <c r="V109" i="2" s="1"/>
  <c r="T81" i="2"/>
  <c r="U81" i="2" s="1"/>
  <c r="T540" i="2"/>
  <c r="V540" i="2" s="1"/>
  <c r="S255" i="2"/>
  <c r="P564" i="2"/>
  <c r="S564" i="2" s="1"/>
  <c r="T64" i="2"/>
  <c r="S462" i="2"/>
  <c r="T639" i="2"/>
  <c r="V639" i="2" s="1"/>
  <c r="T433" i="2"/>
  <c r="V433" i="2" s="1"/>
  <c r="S332" i="2"/>
  <c r="S261" i="2"/>
  <c r="S62" i="2"/>
  <c r="P12" i="2"/>
  <c r="S12" i="2" s="1"/>
  <c r="S582" i="2"/>
  <c r="T566" i="2"/>
  <c r="V566" i="2" s="1"/>
  <c r="S563" i="2"/>
  <c r="S623" i="7"/>
  <c r="T478" i="7"/>
  <c r="V608" i="7"/>
  <c r="T639" i="7"/>
  <c r="V639" i="7" s="1"/>
  <c r="U614" i="7"/>
  <c r="T82" i="7"/>
  <c r="U621" i="7"/>
  <c r="P609" i="7"/>
  <c r="S609" i="7" s="1"/>
  <c r="S620" i="7"/>
  <c r="U607" i="7"/>
  <c r="V607" i="7"/>
  <c r="P627" i="7"/>
  <c r="S627" i="7" s="1"/>
  <c r="U615" i="7"/>
  <c r="P607" i="7"/>
  <c r="S607" i="7" s="1"/>
  <c r="T246" i="7"/>
  <c r="U606" i="7"/>
  <c r="U603" i="7"/>
  <c r="U618" i="7"/>
  <c r="P615" i="7"/>
  <c r="S615" i="7" s="1"/>
  <c r="U602" i="7"/>
  <c r="V602" i="7"/>
  <c r="P626" i="7"/>
  <c r="P638" i="7"/>
  <c r="S638" i="7" s="1"/>
  <c r="T646" i="7"/>
  <c r="V646" i="7" s="1"/>
  <c r="U612" i="7"/>
  <c r="U598" i="7"/>
  <c r="P602" i="7"/>
  <c r="S602" i="7" s="1"/>
  <c r="P179" i="7"/>
  <c r="S179" i="7" s="1"/>
  <c r="S647" i="7"/>
  <c r="T645" i="7"/>
  <c r="U645" i="7" s="1"/>
  <c r="T290" i="7"/>
  <c r="P310" i="7"/>
  <c r="T463" i="7"/>
  <c r="U463" i="7" s="1"/>
  <c r="P291" i="7"/>
  <c r="P640" i="7"/>
  <c r="S640" i="7" s="1"/>
  <c r="P342" i="7"/>
  <c r="S342" i="7" s="1"/>
  <c r="P598" i="7"/>
  <c r="S598" i="7" s="1"/>
  <c r="P537" i="7"/>
  <c r="S537" i="7" s="1"/>
  <c r="P324" i="7"/>
  <c r="S324" i="7" s="1"/>
  <c r="V616" i="7"/>
  <c r="P347" i="7"/>
  <c r="T450" i="7"/>
  <c r="V450" i="7" s="1"/>
  <c r="T262" i="7"/>
  <c r="P142" i="7"/>
  <c r="S142" i="7" s="1"/>
  <c r="S619" i="7"/>
  <c r="P559" i="7"/>
  <c r="S559" i="7" s="1"/>
  <c r="P292" i="7"/>
  <c r="S292" i="7" s="1"/>
  <c r="P325" i="7"/>
  <c r="S325" i="7" s="1"/>
  <c r="T642" i="7"/>
  <c r="V642" i="7" s="1"/>
  <c r="R624" i="7"/>
  <c r="U605" i="7"/>
  <c r="P597" i="7"/>
  <c r="S597" i="7" s="1"/>
  <c r="P197" i="7"/>
  <c r="S197" i="7" s="1"/>
  <c r="T226" i="7"/>
  <c r="P613" i="7"/>
  <c r="S613" i="7" s="1"/>
  <c r="T599" i="7"/>
  <c r="V599" i="7" s="1"/>
  <c r="P610" i="7"/>
  <c r="S610" i="7" s="1"/>
  <c r="S617" i="7"/>
  <c r="P600" i="7"/>
  <c r="S600" i="7" s="1"/>
  <c r="U77" i="2"/>
  <c r="V77" i="2"/>
  <c r="P561" i="2"/>
  <c r="S561" i="2" s="1"/>
  <c r="U200" i="2"/>
  <c r="S491" i="2"/>
  <c r="S243" i="2"/>
  <c r="T153" i="2"/>
  <c r="U153" i="2" s="1"/>
  <c r="T563" i="2"/>
  <c r="V563" i="2" s="1"/>
  <c r="U560" i="2"/>
  <c r="P560" i="2"/>
  <c r="S560" i="2" s="1"/>
  <c r="T324" i="2"/>
  <c r="V324" i="2" s="1"/>
  <c r="S63" i="2"/>
  <c r="T196" i="2"/>
  <c r="V196" i="2" s="1"/>
  <c r="T320" i="2"/>
  <c r="U320" i="2" s="1"/>
  <c r="T193" i="2"/>
  <c r="V193" i="2" s="1"/>
  <c r="S200" i="2"/>
  <c r="U176" i="2"/>
  <c r="U482" i="2"/>
  <c r="V18" i="2"/>
  <c r="S520" i="2"/>
  <c r="T308" i="2"/>
  <c r="U308" i="2" s="1"/>
  <c r="U546" i="2"/>
  <c r="S294" i="2"/>
  <c r="P13" i="2"/>
  <c r="S349" i="2"/>
  <c r="U536" i="2"/>
  <c r="V536" i="2"/>
  <c r="U458" i="2"/>
  <c r="V458" i="2"/>
  <c r="V215" i="2"/>
  <c r="U215" i="2"/>
  <c r="V13" i="2"/>
  <c r="U13" i="2"/>
  <c r="T346" i="2"/>
  <c r="V346" i="2" s="1"/>
  <c r="P543" i="2"/>
  <c r="S543" i="2" s="1"/>
  <c r="P488" i="2"/>
  <c r="S488" i="2" s="1"/>
  <c r="P118" i="2"/>
  <c r="S118" i="2" s="1"/>
  <c r="P116" i="2"/>
  <c r="S116" i="2" s="1"/>
  <c r="U575" i="2"/>
  <c r="S572" i="2"/>
  <c r="S76" i="2"/>
  <c r="S359" i="2"/>
  <c r="T117" i="2"/>
  <c r="U117" i="2" s="1"/>
  <c r="S478" i="2"/>
  <c r="U435" i="2"/>
  <c r="U92" i="2"/>
  <c r="S319" i="2"/>
  <c r="S80" i="2"/>
  <c r="V578" i="2"/>
  <c r="R584" i="2"/>
  <c r="S481" i="2"/>
  <c r="U331" i="2"/>
  <c r="V567" i="2"/>
  <c r="P178" i="2"/>
  <c r="S178" i="2" s="1"/>
  <c r="S177" i="2"/>
  <c r="S121" i="2"/>
  <c r="U564" i="2"/>
  <c r="V581" i="2"/>
  <c r="P573" i="2"/>
  <c r="S573" i="2" s="1"/>
  <c r="S263" i="2"/>
  <c r="S179" i="2"/>
  <c r="P175" i="2"/>
  <c r="S175" i="2" s="1"/>
  <c r="U558" i="2"/>
  <c r="P574" i="2"/>
  <c r="S574" i="2" s="1"/>
  <c r="S311" i="2"/>
  <c r="S88" i="2"/>
  <c r="S447" i="2"/>
  <c r="S325" i="2"/>
  <c r="V574" i="2"/>
  <c r="S579" i="2"/>
  <c r="P575" i="2"/>
  <c r="S575" i="2" s="1"/>
  <c r="S418" i="2"/>
  <c r="S246" i="2"/>
  <c r="S37" i="2"/>
  <c r="V565" i="2"/>
  <c r="P558" i="2"/>
  <c r="S558" i="2" s="1"/>
  <c r="P568" i="2"/>
  <c r="S568" i="2" s="1"/>
  <c r="S549" i="2"/>
  <c r="S241" i="2"/>
  <c r="S147" i="2"/>
  <c r="S142" i="2"/>
  <c r="S318" i="2"/>
  <c r="R180" i="2"/>
  <c r="S56" i="2"/>
  <c r="V610" i="7"/>
  <c r="U610" i="7"/>
  <c r="V167" i="2"/>
  <c r="U167" i="2"/>
  <c r="V621" i="2"/>
  <c r="U621" i="2"/>
  <c r="P614" i="7"/>
  <c r="S614" i="7" s="1"/>
  <c r="P176" i="2"/>
  <c r="S176" i="2" s="1"/>
  <c r="S641" i="7"/>
  <c r="U124" i="2"/>
  <c r="P577" i="2"/>
  <c r="S577" i="2" s="1"/>
  <c r="S288" i="2"/>
  <c r="P629" i="7"/>
  <c r="S629" i="7" s="1"/>
  <c r="T633" i="7"/>
  <c r="V633" i="7" s="1"/>
  <c r="T636" i="7"/>
  <c r="V636" i="7" s="1"/>
  <c r="P604" i="7"/>
  <c r="S604" i="7" s="1"/>
  <c r="P570" i="2"/>
  <c r="S570" i="2" s="1"/>
  <c r="U279" i="2"/>
  <c r="P633" i="2"/>
  <c r="P634" i="2" s="1"/>
  <c r="S125" i="2"/>
  <c r="T177" i="2"/>
  <c r="U177" i="2" s="1"/>
  <c r="S346" i="2"/>
  <c r="U573" i="2"/>
  <c r="P565" i="2"/>
  <c r="S565" i="2" s="1"/>
  <c r="P616" i="7"/>
  <c r="S616" i="7" s="1"/>
  <c r="P605" i="7"/>
  <c r="S605" i="7" s="1"/>
  <c r="T628" i="7"/>
  <c r="V628" i="7" s="1"/>
  <c r="T572" i="2"/>
  <c r="S448" i="2"/>
  <c r="V69" i="2"/>
  <c r="S210" i="2"/>
  <c r="V570" i="2"/>
  <c r="U576" i="2"/>
  <c r="P608" i="7"/>
  <c r="S608" i="7" s="1"/>
  <c r="S134" i="7"/>
  <c r="S639" i="7"/>
  <c r="U559" i="2"/>
  <c r="U577" i="2"/>
  <c r="P603" i="7"/>
  <c r="S603" i="7" s="1"/>
  <c r="P606" i="7"/>
  <c r="S606" i="7" s="1"/>
  <c r="U336" i="2"/>
  <c r="T318" i="2"/>
  <c r="V318" i="2" s="1"/>
  <c r="S548" i="2"/>
  <c r="S141" i="2"/>
  <c r="V120" i="2"/>
  <c r="P631" i="7"/>
  <c r="S631" i="7" s="1"/>
  <c r="P611" i="7"/>
  <c r="S611" i="7" s="1"/>
  <c r="P576" i="2"/>
  <c r="S576" i="2" s="1"/>
  <c r="P612" i="7"/>
  <c r="S612" i="7" s="1"/>
  <c r="U571" i="2"/>
  <c r="U569" i="2"/>
  <c r="U604" i="7"/>
  <c r="P25" i="7"/>
  <c r="S25" i="7" s="1"/>
  <c r="U641" i="7"/>
  <c r="T448" i="7"/>
  <c r="S193" i="7"/>
  <c r="S372" i="7"/>
  <c r="S282" i="7"/>
  <c r="U637" i="7"/>
  <c r="S652" i="7"/>
  <c r="P467" i="7"/>
  <c r="P481" i="7"/>
  <c r="S481" i="7" s="1"/>
  <c r="S686" i="7"/>
  <c r="P153" i="7"/>
  <c r="T230" i="7"/>
  <c r="V230" i="7" s="1"/>
  <c r="S650" i="7"/>
  <c r="P700" i="7"/>
  <c r="P391" i="7"/>
  <c r="S391" i="7" s="1"/>
  <c r="P345" i="7"/>
  <c r="S449" i="7"/>
  <c r="T341" i="7"/>
  <c r="V341" i="7" s="1"/>
  <c r="U640" i="7"/>
  <c r="T167" i="7"/>
  <c r="U167" i="7" s="1"/>
  <c r="T305" i="7"/>
  <c r="V305" i="7" s="1"/>
  <c r="S133" i="7"/>
  <c r="T581" i="7"/>
  <c r="V581" i="7" s="1"/>
  <c r="P323" i="7"/>
  <c r="S323" i="7" s="1"/>
  <c r="T429" i="7"/>
  <c r="V429" i="7" s="1"/>
  <c r="U626" i="7"/>
  <c r="S592" i="7"/>
  <c r="T114" i="7"/>
  <c r="S251" i="7"/>
  <c r="P361" i="7"/>
  <c r="S361" i="7" s="1"/>
  <c r="V86" i="7"/>
  <c r="S643" i="7"/>
  <c r="S646" i="7"/>
  <c r="S545" i="7"/>
  <c r="U629" i="7"/>
  <c r="S529" i="7"/>
  <c r="P712" i="7"/>
  <c r="S712" i="7" s="1"/>
  <c r="P369" i="7"/>
  <c r="S369" i="7" s="1"/>
  <c r="S644" i="7"/>
  <c r="S526" i="7"/>
  <c r="S636" i="7"/>
  <c r="U638" i="7"/>
  <c r="R654" i="7"/>
  <c r="S98" i="7"/>
  <c r="U627" i="7"/>
  <c r="S651" i="7"/>
  <c r="P96" i="7"/>
  <c r="S96" i="7" s="1"/>
  <c r="S630" i="7"/>
  <c r="S642" i="7"/>
  <c r="P561" i="7"/>
  <c r="T430" i="7"/>
  <c r="P196" i="7"/>
  <c r="P480" i="7"/>
  <c r="T343" i="7"/>
  <c r="V343" i="7" s="1"/>
  <c r="S41" i="7"/>
  <c r="S228" i="7"/>
  <c r="T309" i="7"/>
  <c r="U309" i="7" s="1"/>
  <c r="T697" i="7"/>
  <c r="V697" i="7" s="1"/>
  <c r="F72" i="8" s="1"/>
  <c r="H72" i="8" s="1"/>
  <c r="S633" i="7"/>
  <c r="P560" i="7"/>
  <c r="S560" i="7" s="1"/>
  <c r="U643" i="7"/>
  <c r="S635" i="7"/>
  <c r="S628" i="7"/>
  <c r="U644" i="7"/>
  <c r="P371" i="7"/>
  <c r="S371" i="7" s="1"/>
  <c r="P13" i="7"/>
  <c r="S13" i="7" s="1"/>
  <c r="P524" i="7"/>
  <c r="S524" i="7" s="1"/>
  <c r="S333" i="7"/>
  <c r="P55" i="7"/>
  <c r="P63" i="7" s="1"/>
  <c r="U648" i="7"/>
  <c r="P438" i="7"/>
  <c r="S438" i="7" s="1"/>
  <c r="T441" i="7"/>
  <c r="U441" i="7" s="1"/>
  <c r="S645" i="7"/>
  <c r="V322" i="7"/>
  <c r="P274" i="7"/>
  <c r="S274" i="7" s="1"/>
  <c r="P191" i="7"/>
  <c r="S191" i="7" s="1"/>
  <c r="T578" i="7"/>
  <c r="V578" i="7" s="1"/>
  <c r="P464" i="7"/>
  <c r="S464" i="7" s="1"/>
  <c r="T288" i="7"/>
  <c r="P178" i="7"/>
  <c r="S178" i="7" s="1"/>
  <c r="T99" i="7"/>
  <c r="V99" i="7" s="1"/>
  <c r="U635" i="7"/>
  <c r="V631" i="7"/>
  <c r="S653" i="7"/>
  <c r="P128" i="7"/>
  <c r="S128" i="7" s="1"/>
  <c r="T111" i="7"/>
  <c r="U111" i="7" s="1"/>
  <c r="U630" i="7"/>
  <c r="S295" i="7"/>
  <c r="T588" i="7"/>
  <c r="U588" i="7" s="1"/>
  <c r="T495" i="7"/>
  <c r="P350" i="7"/>
  <c r="S350" i="7" s="1"/>
  <c r="S472" i="7"/>
  <c r="T151" i="7"/>
  <c r="V151" i="7" s="1"/>
  <c r="P365" i="7"/>
  <c r="S365" i="7" s="1"/>
  <c r="T85" i="7"/>
  <c r="U85" i="7" s="1"/>
  <c r="T504" i="7"/>
  <c r="U504" i="7" s="1"/>
  <c r="T295" i="7"/>
  <c r="U295" i="7" s="1"/>
  <c r="T563" i="7"/>
  <c r="U563" i="7" s="1"/>
  <c r="V503" i="7"/>
  <c r="P94" i="7"/>
  <c r="P110" i="7"/>
  <c r="S110" i="7" s="1"/>
  <c r="S299" i="7"/>
  <c r="S513" i="7"/>
  <c r="U634" i="7"/>
  <c r="S375" i="7"/>
  <c r="P152" i="7"/>
  <c r="S152" i="7" s="1"/>
  <c r="P461" i="7"/>
  <c r="S461" i="7" s="1"/>
  <c r="S137" i="7"/>
  <c r="U632" i="7"/>
  <c r="S259" i="7"/>
  <c r="S331" i="7"/>
  <c r="P244" i="7"/>
  <c r="S244" i="7" s="1"/>
  <c r="T67" i="7"/>
  <c r="V67" i="7" s="1"/>
  <c r="T349" i="7"/>
  <c r="V349" i="7" s="1"/>
  <c r="T28" i="7"/>
  <c r="T465" i="7"/>
  <c r="U465" i="7" s="1"/>
  <c r="P127" i="7"/>
  <c r="S127" i="7" s="1"/>
  <c r="P187" i="7"/>
  <c r="S187" i="7" s="1"/>
  <c r="U649" i="7"/>
  <c r="T208" i="7"/>
  <c r="U208" i="7" s="1"/>
  <c r="T340" i="7"/>
  <c r="U340" i="7" s="1"/>
  <c r="T69" i="7"/>
  <c r="U69" i="7" s="1"/>
  <c r="S694" i="7"/>
  <c r="S276" i="7"/>
  <c r="T260" i="7"/>
  <c r="U260" i="7" s="1"/>
  <c r="P381" i="7"/>
  <c r="S381" i="7" s="1"/>
  <c r="P229" i="7"/>
  <c r="S229" i="7" s="1"/>
  <c r="P706" i="7"/>
  <c r="P707" i="7" s="1"/>
  <c r="S327" i="7"/>
  <c r="P509" i="7"/>
  <c r="S509" i="7" s="1"/>
  <c r="S170" i="7"/>
  <c r="U180" i="7"/>
  <c r="S103" i="7"/>
  <c r="S463" i="7"/>
  <c r="P544" i="7"/>
  <c r="S544" i="7" s="1"/>
  <c r="S71" i="7"/>
  <c r="P200" i="7"/>
  <c r="S200" i="7" s="1"/>
  <c r="T6" i="7"/>
  <c r="V6" i="7" s="1"/>
  <c r="P65" i="7"/>
  <c r="S65" i="7" s="1"/>
  <c r="P39" i="7"/>
  <c r="S39" i="7" s="1"/>
  <c r="S354" i="7"/>
  <c r="P494" i="7"/>
  <c r="P501" i="7" s="1"/>
  <c r="T584" i="7"/>
  <c r="U584" i="7" s="1"/>
  <c r="P585" i="7"/>
  <c r="S585" i="7" s="1"/>
  <c r="T449" i="7"/>
  <c r="U449" i="7" s="1"/>
  <c r="T4" i="7"/>
  <c r="U4" i="7" s="1"/>
  <c r="P163" i="7"/>
  <c r="S163" i="7" s="1"/>
  <c r="T155" i="7"/>
  <c r="V155" i="7" s="1"/>
  <c r="P462" i="7"/>
  <c r="S462" i="7" s="1"/>
  <c r="P308" i="7"/>
  <c r="S308" i="7" s="1"/>
  <c r="S23" i="7"/>
  <c r="S26" i="7"/>
  <c r="S383" i="7"/>
  <c r="S570" i="7"/>
  <c r="T386" i="7"/>
  <c r="U386" i="7" s="1"/>
  <c r="T579" i="7"/>
  <c r="U579" i="7" s="1"/>
  <c r="T307" i="7"/>
  <c r="V307" i="7" s="1"/>
  <c r="P538" i="7"/>
  <c r="P687" i="7"/>
  <c r="S687" i="7" s="1"/>
  <c r="P583" i="7"/>
  <c r="S583" i="7" s="1"/>
  <c r="P275" i="7"/>
  <c r="S275" i="7" s="1"/>
  <c r="P211" i="7"/>
  <c r="S211" i="7" s="1"/>
  <c r="P553" i="7"/>
  <c r="S553" i="7" s="1"/>
  <c r="U574" i="7"/>
  <c r="S167" i="7"/>
  <c r="T383" i="7"/>
  <c r="V383" i="7" s="1"/>
  <c r="S562" i="7"/>
  <c r="T688" i="7"/>
  <c r="V688" i="7" s="1"/>
  <c r="V247" i="7"/>
  <c r="P690" i="7"/>
  <c r="S690" i="7" s="1"/>
  <c r="T278" i="7"/>
  <c r="U278" i="7" s="1"/>
  <c r="T380" i="7"/>
  <c r="U380" i="7" s="1"/>
  <c r="T277" i="7"/>
  <c r="V277" i="7" s="1"/>
  <c r="T79" i="7"/>
  <c r="V79" i="7" s="1"/>
  <c r="S268" i="7"/>
  <c r="P367" i="7"/>
  <c r="S367" i="7" s="1"/>
  <c r="S581" i="7"/>
  <c r="U553" i="7"/>
  <c r="V553" i="7"/>
  <c r="P213" i="7"/>
  <c r="S213" i="7" s="1"/>
  <c r="S386" i="7"/>
  <c r="S555" i="7"/>
  <c r="S424" i="7"/>
  <c r="S84" i="7"/>
  <c r="P525" i="7"/>
  <c r="T259" i="7"/>
  <c r="U259" i="7" s="1"/>
  <c r="S27" i="7"/>
  <c r="P188" i="7"/>
  <c r="S188" i="7" s="1"/>
  <c r="S577" i="7"/>
  <c r="S252" i="7"/>
  <c r="S511" i="7"/>
  <c r="T137" i="7"/>
  <c r="U137" i="7" s="1"/>
  <c r="S264" i="7"/>
  <c r="S374" i="7"/>
  <c r="S352" i="7"/>
  <c r="P70" i="7"/>
  <c r="S70" i="7" s="1"/>
  <c r="P523" i="7"/>
  <c r="S523" i="7" s="1"/>
  <c r="T101" i="7"/>
  <c r="V101" i="7" s="1"/>
  <c r="S44" i="7"/>
  <c r="S199" i="7"/>
  <c r="P426" i="7"/>
  <c r="S426" i="7" s="1"/>
  <c r="S493" i="7"/>
  <c r="S95" i="7"/>
  <c r="P258" i="7"/>
  <c r="S258" i="7" s="1"/>
  <c r="S521" i="7"/>
  <c r="T543" i="7"/>
  <c r="V543" i="7" s="1"/>
  <c r="T440" i="7"/>
  <c r="U440" i="7" s="1"/>
  <c r="T703" i="7"/>
  <c r="U703" i="7" s="1"/>
  <c r="P140" i="7"/>
  <c r="T37" i="7"/>
  <c r="V37" i="7" s="1"/>
  <c r="P216" i="7"/>
  <c r="S216" i="7" s="1"/>
  <c r="S589" i="7"/>
  <c r="P556" i="7"/>
  <c r="S556" i="7" s="1"/>
  <c r="S312" i="7"/>
  <c r="V191" i="7"/>
  <c r="S465" i="7"/>
  <c r="S192" i="7"/>
  <c r="S329" i="7"/>
  <c r="S313" i="7"/>
  <c r="S693" i="7"/>
  <c r="T476" i="7"/>
  <c r="U476" i="7" s="1"/>
  <c r="S540" i="7"/>
  <c r="P97" i="7"/>
  <c r="S97" i="7" s="1"/>
  <c r="P344" i="7"/>
  <c r="S495" i="7"/>
  <c r="S302" i="7"/>
  <c r="U508" i="7"/>
  <c r="S339" i="7"/>
  <c r="P100" i="7"/>
  <c r="T116" i="7"/>
  <c r="V116" i="7" s="1"/>
  <c r="T489" i="7"/>
  <c r="U489" i="7" s="1"/>
  <c r="S458" i="7"/>
  <c r="U525" i="7"/>
  <c r="T312" i="7"/>
  <c r="U312" i="7" s="1"/>
  <c r="T477" i="7"/>
  <c r="U330" i="7"/>
  <c r="S66" i="7"/>
  <c r="S121" i="7"/>
  <c r="S534" i="7"/>
  <c r="P689" i="7"/>
  <c r="S689" i="7" s="1"/>
  <c r="P3" i="7"/>
  <c r="S3" i="7" s="1"/>
  <c r="T81" i="7"/>
  <c r="U81" i="7" s="1"/>
  <c r="S305" i="7"/>
  <c r="T129" i="7"/>
  <c r="V129" i="7" s="1"/>
  <c r="U585" i="7"/>
  <c r="S297" i="7"/>
  <c r="T389" i="7"/>
  <c r="U389" i="7" s="1"/>
  <c r="S328" i="7"/>
  <c r="S500" i="7"/>
  <c r="S33" i="7"/>
  <c r="T348" i="7"/>
  <c r="U348" i="7" s="1"/>
  <c r="S265" i="7"/>
  <c r="S571" i="7"/>
  <c r="P382" i="7"/>
  <c r="S382" i="7" s="1"/>
  <c r="T326" i="7"/>
  <c r="V326" i="7" s="1"/>
  <c r="S226" i="7"/>
  <c r="P539" i="7"/>
  <c r="S539" i="7" s="1"/>
  <c r="U379" i="7"/>
  <c r="S243" i="7"/>
  <c r="T56" i="7"/>
  <c r="U56" i="7" s="1"/>
  <c r="T23" i="7"/>
  <c r="U23" i="7" s="1"/>
  <c r="T540" i="7"/>
  <c r="T224" i="7"/>
  <c r="U224" i="7" s="1"/>
  <c r="T362" i="7"/>
  <c r="V362" i="7" s="1"/>
  <c r="S101" i="7"/>
  <c r="S516" i="7"/>
  <c r="T27" i="7"/>
  <c r="V27" i="7" s="1"/>
  <c r="S29" i="7"/>
  <c r="P385" i="7"/>
  <c r="S385" i="7" s="1"/>
  <c r="P709" i="7"/>
  <c r="P710" i="7" s="1"/>
  <c r="U75" i="7"/>
  <c r="S262" i="7"/>
  <c r="S285" i="7"/>
  <c r="P14" i="7"/>
  <c r="S14" i="7" s="1"/>
  <c r="S68" i="7"/>
  <c r="S362" i="7"/>
  <c r="S469" i="7"/>
  <c r="S19" i="7"/>
  <c r="S453" i="7"/>
  <c r="S457" i="7"/>
  <c r="S454" i="7"/>
  <c r="U359" i="7"/>
  <c r="U199" i="7"/>
  <c r="S72" i="7"/>
  <c r="P7" i="7"/>
  <c r="S7" i="7" s="1"/>
  <c r="T68" i="7"/>
  <c r="V68" i="7" s="1"/>
  <c r="T492" i="7"/>
  <c r="U466" i="7"/>
  <c r="T165" i="7"/>
  <c r="U165" i="7" s="1"/>
  <c r="S278" i="7"/>
  <c r="S81" i="7"/>
  <c r="S326" i="7"/>
  <c r="T98" i="7"/>
  <c r="V98" i="7" s="1"/>
  <c r="S349" i="7"/>
  <c r="P685" i="7"/>
  <c r="S685" i="7" s="1"/>
  <c r="S490" i="7"/>
  <c r="S366" i="7"/>
  <c r="S477" i="7"/>
  <c r="S236" i="7"/>
  <c r="S4" i="7"/>
  <c r="S89" i="7"/>
  <c r="S441" i="7"/>
  <c r="P212" i="7"/>
  <c r="S212" i="7" s="1"/>
  <c r="T580" i="7"/>
  <c r="U580" i="7" s="1"/>
  <c r="P564" i="7"/>
  <c r="P176" i="7"/>
  <c r="S176" i="7" s="1"/>
  <c r="S440" i="7"/>
  <c r="S263" i="7"/>
  <c r="V493" i="7"/>
  <c r="P206" i="7"/>
  <c r="S206" i="7" s="1"/>
  <c r="P166" i="7"/>
  <c r="S166" i="7" s="1"/>
  <c r="T115" i="7"/>
  <c r="V115" i="7" s="1"/>
  <c r="T242" i="7"/>
  <c r="U242" i="7" s="1"/>
  <c r="P164" i="7"/>
  <c r="S164" i="7" s="1"/>
  <c r="S307" i="7"/>
  <c r="S248" i="7"/>
  <c r="P311" i="7"/>
  <c r="S311" i="7" s="1"/>
  <c r="P177" i="7"/>
  <c r="S177" i="7" s="1"/>
  <c r="S452" i="7"/>
  <c r="S114" i="7"/>
  <c r="S584" i="7"/>
  <c r="S79" i="7"/>
  <c r="S558" i="7"/>
  <c r="T577" i="7"/>
  <c r="U577" i="7" s="1"/>
  <c r="S231" i="7"/>
  <c r="P209" i="7"/>
  <c r="S209" i="7" s="1"/>
  <c r="S548" i="7"/>
  <c r="S169" i="7"/>
  <c r="U104" i="7"/>
  <c r="S168" i="7"/>
  <c r="S267" i="7"/>
  <c r="T205" i="7"/>
  <c r="V205" i="7" s="1"/>
  <c r="S73" i="7"/>
  <c r="S395" i="7"/>
  <c r="T490" i="7"/>
  <c r="V490" i="7" s="1"/>
  <c r="P10" i="7"/>
  <c r="S10" i="7" s="1"/>
  <c r="S88" i="7"/>
  <c r="P542" i="7"/>
  <c r="S542" i="7" s="1"/>
  <c r="P368" i="7"/>
  <c r="S368" i="7" s="1"/>
  <c r="S491" i="7"/>
  <c r="S425" i="7"/>
  <c r="S266" i="7"/>
  <c r="U527" i="7"/>
  <c r="P575" i="7"/>
  <c r="S575" i="7" s="1"/>
  <c r="S396" i="7"/>
  <c r="S215" i="7"/>
  <c r="S442" i="7"/>
  <c r="P109" i="7"/>
  <c r="S109" i="7" s="1"/>
  <c r="V281" i="7"/>
  <c r="S61" i="7"/>
  <c r="T452" i="7"/>
  <c r="U452" i="7" s="1"/>
  <c r="T522" i="7"/>
  <c r="U522" i="7" s="1"/>
  <c r="V528" i="7"/>
  <c r="P427" i="7"/>
  <c r="S427" i="7" s="1"/>
  <c r="V187" i="7"/>
  <c r="V556" i="7"/>
  <c r="U556" i="7"/>
  <c r="V177" i="7"/>
  <c r="U177" i="7"/>
  <c r="V700" i="7"/>
  <c r="F73" i="8" s="1"/>
  <c r="H73" i="8" s="1"/>
  <c r="U700" i="7"/>
  <c r="U560" i="7"/>
  <c r="V560" i="7"/>
  <c r="V70" i="7"/>
  <c r="U70" i="7"/>
  <c r="U464" i="7"/>
  <c r="V464" i="7"/>
  <c r="U112" i="7"/>
  <c r="V112" i="7"/>
  <c r="U467" i="7"/>
  <c r="V467" i="7"/>
  <c r="V227" i="7"/>
  <c r="U227" i="7"/>
  <c r="V509" i="7"/>
  <c r="U509" i="7"/>
  <c r="V14" i="7"/>
  <c r="U14" i="7"/>
  <c r="V212" i="7"/>
  <c r="U212" i="7"/>
  <c r="U381" i="7"/>
  <c r="T587" i="7"/>
  <c r="V587" i="7" s="1"/>
  <c r="S543" i="7"/>
  <c r="P388" i="7"/>
  <c r="S388" i="7" s="1"/>
  <c r="V276" i="7"/>
  <c r="T225" i="7"/>
  <c r="V225" i="7" s="1"/>
  <c r="U11" i="7"/>
  <c r="V97" i="7"/>
  <c r="S111" i="7"/>
  <c r="S479" i="7"/>
  <c r="S60" i="7"/>
  <c r="T425" i="7"/>
  <c r="U425" i="7" s="1"/>
  <c r="P124" i="7"/>
  <c r="S32" i="7"/>
  <c r="S315" i="7"/>
  <c r="S389" i="7"/>
  <c r="V462" i="7"/>
  <c r="S437" i="7"/>
  <c r="U687" i="7"/>
  <c r="S18" i="7"/>
  <c r="S531" i="7"/>
  <c r="S314" i="7"/>
  <c r="S546" i="7"/>
  <c r="S384" i="7"/>
  <c r="S587" i="7"/>
  <c r="S579" i="7"/>
  <c r="P364" i="7"/>
  <c r="S364" i="7" s="1"/>
  <c r="T453" i="7"/>
  <c r="T507" i="7"/>
  <c r="P112" i="7"/>
  <c r="S112" i="7" s="1"/>
  <c r="P272" i="7"/>
  <c r="S272" i="7" s="1"/>
  <c r="S69" i="7"/>
  <c r="T53" i="7"/>
  <c r="V53" i="7" s="1"/>
  <c r="P279" i="7"/>
  <c r="P436" i="7"/>
  <c r="P387" i="7"/>
  <c r="S387" i="7" s="1"/>
  <c r="T263" i="7"/>
  <c r="V263" i="7" s="1"/>
  <c r="S289" i="7"/>
  <c r="U179" i="7"/>
  <c r="P43" i="7"/>
  <c r="S43" i="7" s="1"/>
  <c r="S141" i="7"/>
  <c r="P42" i="7"/>
  <c r="S42" i="7" s="1"/>
  <c r="S296" i="7"/>
  <c r="S75" i="7"/>
  <c r="U130" i="7"/>
  <c r="S563" i="7"/>
  <c r="S593" i="7"/>
  <c r="S288" i="7"/>
  <c r="V485" i="7"/>
  <c r="T555" i="7"/>
  <c r="U555" i="7" s="1"/>
  <c r="P506" i="7"/>
  <c r="S506" i="7" s="1"/>
  <c r="S221" i="7"/>
  <c r="S102" i="7"/>
  <c r="U274" i="7"/>
  <c r="U240" i="7"/>
  <c r="S250" i="7"/>
  <c r="S53" i="7"/>
  <c r="P576" i="7"/>
  <c r="S576" i="7" s="1"/>
  <c r="P227" i="7"/>
  <c r="S227" i="7" s="1"/>
  <c r="U96" i="7"/>
  <c r="S466" i="7"/>
  <c r="S159" i="7"/>
  <c r="S370" i="7"/>
  <c r="S485" i="7"/>
  <c r="P126" i="7"/>
  <c r="S126" i="7" s="1"/>
  <c r="U189" i="7"/>
  <c r="U299" i="7"/>
  <c r="S8" i="7"/>
  <c r="S139" i="7"/>
  <c r="U366" i="7"/>
  <c r="V213" i="7"/>
  <c r="U215" i="7"/>
  <c r="S171" i="7"/>
  <c r="S486" i="7"/>
  <c r="S336" i="7"/>
  <c r="P245" i="7"/>
  <c r="U124" i="7"/>
  <c r="U370" i="7"/>
  <c r="T582" i="7"/>
  <c r="U582" i="7" s="1"/>
  <c r="S550" i="7"/>
  <c r="U461" i="7"/>
  <c r="S17" i="7"/>
  <c r="S76" i="7"/>
  <c r="P189" i="7"/>
  <c r="S189" i="7" s="1"/>
  <c r="V126" i="7"/>
  <c r="U126" i="7"/>
  <c r="V178" i="2"/>
  <c r="U178" i="2"/>
  <c r="V275" i="2"/>
  <c r="U275" i="2"/>
  <c r="V10" i="7"/>
  <c r="U10" i="7"/>
  <c r="U436" i="7"/>
  <c r="V436" i="7"/>
  <c r="U709" i="7"/>
  <c r="V709" i="7"/>
  <c r="V498" i="7"/>
  <c r="S47" i="7"/>
  <c r="S471" i="2"/>
  <c r="S25" i="2"/>
  <c r="V128" i="7"/>
  <c r="T121" i="2"/>
  <c r="U175" i="2"/>
  <c r="T125" i="7"/>
  <c r="R194" i="7"/>
  <c r="S102" i="2"/>
  <c r="U127" i="7"/>
  <c r="S505" i="7"/>
  <c r="T190" i="7"/>
  <c r="S117" i="2"/>
  <c r="T174" i="2"/>
  <c r="P174" i="2"/>
  <c r="S174" i="2" s="1"/>
  <c r="S119" i="2"/>
  <c r="R135" i="7"/>
  <c r="S341" i="7"/>
  <c r="S476" i="7"/>
  <c r="S193" i="2"/>
  <c r="S131" i="7"/>
  <c r="U188" i="7"/>
  <c r="V188" i="7"/>
  <c r="S688" i="7"/>
  <c r="S66" i="2"/>
  <c r="V128" i="2"/>
  <c r="U590" i="7"/>
  <c r="S517" i="7"/>
  <c r="S478" i="7"/>
  <c r="S132" i="7"/>
  <c r="E20" i="9"/>
  <c r="F20" i="9" s="1"/>
  <c r="E15" i="9"/>
  <c r="F15" i="9" s="1"/>
  <c r="S190" i="7"/>
  <c r="S499" i="7"/>
  <c r="S28" i="7"/>
  <c r="S220" i="7"/>
  <c r="S129" i="7"/>
  <c r="S515" i="7"/>
  <c r="V483" i="7"/>
  <c r="S557" i="7"/>
  <c r="S165" i="7"/>
  <c r="V164" i="7"/>
  <c r="S87" i="7"/>
  <c r="S356" i="7"/>
  <c r="S233" i="7"/>
  <c r="S115" i="7"/>
  <c r="S376" i="7"/>
  <c r="S346" i="7"/>
  <c r="S430" i="7"/>
  <c r="U324" i="7"/>
  <c r="U256" i="7"/>
  <c r="S586" i="7"/>
  <c r="S180" i="7"/>
  <c r="S432" i="7"/>
  <c r="V144" i="7"/>
  <c r="S117" i="7"/>
  <c r="S184" i="7"/>
  <c r="S237" i="7"/>
  <c r="S125" i="7"/>
  <c r="V14" i="2"/>
  <c r="S132" i="2"/>
  <c r="U541" i="2"/>
  <c r="S463" i="2"/>
  <c r="U116" i="2"/>
  <c r="S552" i="2"/>
  <c r="S493" i="2"/>
  <c r="S75" i="2"/>
  <c r="S165" i="2"/>
  <c r="V554" i="2"/>
  <c r="S457" i="2"/>
  <c r="S107" i="2"/>
  <c r="S234" i="2"/>
  <c r="S521" i="2"/>
  <c r="R126" i="2"/>
  <c r="U451" i="2"/>
  <c r="S262" i="2"/>
  <c r="U214" i="2"/>
  <c r="S19" i="2"/>
  <c r="U182" i="2"/>
  <c r="V487" i="2"/>
  <c r="U95" i="2"/>
  <c r="S456" i="2"/>
  <c r="S38" i="2"/>
  <c r="S485" i="2"/>
  <c r="U409" i="2"/>
  <c r="U3" i="2"/>
  <c r="V144" i="2"/>
  <c r="U35" i="2"/>
  <c r="S510" i="2"/>
  <c r="U497" i="2"/>
  <c r="V472" i="2"/>
  <c r="V438" i="2"/>
  <c r="S130" i="2"/>
  <c r="S502" i="2"/>
  <c r="U519" i="2"/>
  <c r="S109" i="2"/>
  <c r="S460" i="2"/>
  <c r="S272" i="2"/>
  <c r="S355" i="2"/>
  <c r="S301" i="7"/>
  <c r="S235" i="7"/>
  <c r="V334" i="7"/>
  <c r="S253" i="7"/>
  <c r="S202" i="7"/>
  <c r="S20" i="7"/>
  <c r="S360" i="7"/>
  <c r="S198" i="7"/>
  <c r="S173" i="7"/>
  <c r="U83" i="7"/>
  <c r="S242" i="7"/>
  <c r="S155" i="7"/>
  <c r="S224" i="7"/>
  <c r="S90" i="7"/>
  <c r="V342" i="2"/>
  <c r="U349" i="2"/>
  <c r="S51" i="2"/>
  <c r="S212" i="2"/>
  <c r="S492" i="2"/>
  <c r="S422" i="2"/>
  <c r="S356" i="2"/>
  <c r="S453" i="2"/>
  <c r="S93" i="2"/>
  <c r="S538" i="2"/>
  <c r="S545" i="2"/>
  <c r="S185" i="2"/>
  <c r="S451" i="2"/>
  <c r="S84" i="2"/>
  <c r="S98" i="2"/>
  <c r="S542" i="2"/>
  <c r="S58" i="2"/>
  <c r="S169" i="2"/>
  <c r="S503" i="2"/>
  <c r="S540" i="2"/>
  <c r="S323" i="2"/>
  <c r="S264" i="2"/>
  <c r="S289" i="2"/>
  <c r="U67" i="2"/>
  <c r="S357" i="2"/>
  <c r="S54" i="2"/>
  <c r="S270" i="2"/>
  <c r="S240" i="2"/>
  <c r="S228" i="2"/>
  <c r="S414" i="2"/>
  <c r="U156" i="2"/>
  <c r="S507" i="2"/>
  <c r="U425" i="2"/>
  <c r="U461" i="2"/>
  <c r="S396" i="2"/>
  <c r="S24" i="2"/>
  <c r="S423" i="2"/>
  <c r="S338" i="2"/>
  <c r="V449" i="2"/>
  <c r="S364" i="2"/>
  <c r="S328" i="2"/>
  <c r="S79" i="2"/>
  <c r="S38" i="7"/>
  <c r="V526" i="7"/>
  <c r="S57" i="7"/>
  <c r="U27" i="2"/>
  <c r="U5" i="2"/>
  <c r="S445" i="7"/>
  <c r="S41" i="2"/>
  <c r="S619" i="2"/>
  <c r="E21" i="9"/>
  <c r="F21" i="9" s="1"/>
  <c r="E45" i="9"/>
  <c r="F45" i="9" s="1"/>
  <c r="E11" i="9"/>
  <c r="F11" i="9" s="1"/>
  <c r="E8" i="9"/>
  <c r="F8" i="9" s="1"/>
  <c r="E43" i="9"/>
  <c r="F43" i="9" s="1"/>
  <c r="E9" i="9"/>
  <c r="F9" i="9" s="1"/>
  <c r="E41" i="9"/>
  <c r="F41" i="9" s="1"/>
  <c r="E13" i="9"/>
  <c r="F13" i="9" s="1"/>
  <c r="E54" i="9"/>
  <c r="F54" i="9" s="1"/>
  <c r="E52" i="9"/>
  <c r="F52" i="9" s="1"/>
  <c r="E16" i="9"/>
  <c r="F16" i="9" s="1"/>
  <c r="E51" i="9"/>
  <c r="F51" i="9" s="1"/>
  <c r="E12" i="9"/>
  <c r="F12" i="9" s="1"/>
  <c r="E14" i="9"/>
  <c r="F14" i="9" s="1"/>
  <c r="E7" i="9"/>
  <c r="E50" i="9"/>
  <c r="F50" i="9" s="1"/>
  <c r="E5" i="9"/>
  <c r="E19" i="9"/>
  <c r="F19" i="9" s="1"/>
  <c r="E42" i="9"/>
  <c r="F42" i="9" s="1"/>
  <c r="E18" i="9"/>
  <c r="F18" i="9" s="1"/>
  <c r="E44" i="9"/>
  <c r="F44" i="9" s="1"/>
  <c r="E17" i="9"/>
  <c r="F17" i="9" s="1"/>
  <c r="E10" i="9"/>
  <c r="F10" i="9" s="1"/>
  <c r="E49" i="9"/>
  <c r="F49" i="9" s="1"/>
  <c r="S522" i="7"/>
  <c r="V620" i="2"/>
  <c r="V233" i="7"/>
  <c r="S183" i="2"/>
  <c r="S363" i="2"/>
  <c r="S214" i="7"/>
  <c r="U547" i="7"/>
  <c r="S83" i="7"/>
  <c r="V624" i="2"/>
  <c r="V110" i="7"/>
  <c r="U286" i="2"/>
  <c r="V187" i="2"/>
  <c r="S12" i="7"/>
  <c r="U279" i="7"/>
  <c r="S146" i="2"/>
  <c r="S355" i="7"/>
  <c r="S195" i="2"/>
  <c r="V393" i="7"/>
  <c r="U31" i="7"/>
  <c r="V272" i="7"/>
  <c r="S106" i="7"/>
  <c r="S301" i="2"/>
  <c r="U256" i="2"/>
  <c r="S428" i="7"/>
  <c r="S287" i="2"/>
  <c r="V307" i="2"/>
  <c r="U145" i="7"/>
  <c r="U361" i="7"/>
  <c r="S153" i="2"/>
  <c r="U245" i="7"/>
  <c r="U25" i="7"/>
  <c r="S192" i="2"/>
  <c r="U136" i="2"/>
  <c r="S294" i="7"/>
  <c r="U391" i="7"/>
  <c r="S340" i="2"/>
  <c r="S361" i="2"/>
  <c r="V302" i="2"/>
  <c r="S67" i="7"/>
  <c r="S307" i="2"/>
  <c r="S15" i="7"/>
  <c r="S335" i="7"/>
  <c r="S533" i="7"/>
  <c r="S348" i="7"/>
  <c r="U238" i="2"/>
  <c r="S118" i="7"/>
  <c r="S504" i="7"/>
  <c r="U568" i="7"/>
  <c r="V163" i="7"/>
  <c r="S160" i="7"/>
  <c r="U131" i="2"/>
  <c r="V182" i="7"/>
  <c r="V30" i="7"/>
  <c r="S105" i="7"/>
  <c r="V627" i="2"/>
  <c r="U508" i="2"/>
  <c r="U12" i="2"/>
  <c r="B4" i="9"/>
  <c r="V419" i="2"/>
  <c r="U275" i="7"/>
  <c r="V539" i="7"/>
  <c r="S201" i="7"/>
  <c r="S350" i="2"/>
  <c r="U235" i="2"/>
  <c r="S618" i="2"/>
  <c r="S218" i="7"/>
  <c r="S444" i="2"/>
  <c r="V348" i="2"/>
  <c r="S636" i="2"/>
  <c r="D58" i="1" s="1"/>
  <c r="E58" i="1" s="1"/>
  <c r="S65" i="2"/>
  <c r="S11" i="7"/>
  <c r="U29" i="7"/>
  <c r="U195" i="2"/>
  <c r="S464" i="2"/>
  <c r="S181" i="7"/>
  <c r="S486" i="2"/>
  <c r="U460" i="2"/>
  <c r="U11" i="2"/>
  <c r="V593" i="7"/>
  <c r="S211" i="2"/>
  <c r="S34" i="7"/>
  <c r="S470" i="7"/>
  <c r="V139" i="7"/>
  <c r="S450" i="2"/>
  <c r="V302" i="7"/>
  <c r="U364" i="7"/>
  <c r="S52" i="7"/>
  <c r="S330" i="2"/>
  <c r="U542" i="7"/>
  <c r="U216" i="7"/>
  <c r="S569" i="7"/>
  <c r="S433" i="2"/>
  <c r="R473" i="7"/>
  <c r="S24" i="7"/>
  <c r="U28" i="2"/>
  <c r="S32" i="2"/>
  <c r="V398" i="2"/>
  <c r="S440" i="2"/>
  <c r="V41" i="2"/>
  <c r="S232" i="7"/>
  <c r="V234" i="7"/>
  <c r="S622" i="2"/>
  <c r="U10" i="2"/>
  <c r="V43" i="7"/>
  <c r="V142" i="7"/>
  <c r="V261" i="7"/>
  <c r="S492" i="7"/>
  <c r="S217" i="2"/>
  <c r="V355" i="7"/>
  <c r="S204" i="2"/>
  <c r="V339" i="2"/>
  <c r="U300" i="2"/>
  <c r="S258" i="2"/>
  <c r="U190" i="2"/>
  <c r="S427" i="2"/>
  <c r="S157" i="7"/>
  <c r="S578" i="7"/>
  <c r="S276" i="2"/>
  <c r="U691" i="7"/>
  <c r="S429" i="7"/>
  <c r="S550" i="2"/>
  <c r="V550" i="2"/>
  <c r="S91" i="7"/>
  <c r="S354" i="2"/>
  <c r="S44" i="2"/>
  <c r="S508" i="7"/>
  <c r="S280" i="2"/>
  <c r="S298" i="7"/>
  <c r="V521" i="7"/>
  <c r="U16" i="7"/>
  <c r="V345" i="2"/>
  <c r="U160" i="2"/>
  <c r="V517" i="2"/>
  <c r="U7" i="2"/>
  <c r="U544" i="7"/>
  <c r="S437" i="2"/>
  <c r="S36" i="2"/>
  <c r="V32" i="7"/>
  <c r="U38" i="7"/>
  <c r="S320" i="2"/>
  <c r="S531" i="2"/>
  <c r="R206" i="2"/>
  <c r="S426" i="2"/>
  <c r="S308" i="2"/>
  <c r="U5" i="7"/>
  <c r="S157" i="2"/>
  <c r="U290" i="2"/>
  <c r="S196" i="2"/>
  <c r="S522" i="2"/>
  <c r="S111" i="2"/>
  <c r="U304" i="2"/>
  <c r="U443" i="7"/>
  <c r="S149" i="2"/>
  <c r="U436" i="2"/>
  <c r="S17" i="2"/>
  <c r="S365" i="2"/>
  <c r="U78" i="2"/>
  <c r="S332" i="7"/>
  <c r="S54" i="7"/>
  <c r="S9" i="2"/>
  <c r="S166" i="2"/>
  <c r="S90" i="2"/>
  <c r="S120" i="7"/>
  <c r="U201" i="2"/>
  <c r="U249" i="7"/>
  <c r="S277" i="2"/>
  <c r="V339" i="7"/>
  <c r="S399" i="2"/>
  <c r="S498" i="2"/>
  <c r="V362" i="2"/>
  <c r="S306" i="2"/>
  <c r="S48" i="7"/>
  <c r="U512" i="7"/>
  <c r="S143" i="7"/>
  <c r="S401" i="2"/>
  <c r="U505" i="7"/>
  <c r="S30" i="2"/>
  <c r="S319" i="7"/>
  <c r="S526" i="2"/>
  <c r="U524" i="7"/>
  <c r="S283" i="7"/>
  <c r="S273" i="2"/>
  <c r="S8" i="2"/>
  <c r="S580" i="7"/>
  <c r="S554" i="7"/>
  <c r="S697" i="7"/>
  <c r="S698" i="7" s="1"/>
  <c r="S380" i="7"/>
  <c r="U88" i="7"/>
  <c r="U311" i="7"/>
  <c r="U55" i="7"/>
  <c r="V218" i="7"/>
  <c r="S433" i="7"/>
  <c r="U412" i="2"/>
  <c r="S516" i="2"/>
  <c r="S404" i="2"/>
  <c r="S345" i="7"/>
  <c r="S489" i="2"/>
  <c r="R35" i="7"/>
  <c r="S64" i="2"/>
  <c r="S151" i="7"/>
  <c r="S477" i="2"/>
  <c r="U228" i="7"/>
  <c r="S297" i="2"/>
  <c r="S588" i="7"/>
  <c r="S300" i="7"/>
  <c r="U153" i="7"/>
  <c r="U184" i="7"/>
  <c r="V501" i="2"/>
  <c r="U152" i="2"/>
  <c r="S261" i="7"/>
  <c r="S269" i="7"/>
  <c r="S513" i="2"/>
  <c r="S446" i="2"/>
  <c r="R46" i="2"/>
  <c r="S582" i="7"/>
  <c r="S444" i="7"/>
  <c r="S496" i="7"/>
  <c r="S692" i="7"/>
  <c r="S567" i="7"/>
  <c r="V207" i="7"/>
  <c r="V462" i="2"/>
  <c r="S565" i="7"/>
  <c r="R286" i="7"/>
  <c r="S347" i="7"/>
  <c r="S525" i="2"/>
  <c r="U113" i="2"/>
  <c r="V205" i="2"/>
  <c r="S244" i="2"/>
  <c r="S553" i="2"/>
  <c r="R21" i="7"/>
  <c r="S230" i="2"/>
  <c r="S324" i="2"/>
  <c r="S208" i="2"/>
  <c r="V30" i="2"/>
  <c r="S256" i="7"/>
  <c r="U511" i="2"/>
  <c r="U53" i="2"/>
  <c r="S642" i="2"/>
  <c r="S643" i="2" s="1"/>
  <c r="U6" i="2"/>
  <c r="V523" i="7"/>
  <c r="U353" i="7"/>
  <c r="R203" i="7"/>
  <c r="S99" i="7"/>
  <c r="V220" i="2"/>
  <c r="V106" i="2"/>
  <c r="U50" i="2"/>
  <c r="S260" i="2"/>
  <c r="S230" i="7"/>
  <c r="S85" i="2"/>
  <c r="S363" i="7"/>
  <c r="S143" i="2"/>
  <c r="U351" i="7"/>
  <c r="S85" i="7"/>
  <c r="S431" i="7"/>
  <c r="S81" i="2"/>
  <c r="S57" i="2"/>
  <c r="S351" i="7"/>
  <c r="S58" i="7"/>
  <c r="S97" i="2"/>
  <c r="U473" i="2"/>
  <c r="U623" i="2"/>
  <c r="S119" i="7"/>
  <c r="S455" i="7"/>
  <c r="U61" i="2"/>
  <c r="S541" i="7"/>
  <c r="S6" i="7"/>
  <c r="R314" i="2"/>
  <c r="U145" i="2"/>
  <c r="S7" i="2"/>
  <c r="V223" i="2"/>
  <c r="V344" i="7"/>
  <c r="R441" i="2"/>
  <c r="S343" i="7"/>
  <c r="R33" i="2"/>
  <c r="S484" i="7"/>
  <c r="R270" i="7"/>
  <c r="S108" i="2"/>
  <c r="U20" i="7"/>
  <c r="V104" i="2"/>
  <c r="S203" i="2"/>
  <c r="V310" i="2"/>
  <c r="S245" i="2"/>
  <c r="S370" i="2"/>
  <c r="S210" i="7"/>
  <c r="S246" i="7"/>
  <c r="S46" i="7"/>
  <c r="S286" i="2"/>
  <c r="U194" i="2"/>
  <c r="V633" i="2"/>
  <c r="S390" i="7"/>
  <c r="S28" i="2"/>
  <c r="U312" i="2"/>
  <c r="R377" i="7"/>
  <c r="U23" i="2"/>
  <c r="U96" i="2"/>
  <c r="S131" i="2"/>
  <c r="S82" i="7"/>
  <c r="S591" i="7"/>
  <c r="S281" i="2"/>
  <c r="U26" i="2"/>
  <c r="U369" i="2"/>
  <c r="S40" i="2"/>
  <c r="S284" i="7"/>
  <c r="R20" i="2"/>
  <c r="S82" i="2"/>
  <c r="V319" i="7"/>
  <c r="U562" i="7"/>
  <c r="S309" i="7"/>
  <c r="U363" i="7"/>
  <c r="S479" i="2"/>
  <c r="V437" i="2"/>
  <c r="V158" i="2"/>
  <c r="S22" i="2"/>
  <c r="S248" i="2"/>
  <c r="S309" i="2"/>
  <c r="S274" i="2"/>
  <c r="S330" i="7"/>
  <c r="S471" i="7"/>
  <c r="S217" i="7"/>
  <c r="S112" i="2"/>
  <c r="S421" i="2"/>
  <c r="U271" i="2"/>
  <c r="S277" i="7"/>
  <c r="S147" i="7"/>
  <c r="R446" i="7"/>
  <c r="S183" i="7"/>
  <c r="U71" i="7"/>
  <c r="R122" i="7"/>
  <c r="S291" i="2"/>
  <c r="U89" i="2"/>
  <c r="U54" i="7"/>
  <c r="S337" i="2"/>
  <c r="S368" i="2"/>
  <c r="S329" i="2"/>
  <c r="S225" i="7"/>
  <c r="S561" i="7"/>
  <c r="R487" i="7"/>
  <c r="S260" i="7"/>
  <c r="U117" i="7"/>
  <c r="R459" i="7"/>
  <c r="U219" i="7"/>
  <c r="U450" i="2"/>
  <c r="S242" i="2"/>
  <c r="U229" i="7"/>
  <c r="V227" i="2"/>
  <c r="V171" i="2"/>
  <c r="V371" i="7"/>
  <c r="V363" i="2"/>
  <c r="V427" i="7"/>
  <c r="S138" i="7"/>
  <c r="S358" i="2"/>
  <c r="S56" i="7"/>
  <c r="S208" i="7"/>
  <c r="S134" i="2"/>
  <c r="U164" i="2"/>
  <c r="U327" i="2"/>
  <c r="S310" i="7"/>
  <c r="S290" i="7"/>
  <c r="U301" i="7"/>
  <c r="S247" i="2"/>
  <c r="V181" i="7"/>
  <c r="V565" i="7"/>
  <c r="S451" i="7"/>
  <c r="V533" i="2"/>
  <c r="U439" i="2"/>
  <c r="V373" i="7"/>
  <c r="S241" i="7"/>
  <c r="R92" i="7"/>
  <c r="R371" i="2"/>
  <c r="S40" i="7"/>
  <c r="S408" i="2"/>
  <c r="S507" i="7"/>
  <c r="S467" i="7"/>
  <c r="S62" i="7"/>
  <c r="U178" i="7"/>
  <c r="R483" i="2"/>
  <c r="S9" i="7"/>
  <c r="S172" i="7"/>
  <c r="V468" i="7"/>
  <c r="U95" i="7"/>
  <c r="R467" i="2"/>
  <c r="V529" i="2"/>
  <c r="S148" i="2"/>
  <c r="R514" i="2"/>
  <c r="S247" i="7"/>
  <c r="R416" i="2"/>
  <c r="V432" i="2"/>
  <c r="U432" i="2"/>
  <c r="S450" i="7"/>
  <c r="S547" i="2"/>
  <c r="S170" i="2"/>
  <c r="V292" i="2"/>
  <c r="R625" i="2"/>
  <c r="R162" i="2"/>
  <c r="U45" i="7"/>
  <c r="V45" i="7"/>
  <c r="U7" i="7"/>
  <c r="U347" i="7"/>
  <c r="V39" i="7"/>
  <c r="U42" i="7"/>
  <c r="V480" i="2"/>
  <c r="U480" i="2"/>
  <c r="U510" i="7"/>
  <c r="V510" i="7"/>
  <c r="V477" i="2"/>
  <c r="S133" i="2"/>
  <c r="U496" i="2"/>
  <c r="S566" i="7"/>
  <c r="U198" i="7"/>
  <c r="V103" i="2"/>
  <c r="U365" i="7"/>
  <c r="V347" i="2"/>
  <c r="U326" i="2"/>
  <c r="V326" i="2"/>
  <c r="V28" i="7"/>
  <c r="U28" i="7"/>
  <c r="V293" i="2"/>
  <c r="U293" i="2"/>
  <c r="U323" i="7"/>
  <c r="V323" i="7"/>
  <c r="U537" i="2"/>
  <c r="S29" i="2"/>
  <c r="V392" i="7"/>
  <c r="U392" i="7"/>
  <c r="U159" i="2"/>
  <c r="S296" i="2"/>
  <c r="R595" i="7"/>
  <c r="R320" i="7"/>
  <c r="R357" i="7"/>
  <c r="U42" i="2"/>
  <c r="V42" i="2"/>
  <c r="V463" i="2"/>
  <c r="U463" i="2"/>
  <c r="V706" i="7"/>
  <c r="U706" i="7"/>
  <c r="V259" i="7"/>
  <c r="S318" i="7"/>
  <c r="U341" i="2"/>
  <c r="V341" i="2"/>
  <c r="V166" i="2"/>
  <c r="U166" i="2"/>
  <c r="S473" i="2"/>
  <c r="R428" i="2"/>
  <c r="S146" i="7"/>
  <c r="U554" i="7"/>
  <c r="V554" i="7"/>
  <c r="V368" i="7"/>
  <c r="U368" i="7"/>
  <c r="U218" i="2"/>
  <c r="V218" i="2"/>
  <c r="S285" i="2"/>
  <c r="S475" i="7"/>
  <c r="S74" i="7"/>
  <c r="R333" i="2"/>
  <c r="U538" i="2"/>
  <c r="R72" i="2"/>
  <c r="U156" i="7"/>
  <c r="V156" i="7"/>
  <c r="U265" i="7"/>
  <c r="V265" i="7"/>
  <c r="V366" i="2"/>
  <c r="U366" i="2"/>
  <c r="R114" i="2"/>
  <c r="U569" i="7"/>
  <c r="V569" i="7"/>
  <c r="U202" i="2"/>
  <c r="V202" i="2"/>
  <c r="U268" i="2"/>
  <c r="V268" i="2"/>
  <c r="V310" i="7"/>
  <c r="U310" i="7"/>
  <c r="V66" i="7"/>
  <c r="U66" i="7"/>
  <c r="V712" i="7"/>
  <c r="U712" i="7"/>
  <c r="V59" i="7"/>
  <c r="U59" i="7"/>
  <c r="V480" i="7"/>
  <c r="U480" i="7"/>
  <c r="U18" i="7"/>
  <c r="V18" i="7"/>
  <c r="V8" i="7"/>
  <c r="U8" i="7"/>
  <c r="U191" i="2"/>
  <c r="V191" i="2"/>
  <c r="V313" i="2"/>
  <c r="U313" i="2"/>
  <c r="V296" i="7"/>
  <c r="U296" i="7"/>
  <c r="S482" i="7"/>
  <c r="S470" i="2"/>
  <c r="R172" i="2"/>
  <c r="P713" i="7"/>
  <c r="U317" i="7"/>
  <c r="V317" i="7"/>
  <c r="V186" i="2"/>
  <c r="U186" i="2"/>
  <c r="U231" i="2"/>
  <c r="V231" i="2"/>
  <c r="U103" i="7"/>
  <c r="V103" i="7"/>
  <c r="U119" i="7"/>
  <c r="V119" i="7"/>
  <c r="U100" i="7"/>
  <c r="S80" i="7"/>
  <c r="S269" i="2"/>
  <c r="V105" i="2"/>
  <c r="U105" i="2"/>
  <c r="V219" i="2"/>
  <c r="U219" i="2"/>
  <c r="U110" i="2"/>
  <c r="V110" i="2"/>
  <c r="S340" i="7"/>
  <c r="R518" i="7"/>
  <c r="U280" i="7"/>
  <c r="S398" i="2"/>
  <c r="S424" i="2"/>
  <c r="S113" i="7"/>
  <c r="U336" i="7"/>
  <c r="V336" i="7"/>
  <c r="S343" i="2"/>
  <c r="V54" i="2"/>
  <c r="U54" i="2"/>
  <c r="R222" i="7"/>
  <c r="V316" i="2"/>
  <c r="U316" i="2"/>
  <c r="U349" i="7"/>
  <c r="V90" i="2"/>
  <c r="V161" i="2"/>
  <c r="U161" i="2"/>
  <c r="S55" i="2"/>
  <c r="R107" i="7"/>
  <c r="V342" i="7"/>
  <c r="U342" i="7"/>
  <c r="S116" i="7"/>
  <c r="S466" i="2"/>
  <c r="S86" i="7"/>
  <c r="U551" i="2"/>
  <c r="V551" i="2"/>
  <c r="V538" i="7"/>
  <c r="U538" i="7"/>
  <c r="S393" i="7"/>
  <c r="V113" i="7"/>
  <c r="U113" i="7"/>
  <c r="V514" i="7"/>
  <c r="U514" i="7"/>
  <c r="R238" i="7"/>
  <c r="S489" i="7"/>
  <c r="U686" i="7"/>
  <c r="V686" i="7"/>
  <c r="V257" i="7"/>
  <c r="U257" i="7"/>
  <c r="V306" i="7"/>
  <c r="U306" i="7"/>
  <c r="U12" i="7"/>
  <c r="V12" i="7"/>
  <c r="U558" i="7"/>
  <c r="V558" i="7"/>
  <c r="U583" i="7"/>
  <c r="V583" i="7"/>
  <c r="U506" i="7"/>
  <c r="V506" i="7"/>
  <c r="S322" i="7"/>
  <c r="U500" i="7"/>
  <c r="V500" i="7"/>
  <c r="V385" i="7"/>
  <c r="U385" i="7"/>
  <c r="R337" i="7"/>
  <c r="S5" i="7"/>
  <c r="R174" i="7"/>
  <c r="U171" i="7"/>
  <c r="V171" i="7"/>
  <c r="V183" i="2"/>
  <c r="U183" i="2"/>
  <c r="U397" i="2"/>
  <c r="V397" i="2"/>
  <c r="S518" i="2"/>
  <c r="R77" i="7"/>
  <c r="V99" i="2"/>
  <c r="U99" i="2"/>
  <c r="V459" i="2"/>
  <c r="U459" i="2"/>
  <c r="V137" i="2"/>
  <c r="U137" i="2"/>
  <c r="U199" i="2"/>
  <c r="V199" i="2"/>
  <c r="S48" i="2"/>
  <c r="V321" i="2"/>
  <c r="U321" i="2"/>
  <c r="S3" i="2"/>
  <c r="S520" i="7"/>
  <c r="U313" i="7"/>
  <c r="V313" i="7"/>
  <c r="V170" i="7"/>
  <c r="U170" i="7"/>
  <c r="U325" i="7"/>
  <c r="V325" i="7"/>
  <c r="U82" i="7"/>
  <c r="V82" i="7"/>
  <c r="R499" i="2"/>
  <c r="U265" i="2"/>
  <c r="V265" i="2"/>
  <c r="V85" i="2"/>
  <c r="U85" i="2"/>
  <c r="V295" i="2"/>
  <c r="U295" i="2"/>
  <c r="S335" i="2"/>
  <c r="V431" i="2"/>
  <c r="U431" i="2"/>
  <c r="V311" i="2"/>
  <c r="U311" i="2"/>
  <c r="V170" i="2"/>
  <c r="U170" i="2"/>
  <c r="R100" i="2"/>
  <c r="S94" i="7"/>
  <c r="V506" i="2"/>
  <c r="U506" i="2"/>
  <c r="S316" i="7"/>
  <c r="R148" i="7"/>
  <c r="R185" i="7"/>
  <c r="S639" i="2"/>
  <c r="P640" i="2"/>
  <c r="U530" i="2"/>
  <c r="V530" i="2"/>
  <c r="R49" i="7"/>
  <c r="R188" i="2"/>
  <c r="R298" i="2"/>
  <c r="S154" i="2"/>
  <c r="V210" i="7"/>
  <c r="U210" i="7"/>
  <c r="V520" i="7"/>
  <c r="U520" i="7"/>
  <c r="V484" i="7"/>
  <c r="U484" i="7"/>
  <c r="V333" i="7"/>
  <c r="U333" i="7"/>
  <c r="S154" i="7"/>
  <c r="S240" i="7"/>
  <c r="V316" i="7"/>
  <c r="U316" i="7"/>
  <c r="R161" i="7"/>
  <c r="S257" i="7"/>
  <c r="U84" i="7"/>
  <c r="V84" i="7"/>
  <c r="S168" i="2"/>
  <c r="R352" i="2"/>
  <c r="R695" i="7"/>
  <c r="V479" i="7"/>
  <c r="U479" i="7"/>
  <c r="R572" i="7"/>
  <c r="U217" i="7"/>
  <c r="V217" i="7"/>
  <c r="V208" i="7"/>
  <c r="V428" i="7"/>
  <c r="U428" i="7"/>
  <c r="V438" i="7"/>
  <c r="U438" i="7"/>
  <c r="V545" i="7"/>
  <c r="U545" i="7"/>
  <c r="R535" i="7"/>
  <c r="V559" i="7"/>
  <c r="U559" i="7"/>
  <c r="V530" i="7"/>
  <c r="U530" i="7"/>
  <c r="V457" i="7"/>
  <c r="U457" i="7"/>
  <c r="V292" i="7"/>
  <c r="U292" i="7"/>
  <c r="U140" i="7"/>
  <c r="V140" i="7"/>
  <c r="V442" i="7"/>
  <c r="U442" i="7"/>
  <c r="V690" i="7"/>
  <c r="U690" i="7"/>
  <c r="V166" i="7"/>
  <c r="U166" i="7"/>
  <c r="S530" i="7"/>
  <c r="U532" i="7"/>
  <c r="V532" i="7"/>
  <c r="R303" i="7"/>
  <c r="S503" i="7"/>
  <c r="U308" i="7"/>
  <c r="V308" i="7"/>
  <c r="V176" i="7"/>
  <c r="U176" i="7"/>
  <c r="V138" i="7"/>
  <c r="U138" i="7"/>
  <c r="R254" i="7"/>
  <c r="S293" i="7"/>
  <c r="V152" i="7"/>
  <c r="U152" i="7"/>
  <c r="S469" i="2"/>
  <c r="R63" i="7"/>
  <c r="S158" i="7"/>
  <c r="S207" i="7"/>
  <c r="R251" i="2"/>
  <c r="U552" i="2"/>
  <c r="V552" i="2"/>
  <c r="V403" i="2"/>
  <c r="U403" i="2"/>
  <c r="V109" i="7"/>
  <c r="U109" i="7"/>
  <c r="R534" i="2"/>
  <c r="V445" i="2"/>
  <c r="U445" i="2"/>
  <c r="V452" i="2"/>
  <c r="U452" i="2"/>
  <c r="V68" i="2"/>
  <c r="U68" i="2"/>
  <c r="V330" i="2"/>
  <c r="U330" i="2"/>
  <c r="S70" i="2"/>
  <c r="U246" i="7"/>
  <c r="V246" i="7"/>
  <c r="U24" i="7"/>
  <c r="V24" i="7"/>
  <c r="V285" i="7"/>
  <c r="U285" i="7"/>
  <c r="U478" i="7"/>
  <c r="V478" i="7"/>
  <c r="V561" i="7"/>
  <c r="U561" i="7"/>
  <c r="R551" i="7"/>
  <c r="U384" i="7"/>
  <c r="V384" i="7"/>
  <c r="R501" i="7"/>
  <c r="V300" i="7"/>
  <c r="U300" i="7"/>
  <c r="U346" i="7"/>
  <c r="V346" i="7"/>
  <c r="U251" i="7"/>
  <c r="V251" i="7"/>
  <c r="V350" i="7"/>
  <c r="U350" i="7"/>
  <c r="V267" i="7"/>
  <c r="U267" i="7"/>
  <c r="V158" i="7"/>
  <c r="U158" i="7"/>
  <c r="S273" i="7"/>
  <c r="V250" i="7"/>
  <c r="U250" i="7"/>
  <c r="V528" i="2"/>
  <c r="U528" i="2"/>
  <c r="V72" i="7"/>
  <c r="U72" i="7"/>
  <c r="V41" i="7"/>
  <c r="U41" i="7"/>
  <c r="V74" i="7"/>
  <c r="U74" i="7"/>
  <c r="V45" i="2"/>
  <c r="U45" i="2"/>
  <c r="S199" i="2"/>
  <c r="V91" i="2"/>
  <c r="U91" i="2"/>
  <c r="U493" i="2"/>
  <c r="V493" i="2"/>
  <c r="V83" i="2"/>
  <c r="U83" i="2"/>
  <c r="V327" i="7"/>
  <c r="U327" i="7"/>
  <c r="V262" i="7"/>
  <c r="U262" i="7"/>
  <c r="U495" i="7"/>
  <c r="V495" i="7"/>
  <c r="U454" i="7"/>
  <c r="V454" i="7"/>
  <c r="V273" i="7"/>
  <c r="U273" i="7"/>
  <c r="V369" i="7"/>
  <c r="U369" i="7"/>
  <c r="U576" i="7"/>
  <c r="V576" i="7"/>
  <c r="V426" i="7"/>
  <c r="U426" i="7"/>
  <c r="V114" i="7"/>
  <c r="U114" i="7"/>
  <c r="V94" i="7"/>
  <c r="U94" i="7"/>
  <c r="P92" i="7"/>
  <c r="R556" i="2"/>
  <c r="V106" i="7"/>
  <c r="U106" i="7"/>
  <c r="U322" i="2"/>
  <c r="V322" i="2"/>
  <c r="U420" i="2"/>
  <c r="V420" i="2"/>
  <c r="V512" i="2"/>
  <c r="U512" i="2"/>
  <c r="S430" i="2"/>
  <c r="P416" i="2"/>
  <c r="U108" i="2"/>
  <c r="V108" i="2"/>
  <c r="R59" i="2"/>
  <c r="V197" i="2"/>
  <c r="U197" i="2"/>
  <c r="V323" i="2"/>
  <c r="U323" i="2"/>
  <c r="R221" i="2"/>
  <c r="V431" i="7"/>
  <c r="U431" i="7"/>
  <c r="V555" i="2"/>
  <c r="U555" i="2"/>
  <c r="U150" i="7"/>
  <c r="V150" i="7"/>
  <c r="U154" i="7"/>
  <c r="V154" i="7"/>
  <c r="U168" i="7"/>
  <c r="V168" i="7"/>
  <c r="U293" i="7"/>
  <c r="V293" i="7"/>
  <c r="U289" i="2"/>
  <c r="V289" i="2"/>
  <c r="U689" i="7"/>
  <c r="V689" i="7"/>
  <c r="V388" i="7"/>
  <c r="U388" i="7"/>
  <c r="S359" i="7"/>
  <c r="V424" i="7"/>
  <c r="U424" i="7"/>
  <c r="S549" i="7"/>
  <c r="V352" i="7"/>
  <c r="U352" i="7"/>
  <c r="V305" i="2"/>
  <c r="U305" i="2"/>
  <c r="V51" i="7"/>
  <c r="U51" i="7"/>
  <c r="U430" i="2"/>
  <c r="U553" i="2"/>
  <c r="V553" i="2"/>
  <c r="V340" i="2"/>
  <c r="U340" i="2"/>
  <c r="P35" i="7"/>
  <c r="U411" i="2"/>
  <c r="V411" i="2"/>
  <c r="V434" i="2"/>
  <c r="U434" i="2"/>
  <c r="U281" i="2"/>
  <c r="V281" i="2"/>
  <c r="V52" i="2"/>
  <c r="U52" i="2"/>
  <c r="U544" i="2"/>
  <c r="V544" i="2"/>
  <c r="U9" i="7"/>
  <c r="V9" i="7"/>
  <c r="V259" i="2"/>
  <c r="U259" i="2"/>
  <c r="S205" i="7"/>
  <c r="V532" i="2"/>
  <c r="U532" i="2"/>
  <c r="R86" i="2"/>
  <c r="V226" i="2"/>
  <c r="U226" i="2"/>
  <c r="V278" i="2"/>
  <c r="U278" i="2"/>
  <c r="V49" i="2"/>
  <c r="U49" i="2"/>
  <c r="R138" i="2"/>
  <c r="U564" i="7"/>
  <c r="V564" i="7"/>
  <c r="V685" i="7"/>
  <c r="U685" i="7"/>
  <c r="V537" i="7"/>
  <c r="U537" i="7"/>
  <c r="U328" i="7"/>
  <c r="V328" i="7"/>
  <c r="V214" i="7"/>
  <c r="U214" i="7"/>
  <c r="V367" i="7"/>
  <c r="U367" i="7"/>
  <c r="U264" i="7"/>
  <c r="V264" i="7"/>
  <c r="U549" i="7"/>
  <c r="V549" i="7"/>
  <c r="V482" i="7"/>
  <c r="U482" i="7"/>
  <c r="V211" i="7"/>
  <c r="U211" i="7"/>
  <c r="U80" i="7"/>
  <c r="V80" i="7"/>
  <c r="S594" i="7"/>
  <c r="V586" i="7"/>
  <c r="U586" i="7"/>
  <c r="U491" i="7"/>
  <c r="V491" i="7"/>
  <c r="V382" i="7"/>
  <c r="U382" i="7"/>
  <c r="R397" i="7"/>
  <c r="S51" i="7"/>
  <c r="U494" i="7"/>
  <c r="V494" i="7"/>
  <c r="R434" i="7"/>
  <c r="U197" i="7"/>
  <c r="V197" i="7"/>
  <c r="V40" i="7"/>
  <c r="U40" i="7"/>
  <c r="U456" i="7"/>
  <c r="V456" i="7"/>
  <c r="V241" i="7"/>
  <c r="U241" i="7"/>
  <c r="U121" i="7"/>
  <c r="V121" i="7"/>
  <c r="R282" i="2"/>
  <c r="R266" i="2"/>
  <c r="V65" i="7"/>
  <c r="U65" i="7"/>
  <c r="V209" i="2"/>
  <c r="U209" i="2"/>
  <c r="V360" i="2"/>
  <c r="U360" i="2"/>
  <c r="V233" i="2"/>
  <c r="U233" i="2"/>
  <c r="S61" i="2"/>
  <c r="P631" i="2"/>
  <c r="S630" i="2"/>
  <c r="U617" i="2"/>
  <c r="V617" i="2"/>
  <c r="R150" i="2"/>
  <c r="S140" i="2"/>
  <c r="V294" i="2"/>
  <c r="U294" i="2"/>
  <c r="V344" i="2"/>
  <c r="U344" i="2"/>
  <c r="U439" i="7"/>
  <c r="V439" i="7"/>
  <c r="U390" i="7"/>
  <c r="V390" i="7"/>
  <c r="V432" i="7"/>
  <c r="U432" i="7"/>
  <c r="S306" i="7"/>
  <c r="V469" i="7"/>
  <c r="U469" i="7"/>
  <c r="V394" i="7"/>
  <c r="U394" i="7"/>
  <c r="V477" i="7"/>
  <c r="U477" i="7"/>
  <c r="U26" i="7"/>
  <c r="V26" i="7"/>
  <c r="V258" i="7"/>
  <c r="U258" i="7"/>
  <c r="S448" i="7"/>
  <c r="P459" i="7"/>
  <c r="V340" i="7"/>
  <c r="V141" i="7"/>
  <c r="U141" i="7"/>
  <c r="V289" i="7"/>
  <c r="U289" i="7"/>
  <c r="S517" i="2"/>
  <c r="V200" i="7"/>
  <c r="U200" i="7"/>
  <c r="V89" i="7"/>
  <c r="U89" i="7"/>
  <c r="U521" i="2"/>
  <c r="V521" i="2"/>
  <c r="U527" i="2"/>
  <c r="V527" i="2"/>
  <c r="V253" i="2"/>
  <c r="U253" i="2"/>
  <c r="V239" i="2"/>
  <c r="U239" i="2"/>
  <c r="V526" i="2"/>
  <c r="U526" i="2"/>
  <c r="V224" i="2"/>
  <c r="U224" i="2"/>
  <c r="V169" i="2"/>
  <c r="U169" i="2"/>
  <c r="V549" i="2"/>
  <c r="U549" i="2"/>
  <c r="V475" i="7"/>
  <c r="U475" i="7"/>
  <c r="P704" i="7"/>
  <c r="S703" i="7"/>
  <c r="V430" i="7"/>
  <c r="U430" i="7"/>
  <c r="V360" i="7"/>
  <c r="U360" i="7"/>
  <c r="V291" i="7"/>
  <c r="U291" i="7"/>
  <c r="V529" i="7"/>
  <c r="U529" i="7"/>
  <c r="V387" i="7"/>
  <c r="U387" i="7"/>
  <c r="P701" i="7"/>
  <c r="S700" i="7"/>
  <c r="S394" i="7"/>
  <c r="V52" i="7"/>
  <c r="U52" i="7"/>
  <c r="U17" i="7"/>
  <c r="V17" i="7"/>
  <c r="U448" i="7"/>
  <c r="V448" i="7"/>
  <c r="U3" i="7"/>
  <c r="V3" i="7"/>
  <c r="S250" i="2"/>
  <c r="U73" i="7"/>
  <c r="V73" i="7"/>
  <c r="S509" i="2"/>
  <c r="U57" i="7"/>
  <c r="V57" i="7"/>
  <c r="U418" i="2"/>
  <c r="U524" i="2"/>
  <c r="V524" i="2"/>
  <c r="S232" i="2"/>
  <c r="V198" i="2"/>
  <c r="U198" i="2"/>
  <c r="V523" i="2"/>
  <c r="U523" i="2"/>
  <c r="S135" i="2"/>
  <c r="V543" i="2"/>
  <c r="U543" i="2"/>
  <c r="S407" i="2"/>
  <c r="R236" i="2"/>
  <c r="S74" i="2"/>
  <c r="U451" i="7"/>
  <c r="V451" i="7"/>
  <c r="U437" i="7"/>
  <c r="V437" i="7"/>
  <c r="V511" i="7"/>
  <c r="U511" i="7"/>
  <c r="V541" i="7"/>
  <c r="U541" i="7"/>
  <c r="U548" i="7"/>
  <c r="V548" i="7"/>
  <c r="U557" i="7"/>
  <c r="V557" i="7"/>
  <c r="U288" i="7"/>
  <c r="V288" i="7"/>
  <c r="V345" i="7"/>
  <c r="U345" i="7"/>
  <c r="S379" i="7"/>
  <c r="U374" i="7"/>
  <c r="V374" i="7"/>
  <c r="U231" i="7"/>
  <c r="V231" i="7"/>
  <c r="V329" i="7"/>
  <c r="U329" i="7"/>
  <c r="S150" i="7"/>
  <c r="V243" i="7"/>
  <c r="U243" i="7"/>
  <c r="U209" i="7"/>
  <c r="V209" i="7"/>
  <c r="V475" i="2"/>
  <c r="U475" i="2"/>
  <c r="V229" i="2"/>
  <c r="U229" i="2"/>
  <c r="V509" i="2"/>
  <c r="U509" i="2"/>
  <c r="V488" i="2"/>
  <c r="U488" i="2"/>
  <c r="V257" i="2"/>
  <c r="U257" i="2"/>
  <c r="V213" i="2"/>
  <c r="U213" i="2"/>
  <c r="S400" i="2"/>
  <c r="V443" i="2"/>
  <c r="U443" i="2"/>
  <c r="U481" i="7"/>
  <c r="V481" i="7"/>
  <c r="U575" i="7"/>
  <c r="V575" i="7"/>
  <c r="U294" i="7"/>
  <c r="V294" i="7"/>
  <c r="S574" i="7"/>
  <c r="V290" i="7"/>
  <c r="U290" i="7"/>
  <c r="V226" i="7"/>
  <c r="U226" i="7"/>
  <c r="V244" i="7"/>
  <c r="U244" i="7"/>
  <c r="V196" i="7"/>
  <c r="U196" i="7"/>
  <c r="V616" i="2"/>
  <c r="U616" i="2"/>
  <c r="U466" i="2"/>
  <c r="V466" i="2"/>
  <c r="R405" i="2"/>
  <c r="V317" i="2"/>
  <c r="U317" i="2"/>
  <c r="V13" i="7"/>
  <c r="U13" i="7"/>
  <c r="U204" i="2"/>
  <c r="V204" i="2"/>
  <c r="U350" i="2"/>
  <c r="V350" i="2"/>
  <c r="S367" i="2"/>
  <c r="R454" i="2"/>
  <c r="V248" i="2"/>
  <c r="U248" i="2"/>
  <c r="V358" i="2"/>
  <c r="U234" i="2"/>
  <c r="V234" i="2"/>
  <c r="U539" i="2"/>
  <c r="V539" i="2"/>
  <c r="V206" i="7"/>
  <c r="U206" i="7"/>
  <c r="V522" i="2"/>
  <c r="S37" i="7"/>
  <c r="U465" i="2"/>
  <c r="V465" i="2"/>
  <c r="V94" i="2"/>
  <c r="U94" i="2"/>
  <c r="V184" i="2"/>
  <c r="U184" i="2"/>
  <c r="V4" i="2"/>
  <c r="U4" i="2"/>
  <c r="P394" i="2" l="1"/>
  <c r="U354" i="2"/>
  <c r="V154" i="2"/>
  <c r="P379" i="2"/>
  <c r="V444" i="2"/>
  <c r="U288" i="2"/>
  <c r="U507" i="2"/>
  <c r="V65" i="2"/>
  <c r="U15" i="2"/>
  <c r="P138" i="2"/>
  <c r="U697" i="7"/>
  <c r="D39" i="1"/>
  <c r="E39" i="1" s="1"/>
  <c r="S379" i="2"/>
  <c r="D40" i="1"/>
  <c r="E40" i="1" s="1"/>
  <c r="S394" i="2"/>
  <c r="S408" i="7"/>
  <c r="P422" i="7"/>
  <c r="J52" i="1"/>
  <c r="P406" i="7"/>
  <c r="S399" i="7"/>
  <c r="U504" i="2"/>
  <c r="U447" i="2"/>
  <c r="U25" i="2"/>
  <c r="U287" i="2"/>
  <c r="U359" i="2"/>
  <c r="V337" i="2"/>
  <c r="V408" i="2"/>
  <c r="V542" i="2"/>
  <c r="U357" i="2"/>
  <c r="U74" i="2"/>
  <c r="U130" i="2"/>
  <c r="U240" i="2"/>
  <c r="V211" i="2"/>
  <c r="U402" i="2"/>
  <c r="V140" i="2"/>
  <c r="V39" i="2"/>
  <c r="U276" i="2"/>
  <c r="U356" i="2"/>
  <c r="P251" i="2"/>
  <c r="V456" i="2"/>
  <c r="V471" i="2"/>
  <c r="U597" i="2"/>
  <c r="V76" i="2"/>
  <c r="P86" i="2"/>
  <c r="U503" i="2"/>
  <c r="U618" i="2"/>
  <c r="U485" i="2"/>
  <c r="P266" i="2"/>
  <c r="U142" i="2"/>
  <c r="P371" i="2"/>
  <c r="V630" i="2"/>
  <c r="U36" i="2"/>
  <c r="P314" i="2"/>
  <c r="U63" i="2"/>
  <c r="U210" i="2"/>
  <c r="V516" i="2"/>
  <c r="U93" i="2"/>
  <c r="P188" i="2"/>
  <c r="V230" i="2"/>
  <c r="P628" i="2"/>
  <c r="V241" i="2"/>
  <c r="U133" i="2"/>
  <c r="V244" i="2"/>
  <c r="U469" i="2"/>
  <c r="U284" i="2"/>
  <c r="V66" i="2"/>
  <c r="V40" i="2"/>
  <c r="S182" i="2"/>
  <c r="D27" i="1" s="1"/>
  <c r="E27" i="1" s="1"/>
  <c r="F27" i="1" s="1"/>
  <c r="U421" i="2"/>
  <c r="P483" i="2"/>
  <c r="V636" i="2"/>
  <c r="V260" i="2"/>
  <c r="P405" i="2"/>
  <c r="U335" i="2"/>
  <c r="P33" i="2"/>
  <c r="P441" i="2"/>
  <c r="U525" i="2"/>
  <c r="V325" i="2"/>
  <c r="V285" i="2"/>
  <c r="U474" i="2"/>
  <c r="V255" i="2"/>
  <c r="U291" i="2"/>
  <c r="V192" i="2"/>
  <c r="V491" i="2"/>
  <c r="U258" i="2"/>
  <c r="U228" i="2"/>
  <c r="P114" i="2"/>
  <c r="U51" i="2"/>
  <c r="V243" i="2"/>
  <c r="V301" i="2"/>
  <c r="V642" i="2"/>
  <c r="U396" i="2"/>
  <c r="V619" i="2"/>
  <c r="P162" i="2"/>
  <c r="V225" i="2"/>
  <c r="U102" i="2"/>
  <c r="U502" i="2"/>
  <c r="V448" i="2"/>
  <c r="V361" i="2"/>
  <c r="V88" i="2"/>
  <c r="U132" i="2"/>
  <c r="U410" i="2"/>
  <c r="S614" i="2"/>
  <c r="U422" i="2"/>
  <c r="U328" i="2"/>
  <c r="V274" i="2"/>
  <c r="V606" i="2"/>
  <c r="U606" i="2"/>
  <c r="U62" i="2"/>
  <c r="V399" i="2"/>
  <c r="U24" i="2"/>
  <c r="U273" i="2"/>
  <c r="P514" i="2"/>
  <c r="V600" i="2"/>
  <c r="U600" i="2"/>
  <c r="V167" i="7"/>
  <c r="F7" i="9"/>
  <c r="U208" i="2"/>
  <c r="U48" i="2"/>
  <c r="P303" i="7"/>
  <c r="D53" i="1"/>
  <c r="U639" i="7"/>
  <c r="V601" i="2"/>
  <c r="U601" i="2"/>
  <c r="V591" i="2"/>
  <c r="U591" i="2"/>
  <c r="D52" i="1"/>
  <c r="G52" i="1"/>
  <c r="S640" i="2"/>
  <c r="D59" i="1"/>
  <c r="U636" i="7"/>
  <c r="P614" i="2"/>
  <c r="U593" i="2"/>
  <c r="V593" i="2"/>
  <c r="F69" i="8"/>
  <c r="H69" i="8" s="1"/>
  <c r="F76" i="8"/>
  <c r="H76" i="8" s="1"/>
  <c r="J59" i="1"/>
  <c r="S55" i="7"/>
  <c r="V185" i="2"/>
  <c r="V343" i="2"/>
  <c r="U400" i="2"/>
  <c r="S300" i="2"/>
  <c r="S314" i="2" s="1"/>
  <c r="P72" i="2"/>
  <c r="U457" i="2"/>
  <c r="P206" i="2"/>
  <c r="S472" i="2"/>
  <c r="S483" i="2" s="1"/>
  <c r="U75" i="2"/>
  <c r="U212" i="2"/>
  <c r="U242" i="2"/>
  <c r="U38" i="2"/>
  <c r="V423" i="2"/>
  <c r="P298" i="2"/>
  <c r="V269" i="2"/>
  <c r="U157" i="2"/>
  <c r="U143" i="2"/>
  <c r="U303" i="2"/>
  <c r="V489" i="2"/>
  <c r="S239" i="2"/>
  <c r="D31" i="1" s="1"/>
  <c r="E31" i="1" s="1"/>
  <c r="V306" i="2"/>
  <c r="V129" i="2"/>
  <c r="U79" i="2"/>
  <c r="P282" i="2"/>
  <c r="P221" i="2"/>
  <c r="U168" i="2"/>
  <c r="V355" i="2"/>
  <c r="P59" i="2"/>
  <c r="V490" i="2"/>
  <c r="U364" i="2"/>
  <c r="U318" i="2"/>
  <c r="P150" i="2"/>
  <c r="V9" i="2"/>
  <c r="P20" i="2"/>
  <c r="U433" i="2"/>
  <c r="S49" i="2"/>
  <c r="D16" i="1" s="1"/>
  <c r="E16" i="1" s="1"/>
  <c r="U346" i="2"/>
  <c r="P100" i="2"/>
  <c r="V545" i="2"/>
  <c r="V153" i="2"/>
  <c r="P454" i="2"/>
  <c r="U446" i="2"/>
  <c r="V486" i="2"/>
  <c r="U639" i="2"/>
  <c r="S443" i="2"/>
  <c r="D45" i="1" s="1"/>
  <c r="E45" i="1" s="1"/>
  <c r="U119" i="2"/>
  <c r="P428" i="2"/>
  <c r="P467" i="2"/>
  <c r="U272" i="2"/>
  <c r="U8" i="2"/>
  <c r="P333" i="2"/>
  <c r="V338" i="2"/>
  <c r="U319" i="2"/>
  <c r="S506" i="2"/>
  <c r="S514" i="2" s="1"/>
  <c r="U141" i="2"/>
  <c r="U270" i="2"/>
  <c r="P556" i="2"/>
  <c r="U401" i="2"/>
  <c r="V548" i="2"/>
  <c r="P352" i="2"/>
  <c r="V165" i="2"/>
  <c r="S637" i="2"/>
  <c r="P46" i="2"/>
  <c r="U193" i="2"/>
  <c r="S198" i="2"/>
  <c r="S206" i="2" s="1"/>
  <c r="U245" i="2"/>
  <c r="P236" i="2"/>
  <c r="U505" i="2"/>
  <c r="U566" i="2"/>
  <c r="V80" i="2"/>
  <c r="P625" i="2"/>
  <c r="V320" i="2"/>
  <c r="U109" i="2"/>
  <c r="U518" i="2"/>
  <c r="V37" i="2"/>
  <c r="V107" i="2"/>
  <c r="U107" i="2"/>
  <c r="P172" i="2"/>
  <c r="S327" i="2"/>
  <c r="S333" i="2" s="1"/>
  <c r="V365" i="2"/>
  <c r="U365" i="2"/>
  <c r="U470" i="2"/>
  <c r="V308" i="2"/>
  <c r="U520" i="2"/>
  <c r="U540" i="2"/>
  <c r="U22" i="2"/>
  <c r="U155" i="2"/>
  <c r="V81" i="2"/>
  <c r="U407" i="2"/>
  <c r="V64" i="2"/>
  <c r="U64" i="2"/>
  <c r="P534" i="2"/>
  <c r="V645" i="7"/>
  <c r="J53" i="1" s="1"/>
  <c r="P148" i="7"/>
  <c r="P654" i="7"/>
  <c r="V85" i="7"/>
  <c r="U688" i="7"/>
  <c r="U628" i="7"/>
  <c r="U646" i="7"/>
  <c r="S291" i="7"/>
  <c r="S303" i="7" s="1"/>
  <c r="P337" i="7"/>
  <c r="U99" i="7"/>
  <c r="S626" i="7"/>
  <c r="U642" i="7"/>
  <c r="U341" i="7"/>
  <c r="V463" i="7"/>
  <c r="U581" i="7"/>
  <c r="U450" i="7"/>
  <c r="V504" i="7"/>
  <c r="U633" i="7"/>
  <c r="U599" i="7"/>
  <c r="S13" i="2"/>
  <c r="S20" i="2" s="1"/>
  <c r="P499" i="2"/>
  <c r="S221" i="2"/>
  <c r="S633" i="2"/>
  <c r="U563" i="2"/>
  <c r="U324" i="2"/>
  <c r="U196" i="2"/>
  <c r="V117" i="2"/>
  <c r="P584" i="2"/>
  <c r="P126" i="2"/>
  <c r="D29" i="1"/>
  <c r="E29" i="1" s="1"/>
  <c r="F29" i="1" s="1"/>
  <c r="V177" i="2"/>
  <c r="S584" i="2"/>
  <c r="P180" i="2"/>
  <c r="U343" i="7"/>
  <c r="S126" i="2"/>
  <c r="P624" i="7"/>
  <c r="S624" i="7"/>
  <c r="U572" i="2"/>
  <c r="V572" i="2"/>
  <c r="P161" i="7"/>
  <c r="S180" i="2"/>
  <c r="U578" i="7"/>
  <c r="U429" i="7"/>
  <c r="S153" i="7"/>
  <c r="U230" i="7"/>
  <c r="P487" i="7"/>
  <c r="U263" i="7"/>
  <c r="U305" i="7"/>
  <c r="V278" i="7"/>
  <c r="V309" i="7"/>
  <c r="P203" i="7"/>
  <c r="S480" i="7"/>
  <c r="V588" i="7"/>
  <c r="P357" i="7"/>
  <c r="V111" i="7"/>
  <c r="J20" i="1" s="1"/>
  <c r="V703" i="7"/>
  <c r="F74" i="8" s="1"/>
  <c r="H74" i="8" s="1"/>
  <c r="S196" i="7"/>
  <c r="G27" i="1" s="1"/>
  <c r="H27" i="1" s="1"/>
  <c r="U115" i="7"/>
  <c r="U68" i="7"/>
  <c r="P535" i="7"/>
  <c r="S140" i="7"/>
  <c r="S148" i="7" s="1"/>
  <c r="U37" i="7"/>
  <c r="S344" i="7"/>
  <c r="S357" i="7" s="1"/>
  <c r="V386" i="7"/>
  <c r="V522" i="7"/>
  <c r="J48" i="1" s="1"/>
  <c r="J55" i="1"/>
  <c r="V441" i="7"/>
  <c r="G26" i="1"/>
  <c r="H26" i="1" s="1"/>
  <c r="I26" i="1" s="1"/>
  <c r="U490" i="7"/>
  <c r="V563" i="7"/>
  <c r="U67" i="7"/>
  <c r="U6" i="7"/>
  <c r="V452" i="7"/>
  <c r="V312" i="7"/>
  <c r="P695" i="7"/>
  <c r="U383" i="7"/>
  <c r="V260" i="7"/>
  <c r="J31" i="1" s="1"/>
  <c r="P254" i="7"/>
  <c r="S706" i="7"/>
  <c r="P107" i="7"/>
  <c r="P77" i="7"/>
  <c r="V348" i="7"/>
  <c r="P446" i="7"/>
  <c r="V295" i="7"/>
  <c r="F50" i="8" s="1"/>
  <c r="H50" i="8" s="1"/>
  <c r="V69" i="7"/>
  <c r="J17" i="1" s="1"/>
  <c r="P518" i="7"/>
  <c r="U307" i="7"/>
  <c r="S245" i="7"/>
  <c r="S254" i="7" s="1"/>
  <c r="S494" i="7"/>
  <c r="S501" i="7" s="1"/>
  <c r="V224" i="7"/>
  <c r="J29" i="1" s="1"/>
  <c r="U151" i="7"/>
  <c r="P434" i="7"/>
  <c r="P473" i="7"/>
  <c r="U129" i="7"/>
  <c r="S525" i="7"/>
  <c r="V476" i="7"/>
  <c r="F62" i="8" s="1"/>
  <c r="H62" i="8" s="1"/>
  <c r="P551" i="7"/>
  <c r="V584" i="7"/>
  <c r="S709" i="7"/>
  <c r="V465" i="7"/>
  <c r="S538" i="7"/>
  <c r="G49" i="1" s="1"/>
  <c r="H49" i="1" s="1"/>
  <c r="P595" i="7"/>
  <c r="P397" i="7"/>
  <c r="S100" i="7"/>
  <c r="G19" i="1" s="1"/>
  <c r="H19" i="1" s="1"/>
  <c r="U362" i="7"/>
  <c r="P174" i="7"/>
  <c r="P270" i="7"/>
  <c r="P377" i="7"/>
  <c r="V56" i="7"/>
  <c r="V4" i="7"/>
  <c r="J13" i="1" s="1"/>
  <c r="V81" i="7"/>
  <c r="F35" i="8" s="1"/>
  <c r="H35" i="8" s="1"/>
  <c r="P286" i="7"/>
  <c r="U155" i="7"/>
  <c r="U225" i="7"/>
  <c r="V579" i="7"/>
  <c r="V242" i="7"/>
  <c r="J30" i="1" s="1"/>
  <c r="G14" i="1"/>
  <c r="H14" i="1" s="1"/>
  <c r="I14" i="1" s="1"/>
  <c r="V449" i="7"/>
  <c r="V577" i="7"/>
  <c r="V380" i="7"/>
  <c r="U27" i="7"/>
  <c r="U277" i="7"/>
  <c r="V489" i="7"/>
  <c r="U79" i="7"/>
  <c r="U101" i="7"/>
  <c r="U116" i="7"/>
  <c r="U543" i="7"/>
  <c r="V440" i="7"/>
  <c r="F59" i="8" s="1"/>
  <c r="H59" i="8" s="1"/>
  <c r="V137" i="7"/>
  <c r="J22" i="1" s="1"/>
  <c r="P238" i="7"/>
  <c r="J56" i="1"/>
  <c r="V389" i="7"/>
  <c r="P21" i="7"/>
  <c r="V23" i="7"/>
  <c r="F31" i="8" s="1"/>
  <c r="H31" i="8" s="1"/>
  <c r="P122" i="7"/>
  <c r="P572" i="7"/>
  <c r="S35" i="7"/>
  <c r="P135" i="7"/>
  <c r="U326" i="7"/>
  <c r="P222" i="7"/>
  <c r="U540" i="7"/>
  <c r="V540" i="7"/>
  <c r="J49" i="1" s="1"/>
  <c r="V425" i="7"/>
  <c r="F58" i="8" s="1"/>
  <c r="H58" i="8" s="1"/>
  <c r="V165" i="7"/>
  <c r="J24" i="1" s="1"/>
  <c r="P320" i="7"/>
  <c r="S564" i="7"/>
  <c r="G50" i="1" s="1"/>
  <c r="H50" i="1" s="1"/>
  <c r="V555" i="7"/>
  <c r="U98" i="7"/>
  <c r="S124" i="7"/>
  <c r="G21" i="1" s="1"/>
  <c r="H21" i="1" s="1"/>
  <c r="S279" i="7"/>
  <c r="S286" i="7" s="1"/>
  <c r="P194" i="7"/>
  <c r="U492" i="7"/>
  <c r="V492" i="7"/>
  <c r="J46" i="1" s="1"/>
  <c r="G55" i="1"/>
  <c r="H55" i="1" s="1"/>
  <c r="I55" i="1" s="1"/>
  <c r="V580" i="7"/>
  <c r="U205" i="7"/>
  <c r="S436" i="7"/>
  <c r="S446" i="7" s="1"/>
  <c r="P185" i="7"/>
  <c r="P49" i="7"/>
  <c r="V507" i="7"/>
  <c r="U507" i="7"/>
  <c r="U453" i="7"/>
  <c r="V453" i="7"/>
  <c r="S194" i="7"/>
  <c r="V582" i="7"/>
  <c r="U587" i="7"/>
  <c r="U53" i="7"/>
  <c r="S499" i="2"/>
  <c r="D26" i="1"/>
  <c r="E26" i="1" s="1"/>
  <c r="U174" i="2"/>
  <c r="V174" i="2"/>
  <c r="D21" i="1"/>
  <c r="E21" i="1" s="1"/>
  <c r="V125" i="7"/>
  <c r="U125" i="7"/>
  <c r="G54" i="1"/>
  <c r="H54" i="1" s="1"/>
  <c r="I54" i="1" s="1"/>
  <c r="V121" i="2"/>
  <c r="U121" i="2"/>
  <c r="V190" i="7"/>
  <c r="U190" i="7"/>
  <c r="S434" i="7"/>
  <c r="D25" i="1"/>
  <c r="E25" i="1" s="1"/>
  <c r="F25" i="1" s="1"/>
  <c r="D60" i="1"/>
  <c r="E60" i="1" s="1"/>
  <c r="F60" i="1" s="1"/>
  <c r="D48" i="1"/>
  <c r="E48" i="1" s="1"/>
  <c r="F48" i="1" s="1"/>
  <c r="D32" i="1"/>
  <c r="E32" i="1" s="1"/>
  <c r="F32" i="1" s="1"/>
  <c r="G44" i="1"/>
  <c r="H44" i="1" s="1"/>
  <c r="I44" i="1" s="1"/>
  <c r="G41" i="1"/>
  <c r="H41" i="1" s="1"/>
  <c r="I41" i="1" s="1"/>
  <c r="S371" i="2"/>
  <c r="S114" i="2"/>
  <c r="S33" i="2"/>
  <c r="E24" i="9"/>
  <c r="F24" i="9" s="1"/>
  <c r="E38" i="9"/>
  <c r="F38" i="9" s="1"/>
  <c r="E26" i="9"/>
  <c r="F26" i="9" s="1"/>
  <c r="E31" i="9"/>
  <c r="F31" i="9" s="1"/>
  <c r="E32" i="9"/>
  <c r="F32" i="9" s="1"/>
  <c r="E28" i="9"/>
  <c r="F28" i="9" s="1"/>
  <c r="E30" i="9"/>
  <c r="F30" i="9" s="1"/>
  <c r="E27" i="9"/>
  <c r="F27" i="9" s="1"/>
  <c r="E36" i="9"/>
  <c r="F36" i="9" s="1"/>
  <c r="E23" i="9"/>
  <c r="F23" i="9" s="1"/>
  <c r="E39" i="9"/>
  <c r="F39" i="9" s="1"/>
  <c r="E22" i="9"/>
  <c r="F22" i="9" s="1"/>
  <c r="E29" i="9"/>
  <c r="F29" i="9" s="1"/>
  <c r="E40" i="9"/>
  <c r="F40" i="9" s="1"/>
  <c r="E35" i="9"/>
  <c r="F35" i="9" s="1"/>
  <c r="E37" i="9"/>
  <c r="F37" i="9" s="1"/>
  <c r="E25" i="9"/>
  <c r="F25" i="9" s="1"/>
  <c r="G25" i="1"/>
  <c r="D14" i="1"/>
  <c r="E14" i="1" s="1"/>
  <c r="F14" i="1" s="1"/>
  <c r="S185" i="7"/>
  <c r="S405" i="2"/>
  <c r="S473" i="7"/>
  <c r="S282" i="2"/>
  <c r="G29" i="1"/>
  <c r="H29" i="1" s="1"/>
  <c r="B5" i="9"/>
  <c r="D15" i="1"/>
  <c r="S266" i="2"/>
  <c r="F32" i="8"/>
  <c r="H32" i="8" s="1"/>
  <c r="S695" i="7"/>
  <c r="S556" i="2"/>
  <c r="S487" i="7"/>
  <c r="S46" i="2"/>
  <c r="S428" i="2"/>
  <c r="G18" i="1"/>
  <c r="S100" i="2"/>
  <c r="S320" i="7"/>
  <c r="G13" i="1"/>
  <c r="S467" i="2"/>
  <c r="S238" i="7"/>
  <c r="D19" i="1"/>
  <c r="D20" i="1"/>
  <c r="G45" i="1"/>
  <c r="H45" i="1" s="1"/>
  <c r="F58" i="1"/>
  <c r="G36" i="1"/>
  <c r="H36" i="1" s="1"/>
  <c r="D51" i="1"/>
  <c r="E51" i="1" s="1"/>
  <c r="G34" i="1"/>
  <c r="H34" i="1" s="1"/>
  <c r="S92" i="7"/>
  <c r="S172" i="2"/>
  <c r="S298" i="2"/>
  <c r="S21" i="7"/>
  <c r="D34" i="1"/>
  <c r="E34" i="1" s="1"/>
  <c r="G22" i="1"/>
  <c r="H22" i="1" s="1"/>
  <c r="F53" i="8"/>
  <c r="H53" i="8" s="1"/>
  <c r="D43" i="1"/>
  <c r="E43" i="1" s="1"/>
  <c r="F48" i="8"/>
  <c r="H48" i="8" s="1"/>
  <c r="F75" i="8"/>
  <c r="H75" i="8" s="1"/>
  <c r="J58" i="1"/>
  <c r="S713" i="7"/>
  <c r="G60" i="1"/>
  <c r="H60" i="1" s="1"/>
  <c r="F49" i="8"/>
  <c r="H49" i="8" s="1"/>
  <c r="F52" i="8"/>
  <c r="H52" i="8" s="1"/>
  <c r="F77" i="8"/>
  <c r="H77" i="8" s="1"/>
  <c r="J60" i="1"/>
  <c r="F46" i="8"/>
  <c r="H46" i="8" s="1"/>
  <c r="S397" i="7"/>
  <c r="G38" i="1"/>
  <c r="H38" i="1" s="1"/>
  <c r="S138" i="2"/>
  <c r="D22" i="1"/>
  <c r="E22" i="1" s="1"/>
  <c r="S704" i="7"/>
  <c r="G57" i="1"/>
  <c r="H57" i="1" s="1"/>
  <c r="F36" i="8"/>
  <c r="H36" i="8" s="1"/>
  <c r="J19" i="1"/>
  <c r="G31" i="1"/>
  <c r="H31" i="1" s="1"/>
  <c r="S270" i="7"/>
  <c r="F45" i="8"/>
  <c r="H45" i="8" s="1"/>
  <c r="J28" i="1"/>
  <c r="S161" i="7"/>
  <c r="G23" i="1"/>
  <c r="H23" i="1" s="1"/>
  <c r="S49" i="7"/>
  <c r="G15" i="1"/>
  <c r="H15" i="1" s="1"/>
  <c r="S72" i="2"/>
  <c r="D17" i="1"/>
  <c r="E17" i="1" s="1"/>
  <c r="S625" i="2"/>
  <c r="D54" i="1"/>
  <c r="E54" i="1" s="1"/>
  <c r="S628" i="2"/>
  <c r="D55" i="1"/>
  <c r="E55" i="1" s="1"/>
  <c r="F44" i="8"/>
  <c r="H44" i="8" s="1"/>
  <c r="J27" i="1"/>
  <c r="S122" i="7"/>
  <c r="G20" i="1"/>
  <c r="H20" i="1" s="1"/>
  <c r="F40" i="8"/>
  <c r="H40" i="8" s="1"/>
  <c r="J23" i="1"/>
  <c r="S203" i="7"/>
  <c r="S701" i="7"/>
  <c r="G56" i="1"/>
  <c r="H56" i="1" s="1"/>
  <c r="F65" i="8"/>
  <c r="H65" i="8" s="1"/>
  <c r="D33" i="1"/>
  <c r="E33" i="1" s="1"/>
  <c r="J14" i="1"/>
  <c r="J34" i="1"/>
  <c r="D18" i="1"/>
  <c r="E18" i="1" s="1"/>
  <c r="S86" i="2"/>
  <c r="F42" i="8"/>
  <c r="H42" i="8" s="1"/>
  <c r="J25" i="1"/>
  <c r="G30" i="1"/>
  <c r="H30" i="1" s="1"/>
  <c r="S459" i="7"/>
  <c r="G43" i="1"/>
  <c r="H43" i="1" s="1"/>
  <c r="D41" i="1"/>
  <c r="E41" i="1" s="1"/>
  <c r="F33" i="8"/>
  <c r="H33" i="8" s="1"/>
  <c r="J16" i="1"/>
  <c r="S416" i="2"/>
  <c r="D42" i="1"/>
  <c r="E42" i="1" s="1"/>
  <c r="F30" i="8"/>
  <c r="H30" i="8" s="1"/>
  <c r="S222" i="7"/>
  <c r="G28" i="1"/>
  <c r="H28" i="1" s="1"/>
  <c r="S150" i="2"/>
  <c r="D23" i="1"/>
  <c r="E23" i="1" s="1"/>
  <c r="F66" i="8"/>
  <c r="H66" i="8" s="1"/>
  <c r="S377" i="7"/>
  <c r="G37" i="1"/>
  <c r="H37" i="1" s="1"/>
  <c r="S441" i="2"/>
  <c r="D44" i="1"/>
  <c r="E44" i="1" s="1"/>
  <c r="S518" i="7"/>
  <c r="G47" i="1"/>
  <c r="H47" i="1" s="1"/>
  <c r="D38" i="1"/>
  <c r="E38" i="1" s="1"/>
  <c r="S63" i="7"/>
  <c r="G16" i="1"/>
  <c r="H16" i="1" s="1"/>
  <c r="S352" i="2"/>
  <c r="D37" i="1"/>
  <c r="E37" i="1" s="1"/>
  <c r="S534" i="2"/>
  <c r="D50" i="1"/>
  <c r="E50" i="1" s="1"/>
  <c r="J15" i="1"/>
  <c r="G33" i="1"/>
  <c r="H33" i="1" s="1"/>
  <c r="J35" i="1"/>
  <c r="J37" i="1"/>
  <c r="F54" i="8"/>
  <c r="H54" i="8" s="1"/>
  <c r="S162" i="2"/>
  <c r="D24" i="1"/>
  <c r="E24" i="1" s="1"/>
  <c r="S77" i="7"/>
  <c r="G17" i="1"/>
  <c r="H17" i="1" s="1"/>
  <c r="S174" i="7"/>
  <c r="G24" i="1"/>
  <c r="H24" i="1" s="1"/>
  <c r="J36" i="1"/>
  <c r="S631" i="2"/>
  <c r="D56" i="1"/>
  <c r="E56" i="1" s="1"/>
  <c r="F71" i="8"/>
  <c r="H71" i="8" s="1"/>
  <c r="J54" i="1"/>
  <c r="J32" i="1"/>
  <c r="F39" i="8"/>
  <c r="H39" i="8" s="1"/>
  <c r="D46" i="1"/>
  <c r="E46" i="1" s="1"/>
  <c r="S595" i="7"/>
  <c r="G51" i="1"/>
  <c r="H51" i="1" s="1"/>
  <c r="F63" i="8"/>
  <c r="H63" i="8" s="1"/>
  <c r="S236" i="2"/>
  <c r="D30" i="1"/>
  <c r="E30" i="1" s="1"/>
  <c r="S535" i="7"/>
  <c r="G48" i="1"/>
  <c r="H48" i="1" s="1"/>
  <c r="S337" i="7"/>
  <c r="G35" i="1"/>
  <c r="H35" i="1" s="1"/>
  <c r="S251" i="2" l="1"/>
  <c r="G39" i="1"/>
  <c r="H39" i="1" s="1"/>
  <c r="S406" i="7"/>
  <c r="G40" i="1"/>
  <c r="H40" i="1" s="1"/>
  <c r="S422" i="7"/>
  <c r="F34" i="8"/>
  <c r="H34" i="8" s="1"/>
  <c r="F37" i="8"/>
  <c r="H37" i="8" s="1"/>
  <c r="F40" i="1"/>
  <c r="D29" i="6"/>
  <c r="F39" i="1"/>
  <c r="D28" i="6"/>
  <c r="S188" i="2"/>
  <c r="D28" i="1"/>
  <c r="E28" i="1" s="1"/>
  <c r="F28" i="1" s="1"/>
  <c r="D36" i="1"/>
  <c r="E36" i="1" s="1"/>
  <c r="F36" i="1" s="1"/>
  <c r="S454" i="2"/>
  <c r="D47" i="1"/>
  <c r="E47" i="1" s="1"/>
  <c r="F47" i="1" s="1"/>
  <c r="D35" i="1"/>
  <c r="E35" i="1" s="1"/>
  <c r="F35" i="1" s="1"/>
  <c r="H5" i="9"/>
  <c r="L21" i="1" s="1"/>
  <c r="M21" i="1" s="1"/>
  <c r="H4" i="9"/>
  <c r="G32" i="1"/>
  <c r="H32" i="1" s="1"/>
  <c r="I32" i="1" s="1"/>
  <c r="D48" i="6"/>
  <c r="E59" i="1"/>
  <c r="F59" i="1" s="1"/>
  <c r="E41" i="6"/>
  <c r="H52" i="1"/>
  <c r="I52" i="1" s="1"/>
  <c r="D41" i="6"/>
  <c r="E52" i="1"/>
  <c r="F52" i="1" s="1"/>
  <c r="S654" i="7"/>
  <c r="G53" i="1"/>
  <c r="D42" i="6"/>
  <c r="E53" i="1"/>
  <c r="F53" i="1" s="1"/>
  <c r="F64" i="8"/>
  <c r="H64" i="8" s="1"/>
  <c r="J44" i="1"/>
  <c r="F70" i="8"/>
  <c r="H70" i="8" s="1"/>
  <c r="S710" i="7"/>
  <c r="G59" i="1"/>
  <c r="S59" i="2"/>
  <c r="D13" i="1"/>
  <c r="E13" i="1" s="1"/>
  <c r="F13" i="1" s="1"/>
  <c r="D49" i="1"/>
  <c r="E49" i="1" s="1"/>
  <c r="F49" i="1" s="1"/>
  <c r="F61" i="8"/>
  <c r="H61" i="8" s="1"/>
  <c r="F41" i="8"/>
  <c r="H41" i="8" s="1"/>
  <c r="F51" i="8"/>
  <c r="H51" i="8" s="1"/>
  <c r="J33" i="1"/>
  <c r="F55" i="8"/>
  <c r="H55" i="8" s="1"/>
  <c r="B5" i="8"/>
  <c r="S634" i="2"/>
  <c r="D57" i="1"/>
  <c r="E57" i="1" s="1"/>
  <c r="F57" i="1" s="1"/>
  <c r="J57" i="1"/>
  <c r="J50" i="1"/>
  <c r="J18" i="1"/>
  <c r="G42" i="1"/>
  <c r="H42" i="1" s="1"/>
  <c r="I42" i="1" s="1"/>
  <c r="S107" i="7"/>
  <c r="J43" i="1"/>
  <c r="J38" i="1"/>
  <c r="S551" i="7"/>
  <c r="S707" i="7"/>
  <c r="G58" i="1"/>
  <c r="H58" i="1" s="1"/>
  <c r="I58" i="1" s="1"/>
  <c r="F60" i="8"/>
  <c r="H60" i="8" s="1"/>
  <c r="J41" i="1"/>
  <c r="F47" i="8"/>
  <c r="H47" i="8" s="1"/>
  <c r="G46" i="1"/>
  <c r="H46" i="1" s="1"/>
  <c r="I46" i="1" s="1"/>
  <c r="E15" i="6"/>
  <c r="J51" i="1"/>
  <c r="S572" i="7"/>
  <c r="F67" i="8"/>
  <c r="H67" i="8" s="1"/>
  <c r="J45" i="1"/>
  <c r="J42" i="1"/>
  <c r="K11" i="1"/>
  <c r="S135" i="7"/>
  <c r="J47" i="1"/>
  <c r="F68" i="8"/>
  <c r="H68" i="8" s="1"/>
  <c r="B6" i="8"/>
  <c r="J21" i="1"/>
  <c r="F38" i="8"/>
  <c r="H38" i="8" s="1"/>
  <c r="F21" i="1"/>
  <c r="D10" i="6"/>
  <c r="I21" i="1"/>
  <c r="E10" i="6"/>
  <c r="F26" i="1"/>
  <c r="D15" i="6"/>
  <c r="F43" i="8"/>
  <c r="H43" i="8" s="1"/>
  <c r="J26" i="1"/>
  <c r="H18" i="1"/>
  <c r="I18" i="1" s="1"/>
  <c r="E20" i="1"/>
  <c r="F20" i="1" s="1"/>
  <c r="E19" i="1"/>
  <c r="F19" i="1" s="1"/>
  <c r="H25" i="1"/>
  <c r="I25" i="1" s="1"/>
  <c r="H13" i="1"/>
  <c r="I13" i="1" s="1"/>
  <c r="E15" i="1"/>
  <c r="F15" i="1" s="1"/>
  <c r="I29" i="1"/>
  <c r="I45" i="1"/>
  <c r="F18" i="1"/>
  <c r="F17" i="1"/>
  <c r="I31" i="1"/>
  <c r="F43" i="1"/>
  <c r="I34" i="1"/>
  <c r="F41" i="1"/>
  <c r="I15" i="1"/>
  <c r="F51" i="1"/>
  <c r="I35" i="1"/>
  <c r="F56" i="1"/>
  <c r="I16" i="1"/>
  <c r="I48" i="1"/>
  <c r="I23" i="1"/>
  <c r="I22" i="1"/>
  <c r="I50" i="1"/>
  <c r="F23" i="1"/>
  <c r="F38" i="1"/>
  <c r="I20" i="1"/>
  <c r="F31" i="1"/>
  <c r="F34" i="1"/>
  <c r="I36" i="1"/>
  <c r="I57" i="1"/>
  <c r="I43" i="1"/>
  <c r="F16" i="1"/>
  <c r="I47" i="1"/>
  <c r="F42" i="1"/>
  <c r="F22" i="1"/>
  <c r="F37" i="1"/>
  <c r="F30" i="1"/>
  <c r="F33" i="1"/>
  <c r="F44" i="1"/>
  <c r="I33" i="1"/>
  <c r="I37" i="1"/>
  <c r="I60" i="1"/>
  <c r="I56" i="1"/>
  <c r="I27" i="1"/>
  <c r="F45" i="1"/>
  <c r="I30" i="1"/>
  <c r="I51" i="1"/>
  <c r="I24" i="1"/>
  <c r="F55" i="1"/>
  <c r="F46" i="1"/>
  <c r="F50" i="1"/>
  <c r="I49" i="1"/>
  <c r="I19" i="1"/>
  <c r="I38" i="1"/>
  <c r="F24" i="1"/>
  <c r="I17" i="1"/>
  <c r="F54" i="1"/>
  <c r="I40" i="1" l="1"/>
  <c r="E29" i="6"/>
  <c r="I39" i="1"/>
  <c r="E28" i="6"/>
  <c r="H53" i="1"/>
  <c r="I53" i="1" s="1"/>
  <c r="E42" i="6"/>
  <c r="E48" i="6"/>
  <c r="H59" i="1"/>
  <c r="I59" i="1" s="1"/>
  <c r="L13" i="1"/>
  <c r="M13" i="1"/>
  <c r="M26" i="1"/>
  <c r="M33" i="1" s="1"/>
  <c r="L26" i="1"/>
  <c r="L33" i="1" s="1"/>
  <c r="I28" i="1"/>
  <c r="G7" i="1"/>
  <c r="L22" i="1"/>
  <c r="M22" i="1" s="1"/>
  <c r="L16" i="1"/>
  <c r="L25" i="1" s="1"/>
  <c r="L32" i="1" s="1"/>
  <c r="F61" i="1"/>
  <c r="I61" i="1" l="1"/>
  <c r="L27" i="1"/>
  <c r="L28" i="1" s="1"/>
  <c r="I7" i="1" s="1"/>
  <c r="L34" i="1"/>
  <c r="L35" i="1" s="1"/>
  <c r="M16" i="1"/>
  <c r="C7" i="1"/>
  <c r="M25" i="1" l="1"/>
  <c r="M27" i="1" l="1"/>
  <c r="M28" i="1" s="1"/>
  <c r="B8" i="8" s="1"/>
  <c r="B9" i="8" s="1"/>
  <c r="M32" i="1"/>
  <c r="E7" i="1"/>
  <c r="K7" i="1" l="1"/>
  <c r="M7" i="1"/>
  <c r="M29" i="1"/>
  <c r="M34" i="1"/>
  <c r="M35" i="1" s="1"/>
  <c r="M3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<sst xmlns="http://schemas.openxmlformats.org/spreadsheetml/2006/main" count="5422" uniqueCount="666">
  <si>
    <t>Cantidad</t>
  </si>
  <si>
    <t>ID Módulo</t>
  </si>
  <si>
    <t>Mueble</t>
  </si>
  <si>
    <t>ALA-RIN-656832</t>
  </si>
  <si>
    <t>ALA-1PU-306832</t>
  </si>
  <si>
    <t>ALA-1PU-406832</t>
  </si>
  <si>
    <t>ALA-1PU-506832</t>
  </si>
  <si>
    <t>ALA-1PU-606832</t>
  </si>
  <si>
    <t>ALA-2PU-706832</t>
  </si>
  <si>
    <t>ALA-2PU-806832</t>
  </si>
  <si>
    <t>ALA-2PU-906832</t>
  </si>
  <si>
    <t>ALA-BAS-603432</t>
  </si>
  <si>
    <t>ALA-BAS-703432</t>
  </si>
  <si>
    <t>ALA-BAS-803432</t>
  </si>
  <si>
    <t>ALA-NIC-276832</t>
  </si>
  <si>
    <t>ALA-MIC-603432</t>
  </si>
  <si>
    <t>GAB-RIN-1057258</t>
  </si>
  <si>
    <t>GAB-1PU-307258</t>
  </si>
  <si>
    <t>GAB-1PU-407258</t>
  </si>
  <si>
    <t>GAB-1PU-507258</t>
  </si>
  <si>
    <t>GAB-1PU-607258</t>
  </si>
  <si>
    <t>GAB-2PU-707258</t>
  </si>
  <si>
    <t>GAB-2PU-807258</t>
  </si>
  <si>
    <t>GAB-2PU-907258</t>
  </si>
  <si>
    <t>GAB-3CA-407258</t>
  </si>
  <si>
    <t>GAB-3CA-507258</t>
  </si>
  <si>
    <t>GAB-3CA-607258</t>
  </si>
  <si>
    <t>GAB-NIC-207258</t>
  </si>
  <si>
    <t>GAB-NIC-TOA-207258</t>
  </si>
  <si>
    <t>TAR-1PU-607258</t>
  </si>
  <si>
    <t>TAR-2PU-707258</t>
  </si>
  <si>
    <t>TAR-2PU-807258</t>
  </si>
  <si>
    <t>TAR-2PU-907258</t>
  </si>
  <si>
    <t>DES-1PU-4021058</t>
  </si>
  <si>
    <t>DES-1PU-6021058</t>
  </si>
  <si>
    <t>DES-2PU-8021058</t>
  </si>
  <si>
    <t>DES-HOR-6021058</t>
  </si>
  <si>
    <t>DES-HOR-7021058</t>
  </si>
  <si>
    <t>DES-NIC-4021061</t>
  </si>
  <si>
    <t>PAN-ALA-3434</t>
  </si>
  <si>
    <t>PAN-ALA-6834</t>
  </si>
  <si>
    <t>PAN-GAB-7261</t>
  </si>
  <si>
    <t>PAN-DES-21061</t>
  </si>
  <si>
    <t>ZOC-24015</t>
  </si>
  <si>
    <t>Largo (mm)</t>
  </si>
  <si>
    <t>Ancho (mm)</t>
  </si>
  <si>
    <t>Descripción de la Pieza / Módulo</t>
  </si>
  <si>
    <t>Materia Prima</t>
  </si>
  <si>
    <t>Veta</t>
  </si>
  <si>
    <t>Largo 1</t>
  </si>
  <si>
    <t>Largo 2</t>
  </si>
  <si>
    <t>Ancho 1</t>
  </si>
  <si>
    <t>Ancho 2</t>
  </si>
  <si>
    <t>Codigo</t>
  </si>
  <si>
    <t>Código Pieza</t>
  </si>
  <si>
    <t>M² Totales</t>
  </si>
  <si>
    <t>ML Cintilla</t>
  </si>
  <si>
    <t>Costo Unit. Mat/Herr</t>
  </si>
  <si>
    <t>Costo Tot. Mat/Herr</t>
  </si>
  <si>
    <t>Costo Unit. Cintilla</t>
  </si>
  <si>
    <t>Costo Tot. Cintilla</t>
  </si>
  <si>
    <t>Costo Total Elemento</t>
  </si>
  <si>
    <t>Alacena Rinconera 650 x 680 x 320 mm</t>
  </si>
  <si>
    <t>Lateral Derecho</t>
  </si>
  <si>
    <t>ARAUCO BLANCO</t>
  </si>
  <si>
    <t>LAT-ALA-6832-D</t>
  </si>
  <si>
    <t>Lateral Izquierdo</t>
  </si>
  <si>
    <t>LAT-ALA-6832-I</t>
  </si>
  <si>
    <t>Respaldo Alacena</t>
  </si>
  <si>
    <t>RES-ALA-6865</t>
  </si>
  <si>
    <t>Base Alacena</t>
  </si>
  <si>
    <t>BAS-ALA-6532</t>
  </si>
  <si>
    <t>Techo Alacena</t>
  </si>
  <si>
    <t>TEC-ALA-6532</t>
  </si>
  <si>
    <t>Tapa Ciega</t>
  </si>
  <si>
    <t>TAP-ALA-6534</t>
  </si>
  <si>
    <t>Entrepano Alacena</t>
  </si>
  <si>
    <t>ENT-ALA-6526</t>
  </si>
  <si>
    <t>Refuerzo Bisagra</t>
  </si>
  <si>
    <t>REF-BIS-ALA-657</t>
  </si>
  <si>
    <t>Ajuste Inferior</t>
  </si>
  <si>
    <t>AJU-INF-ALA-325</t>
  </si>
  <si>
    <t>Ajuste superior</t>
  </si>
  <si>
    <t>AJU-SUP-ALA-325</t>
  </si>
  <si>
    <t>Puerta Alacena</t>
  </si>
  <si>
    <t>VESTO NOUGAT</t>
  </si>
  <si>
    <t>PUE-ALA-6829</t>
  </si>
  <si>
    <t>Ajuste 1 Rinconero</t>
  </si>
  <si>
    <t>AJU-RIN-ALA-687</t>
  </si>
  <si>
    <t>AJU-RIN-ALA-685</t>
  </si>
  <si>
    <t>Bisagra Cierre Lento</t>
  </si>
  <si>
    <t>HERRAJE</t>
  </si>
  <si>
    <t>BIS-CL</t>
  </si>
  <si>
    <t>Jaladera Acero Inox</t>
  </si>
  <si>
    <t>JAL-INOX</t>
  </si>
  <si>
    <t>Soporte de Entrepaño</t>
  </si>
  <si>
    <t>SOP-ENT</t>
  </si>
  <si>
    <t>Tornillo 4x50 mm</t>
  </si>
  <si>
    <t>TOR-4X50</t>
  </si>
  <si>
    <t>TOTALES</t>
  </si>
  <si>
    <t>Alacena 1 Puerta 300 x 680 x 320 mm</t>
  </si>
  <si>
    <t>RES-ALA-6830</t>
  </si>
  <si>
    <t>BAS-ALA-3027</t>
  </si>
  <si>
    <t>TEC-ALA-3027</t>
  </si>
  <si>
    <t>ENT-ALA-3026</t>
  </si>
  <si>
    <t>PUE-ALA-6830</t>
  </si>
  <si>
    <t>Alacena 1 Puerta 400 x 680 x 320 mm</t>
  </si>
  <si>
    <t>RES-ALA-6840</t>
  </si>
  <si>
    <t>BAS-ALA-4032</t>
  </si>
  <si>
    <t>TEC-ALA-4032</t>
  </si>
  <si>
    <t>ENT-ALA-4026</t>
  </si>
  <si>
    <t>PUE-ALA-6840</t>
  </si>
  <si>
    <t>Alacena 1 Puerta 500 x 680 x 320 mm</t>
  </si>
  <si>
    <t>RES-ALA-6850</t>
  </si>
  <si>
    <t>BAS-ALA-5032</t>
  </si>
  <si>
    <t>TEC-ALA-5032</t>
  </si>
  <si>
    <t>ENT-ALA-5026</t>
  </si>
  <si>
    <t>PUE-ALA-6850</t>
  </si>
  <si>
    <t>Alacena 1 Puerta 600 x 680 x 320 mm</t>
  </si>
  <si>
    <t>RES-ALA-6860</t>
  </si>
  <si>
    <t>BAS-ALA-6032</t>
  </si>
  <si>
    <t>TEC-ALA-6032</t>
  </si>
  <si>
    <t>ENT-ALA-6026</t>
  </si>
  <si>
    <t>PUE-ALA-6860</t>
  </si>
  <si>
    <t>Alacena 2 Puertas 700 x 680 x 320 mm</t>
  </si>
  <si>
    <t>RES-ALA-6880</t>
  </si>
  <si>
    <t>BAS-ALA-8032</t>
  </si>
  <si>
    <t>TEC-ALA-8032</t>
  </si>
  <si>
    <t>ENT-ALA-8026</t>
  </si>
  <si>
    <t>Puerta Der Alacena</t>
  </si>
  <si>
    <t>PUE-DER-ALA-6840</t>
  </si>
  <si>
    <t>Puerta Izq Alacena</t>
  </si>
  <si>
    <t>PUE-IZQ-ALA-6840</t>
  </si>
  <si>
    <t>Alacena 2 Puertas 800 x 680 x 320 mm</t>
  </si>
  <si>
    <t>Alacena 2 Puertas 900 x 680 x 320 mm</t>
  </si>
  <si>
    <t>RES-ALA-6890</t>
  </si>
  <si>
    <t>BAS-ALA-9032</t>
  </si>
  <si>
    <t>TEC-ALA-9032</t>
  </si>
  <si>
    <t>ENT-ALA-9026</t>
  </si>
  <si>
    <t>PUE-IZQ-ALA-6845</t>
  </si>
  <si>
    <t>PUE-DER-ALA-6845</t>
  </si>
  <si>
    <t>Alacena Basculante 600 x 340 x 320 mm</t>
  </si>
  <si>
    <t>LAT-ALA-3432-D</t>
  </si>
  <si>
    <t>LAT-ALA-3432-I</t>
  </si>
  <si>
    <t>RES-ALA-3460</t>
  </si>
  <si>
    <t>PUE-ALA-6034</t>
  </si>
  <si>
    <t>Piston a Gas</t>
  </si>
  <si>
    <t>PIS-GAS</t>
  </si>
  <si>
    <t>Alacena Basculante 700 x 340 x 320 mm</t>
  </si>
  <si>
    <t>RES-ALA-3470</t>
  </si>
  <si>
    <t>BAS-ALA-7032</t>
  </si>
  <si>
    <t>TEC-ALA-7032</t>
  </si>
  <si>
    <t>PUE-ALA-7034</t>
  </si>
  <si>
    <t>Alacena Basculante 800 x 340 x 320 mm</t>
  </si>
  <si>
    <t>RES-ALA-3480</t>
  </si>
  <si>
    <t>PUE-ALA-8034</t>
  </si>
  <si>
    <t>Alacena Nicho Abierto 270 x 680 x 320 mm</t>
  </si>
  <si>
    <t>LAT-NIC-6834-D</t>
  </si>
  <si>
    <t>LAT-NIC-6834-I</t>
  </si>
  <si>
    <t>RES-NIC-6524</t>
  </si>
  <si>
    <t>BAS-NIC-3424</t>
  </si>
  <si>
    <t>TEC-NIC-3424</t>
  </si>
  <si>
    <t>ENT-NIC-2428</t>
  </si>
  <si>
    <t>Alacena Nicho Microondas 600 x 340 x 320 mm</t>
  </si>
  <si>
    <t>Gabinete Rinconero 1050 x 720 x 580 mm</t>
  </si>
  <si>
    <t>Costado Derecho Gabinete</t>
  </si>
  <si>
    <t>COS-DER-GAB-7258</t>
  </si>
  <si>
    <t>Costado Izquierdo Gabinete</t>
  </si>
  <si>
    <t>COS-IZQ-GAB-7258</t>
  </si>
  <si>
    <t>Respaldo Gabinete</t>
  </si>
  <si>
    <t>RES-GAB-72105</t>
  </si>
  <si>
    <t>Piso Gabinete</t>
  </si>
  <si>
    <t>PIS-GAB-10587</t>
  </si>
  <si>
    <t>Manguete Techo Frontal</t>
  </si>
  <si>
    <t>MAN-TEC-FR-GAB-9712</t>
  </si>
  <si>
    <t>Manguete Techo Posterior</t>
  </si>
  <si>
    <t>MAN-TEC-PO-GAB-9712</t>
  </si>
  <si>
    <t>TAP-CIE-GAB-1-6957</t>
  </si>
  <si>
    <t>REF-BIS-GAB-697</t>
  </si>
  <si>
    <t>Entrepano Gabinete</t>
  </si>
  <si>
    <t>ENT-GAB-2-10597</t>
  </si>
  <si>
    <t>Puerta Der Gabinete</t>
  </si>
  <si>
    <t>PUE-DER-GAB-1-7241</t>
  </si>
  <si>
    <t>AJU-RIN-GAB-1-727</t>
  </si>
  <si>
    <t>Ajuste 2 Rinconero</t>
  </si>
  <si>
    <t>AJU-RIN-GAB-2-727</t>
  </si>
  <si>
    <t>Pata Regulable Plastica</t>
  </si>
  <si>
    <t>PAT-REG</t>
  </si>
  <si>
    <t>407</t>
  </si>
  <si>
    <t>Gabinete 1 Puerta 300 x 720 x 580 mm</t>
  </si>
  <si>
    <t>LAT-GAB-7258-D</t>
  </si>
  <si>
    <t>LAT-GAB-7258-I</t>
  </si>
  <si>
    <t>RES-GAB-7230</t>
  </si>
  <si>
    <t>PIS-GAB-3058</t>
  </si>
  <si>
    <t>Manguete Techo</t>
  </si>
  <si>
    <t>MAN-TEC-GAB-3027</t>
  </si>
  <si>
    <t>ENT-GAB-3050</t>
  </si>
  <si>
    <t>Puerta Gabinete</t>
  </si>
  <si>
    <t>PUE-GAB-7230</t>
  </si>
  <si>
    <t>Gabinete 1 Puerta 400 x 720 x 580 mm</t>
  </si>
  <si>
    <t>RES-GAB-7240</t>
  </si>
  <si>
    <t>PIS-GAB-4058</t>
  </si>
  <si>
    <t>MAN-TEC-GAB-4037</t>
  </si>
  <si>
    <t>ENT-GAB-4052</t>
  </si>
  <si>
    <t>PUE-GAB-7240</t>
  </si>
  <si>
    <t>Gabinete 1 Puerta 500 x 720 x 580 mm</t>
  </si>
  <si>
    <t>RES-GAB-7250</t>
  </si>
  <si>
    <t>PIS-GAB-5058</t>
  </si>
  <si>
    <t>MAN-TEC-GAB-5047</t>
  </si>
  <si>
    <t>ENT-GAB-5052</t>
  </si>
  <si>
    <t>PUE-GAB-7250</t>
  </si>
  <si>
    <t>Gabinete 1 Puerta 600 x 720 x 580 mm</t>
  </si>
  <si>
    <t>RES-GAB-7260</t>
  </si>
  <si>
    <t>PIS-GAB-6058</t>
  </si>
  <si>
    <t>MAN-TEC-GAB-6057</t>
  </si>
  <si>
    <t>ENT-GAB-6057</t>
  </si>
  <si>
    <t>PUE-GAB-7260</t>
  </si>
  <si>
    <t>Gabinete 2 Puertas 700 x 720 x 580 mm</t>
  </si>
  <si>
    <t>RES-GAB-7270</t>
  </si>
  <si>
    <t>PIS-GAB-7058</t>
  </si>
  <si>
    <t>MAN-TEC-GAB-7059</t>
  </si>
  <si>
    <t>ENT-GAB-7059</t>
  </si>
  <si>
    <t>PUE-DER-GAB-7235</t>
  </si>
  <si>
    <t>Puerta Izq Gabinete</t>
  </si>
  <si>
    <t>PUE-IZQ-GAB-7235</t>
  </si>
  <si>
    <t>Gabinete 2 Puertas 800 x 720 x 580 mm</t>
  </si>
  <si>
    <t>RES-GAB-7280</t>
  </si>
  <si>
    <t>PIS-GAB-8058</t>
  </si>
  <si>
    <t>MAN-TEC-GAB-8059</t>
  </si>
  <si>
    <t>ENT-GAB-8059</t>
  </si>
  <si>
    <t>PUE-DER-GAB-7240</t>
  </si>
  <si>
    <t>PUE-IZQ-GAB-7240</t>
  </si>
  <si>
    <t>Gabinete 2 Puertas 900 x 720 x 580 mm</t>
  </si>
  <si>
    <t>RES-GAB-7290</t>
  </si>
  <si>
    <t>PIS-GAB-9087</t>
  </si>
  <si>
    <t>MAN-TEC-GAB-9087</t>
  </si>
  <si>
    <t>ENT-GAB-9087</t>
  </si>
  <si>
    <t>PUE-DER-GAB-7245</t>
  </si>
  <si>
    <t>PUE-IZQ-GAB-7245</t>
  </si>
  <si>
    <t>Gabinete 3 Cajones 400 x 720 x 580 mm</t>
  </si>
  <si>
    <t>Manguete Respaldo</t>
  </si>
  <si>
    <t>MAN-RESP-GAB-3712</t>
  </si>
  <si>
    <t>Lateral Cajon</t>
  </si>
  <si>
    <t>LAT-CAJ-GAB-5023</t>
  </si>
  <si>
    <t>LAT-CAJ-GAB-5010</t>
  </si>
  <si>
    <t>Base Cajon</t>
  </si>
  <si>
    <t>BAS-CAJ-GAB-3147</t>
  </si>
  <si>
    <t>Contra Frente Cajon</t>
  </si>
  <si>
    <t>CON-FRE-CAJ-GAB-3123</t>
  </si>
  <si>
    <t>CON-FRE-CAJ-GAB-3110</t>
  </si>
  <si>
    <t>Frente Inferior Alta</t>
  </si>
  <si>
    <t>FRE-INF-ALT-GAB-4036</t>
  </si>
  <si>
    <t>Frente Central Baja</t>
  </si>
  <si>
    <t>FRE-CEN-BAJ-GAB-4018</t>
  </si>
  <si>
    <t>Frente Superior Baja</t>
  </si>
  <si>
    <t>FRE-SUP-BAJ-GAB-4018</t>
  </si>
  <si>
    <t>Corredera Telescópica 500mm</t>
  </si>
  <si>
    <t>COR-TEL-500</t>
  </si>
  <si>
    <t>Gabinete 3 Cajones 500 x 720 x 580 mm</t>
  </si>
  <si>
    <t>MAN-RESP-GAB-4712</t>
  </si>
  <si>
    <t>BAS-CAJ-GAB-4147</t>
  </si>
  <si>
    <t>Fondo Cajon</t>
  </si>
  <si>
    <t>FON-CAJ-GAB-4123</t>
  </si>
  <si>
    <t>FON-CAJ-GAB-4110</t>
  </si>
  <si>
    <t>FRE-INF-ALT-GAB-5036</t>
  </si>
  <si>
    <t>FRE-CEN-BAJ-GAB-5018</t>
  </si>
  <si>
    <t>FRE-SUP-BAJ-GAB-5018</t>
  </si>
  <si>
    <t>Gabinete 3 Cajones 600 x 720 x 580 mm</t>
  </si>
  <si>
    <t>MAN-RESP-GAB-5712</t>
  </si>
  <si>
    <t>BAS-CAJ-GAB-5147</t>
  </si>
  <si>
    <t>CON-FRE-CAJ-GAB-5123</t>
  </si>
  <si>
    <t>CON-FRE-CAJ-GAB-5110</t>
  </si>
  <si>
    <t>FRE-INF-ALT-GAB-6036</t>
  </si>
  <si>
    <t>FRE-CEN-BAJ-GAB-6018</t>
  </si>
  <si>
    <t>FRE-SUP-BAJ-GAB-6018</t>
  </si>
  <si>
    <t>Gabinete Nicho 200 x 720 x 580 mm</t>
  </si>
  <si>
    <t>Lateral Derecha</t>
  </si>
  <si>
    <t>LAT-NIC-7258-D</t>
  </si>
  <si>
    <t>LAT-NIC-7258-I</t>
  </si>
  <si>
    <t>RES-NIC-6917</t>
  </si>
  <si>
    <t>PIS-NIC-5817</t>
  </si>
  <si>
    <t>MAN-TEC-FR-NIC-1712</t>
  </si>
  <si>
    <t>MAN-TEC-PO-NIC-1712</t>
  </si>
  <si>
    <t>ENT-NIC-5017</t>
  </si>
  <si>
    <t>Gabinete Nicho Toallero 200 x 720 x 580 mm</t>
  </si>
  <si>
    <t>Accesorio Toallero</t>
  </si>
  <si>
    <t>ACC-TOA</t>
  </si>
  <si>
    <t>Gabinete Tarja 1 Puerta 600 x 720 x 580 mm</t>
  </si>
  <si>
    <t>Gabinete Tarja 2 Puertas 700 x 720 x 580 mm</t>
  </si>
  <si>
    <t>PIS-GAB-8077</t>
  </si>
  <si>
    <t>MAN-TEC-GAB-8077</t>
  </si>
  <si>
    <t>MAN-RESP-GAB-7712</t>
  </si>
  <si>
    <t>Gabinete Tarja 2 Puertas 800 x 720 x 580 mm</t>
  </si>
  <si>
    <t>Gabinete Tarja 2 Puertas 900 x 720 x 580 mm</t>
  </si>
  <si>
    <t>MAN-RESP-GAB-8712</t>
  </si>
  <si>
    <t>Despensa 1 Puerta 400 x 2100 x 580 mm</t>
  </si>
  <si>
    <t>LAT-DES-21058-D</t>
  </si>
  <si>
    <t>LAT-DES-21058-I</t>
  </si>
  <si>
    <t>Respaldo Despensa</t>
  </si>
  <si>
    <t>RES-DES-21040</t>
  </si>
  <si>
    <t>Base Despensa</t>
  </si>
  <si>
    <t>BAS-DES-4058</t>
  </si>
  <si>
    <t>Techo Despensa</t>
  </si>
  <si>
    <t>TEC-DES-4058</t>
  </si>
  <si>
    <t>Entrepano Despensa</t>
  </si>
  <si>
    <t>ENT-DES-4037</t>
  </si>
  <si>
    <t>Puerta Despensa</t>
  </si>
  <si>
    <t>PUE-DES-21040</t>
  </si>
  <si>
    <t>Despensa 1 Puerta 600 x 2100 x 580 mm</t>
  </si>
  <si>
    <t>RES-DES-21060</t>
  </si>
  <si>
    <t>BAS-DES-6058</t>
  </si>
  <si>
    <t>TEC-DES-6058</t>
  </si>
  <si>
    <t>ENT-DES-6057</t>
  </si>
  <si>
    <t>PUE-DES-21060</t>
  </si>
  <si>
    <t>Despensa 2 Puertas 800 x 2100 x 580 mm</t>
  </si>
  <si>
    <t>RES-DES-21080</t>
  </si>
  <si>
    <t>BAS-DES-8077</t>
  </si>
  <si>
    <t>TEC-DES-8077</t>
  </si>
  <si>
    <t>ENT-DES-8077</t>
  </si>
  <si>
    <t>Puerta Der Despensa</t>
  </si>
  <si>
    <t>PUE-DER-DES-21040</t>
  </si>
  <si>
    <t>Puerta Izq Despensa</t>
  </si>
  <si>
    <t>PUE-IZQ-DES-21040</t>
  </si>
  <si>
    <t>Torre Horno y Micro  600 x 2100 x 580 mm</t>
  </si>
  <si>
    <t>RES-DES-6072</t>
  </si>
  <si>
    <t>RES-DES-6056</t>
  </si>
  <si>
    <t>ENT-DES-6055</t>
  </si>
  <si>
    <t>Manguete</t>
  </si>
  <si>
    <t>MAN-DES-6015</t>
  </si>
  <si>
    <t>PUE-GAB-6072</t>
  </si>
  <si>
    <t>Torre Horno y Micro  700 x 2100 x 580 mm</t>
  </si>
  <si>
    <t>Laretal Derecho</t>
  </si>
  <si>
    <t>Larteral Izquierdo</t>
  </si>
  <si>
    <t>RES-DES-7270</t>
  </si>
  <si>
    <t>BAS-DES-7058</t>
  </si>
  <si>
    <t>ENT-DES-7058</t>
  </si>
  <si>
    <t>TEC-DES-7058</t>
  </si>
  <si>
    <t>LAT-DES-7057</t>
  </si>
  <si>
    <t>ENT-DES-7055</t>
  </si>
  <si>
    <t>Pieza</t>
  </si>
  <si>
    <t>MAN-DES-7015</t>
  </si>
  <si>
    <t>PUE-GAB-7235-D</t>
  </si>
  <si>
    <t>PUE-GAB-7235-I</t>
  </si>
  <si>
    <t>PUE-ALA-5735-D</t>
  </si>
  <si>
    <t>PUE-GAB-5735-I</t>
  </si>
  <si>
    <t>Despensa Nicho 400 x 2100 x 610 mm</t>
  </si>
  <si>
    <t>LAT-DES-21059-D</t>
  </si>
  <si>
    <t>Lateral Izquierda</t>
  </si>
  <si>
    <t>LAT-DES-21059-I</t>
  </si>
  <si>
    <t>Panel Alacena 340 x 340 mm</t>
  </si>
  <si>
    <t>Panel Alacena</t>
  </si>
  <si>
    <t>Panel Alacena 680 x 340 mm</t>
  </si>
  <si>
    <t>Panel Gabinete 720 x 610 mm</t>
  </si>
  <si>
    <t>Panel Gabinete</t>
  </si>
  <si>
    <t>Panel Despensa 2100 x 610 mm</t>
  </si>
  <si>
    <t>Panel Despensa</t>
  </si>
  <si>
    <t>Panel Despensa 2100 x 340 mm</t>
  </si>
  <si>
    <t>PAN-DES-21034</t>
  </si>
  <si>
    <t>Zoclo 2400 x 150 mm</t>
  </si>
  <si>
    <t>Zoclo</t>
  </si>
  <si>
    <t>KIT-MIN-15</t>
  </si>
  <si>
    <t>TAQ-MAD-8X30</t>
  </si>
  <si>
    <t>COS-DER-GAB-7259</t>
  </si>
  <si>
    <t>COS-IZQ-GAB-7259</t>
  </si>
  <si>
    <t>PIS-GAB-10597</t>
  </si>
  <si>
    <t>LAT-GAB-7259-D</t>
  </si>
  <si>
    <t>LAT-GAB-7259-I</t>
  </si>
  <si>
    <t>PIS-GAB-3059</t>
  </si>
  <si>
    <t>PIS-GAB-4059</t>
  </si>
  <si>
    <t>PIS-GAB-5059</t>
  </si>
  <si>
    <t>PIS-GAB-6059</t>
  </si>
  <si>
    <t>PIS-GAB-7059</t>
  </si>
  <si>
    <t>PIS-GAB-8059</t>
  </si>
  <si>
    <t>LAT-NIC-7259-D</t>
  </si>
  <si>
    <t>LAT-NIC-7259-I</t>
  </si>
  <si>
    <t>PIS-NIC-5917</t>
  </si>
  <si>
    <t>BAS-DES-4059</t>
  </si>
  <si>
    <t>TEC-DES-4059</t>
  </si>
  <si>
    <t>BAS-DES-6059</t>
  </si>
  <si>
    <t>TEC-DES-6059</t>
  </si>
  <si>
    <t>BAS-DES-7059</t>
  </si>
  <si>
    <t>ENT-DES-7059</t>
  </si>
  <si>
    <t>TEC-DES-7059</t>
  </si>
  <si>
    <t>CONFIGURACIÓN DE COSTOS DE MATERIALES Y HERRAJES</t>
  </si>
  <si>
    <t>Tableros (Costo por M²)</t>
  </si>
  <si>
    <t>Cintillas / Cantos (Costo por ML)</t>
  </si>
  <si>
    <t>Costo por M² (MXN)</t>
  </si>
  <si>
    <t>Descripción / Notas</t>
  </si>
  <si>
    <t>Costo por ML (MXN)</t>
  </si>
  <si>
    <t>Espesor / Tipo</t>
  </si>
  <si>
    <t>Ancho</t>
  </si>
  <si>
    <t>Largo</t>
  </si>
  <si>
    <t>M2</t>
  </si>
  <si>
    <t>Tablero</t>
  </si>
  <si>
    <t>Precio M2</t>
  </si>
  <si>
    <t>Melamina blanca estándar 15/18mm</t>
  </si>
  <si>
    <t>Melamina de diseño texturizado</t>
  </si>
  <si>
    <t>Descripción del Herraje</t>
  </si>
  <si>
    <t>Costo Unitario (MXN)</t>
  </si>
  <si>
    <t>Unidad de Medida</t>
  </si>
  <si>
    <t>Kit Minifixx 15mm</t>
  </si>
  <si>
    <t>Juego</t>
  </si>
  <si>
    <t>Cubiertas (Costo por Metro Lineal)</t>
  </si>
  <si>
    <t>Tipo de Cubierta</t>
  </si>
  <si>
    <t>GRANITO</t>
  </si>
  <si>
    <t>Cubierta de granito natural - precio de prueba</t>
  </si>
  <si>
    <t>Bisagra</t>
  </si>
  <si>
    <t>Par</t>
  </si>
  <si>
    <t>Bisagra Clip</t>
  </si>
  <si>
    <t>Bisagra Eko Line</t>
  </si>
  <si>
    <t>Bisagra Eko Line Cierre Lento</t>
  </si>
  <si>
    <t>Jaladera Tubular 128mm</t>
  </si>
  <si>
    <t>Corredera Telescópica 500mm CS</t>
  </si>
  <si>
    <t>taquete par abisagra</t>
  </si>
  <si>
    <t>RESUMEN Y COTIZACIÓN COMPARATIVA</t>
  </si>
  <si>
    <t>Compara el mismo proyecto en muebles interiores blancos y totalmente maderados; los precios pendientes quedan bloqueados.</t>
  </si>
  <si>
    <t>Proyecto:</t>
  </si>
  <si>
    <t>Mobiliario Completo (Exportado desde SketchUp)</t>
  </si>
  <si>
    <t>Fecha:</t>
  </si>
  <si>
    <t>Moneda:</t>
  </si>
  <si>
    <t>MXN ($)</t>
  </si>
  <si>
    <t>Cliente:</t>
  </si>
  <si>
    <t>Público General / Cotización Proyecto</t>
  </si>
  <si>
    <t>CANTIDAD TOTAL</t>
  </si>
  <si>
    <t>MUEBLES BLANCO</t>
  </si>
  <si>
    <t>MUEBLES MADERADO</t>
  </si>
  <si>
    <t>CUBIERTA</t>
  </si>
  <si>
    <t>FINAL BLANCO</t>
  </si>
  <si>
    <t>FINAL MADERADO</t>
  </si>
  <si>
    <t>DIFERENCIA</t>
  </si>
  <si>
    <t>Unidades cotizadas</t>
  </si>
  <si>
    <t>Venta de muebles</t>
  </si>
  <si>
    <t>Venta conocida</t>
  </si>
  <si>
    <t>Muebles + cubierta + IVA</t>
  </si>
  <si>
    <t>Se habilita sin alertas</t>
  </si>
  <si>
    <t>Maderado − blanco</t>
  </si>
  <si>
    <t>COTIZADOR COMPARATIVO DE MUEBLES</t>
  </si>
  <si>
    <t>ESTRUCTURA DE VENTA</t>
  </si>
  <si>
    <t>Edita Cantidad y los campos amarillos. BLA y MAD se recalculan en paralelo; Estado MAD advierte módulos con costos incompletos.</t>
  </si>
  <si>
    <t>Costo BLA</t>
  </si>
  <si>
    <t>Precio BLA</t>
  </si>
  <si>
    <t>Total BLA</t>
  </si>
  <si>
    <t>Costo MAD</t>
  </si>
  <si>
    <t>Precio MAD</t>
  </si>
  <si>
    <t>Total MAD</t>
  </si>
  <si>
    <t>Estado MAD</t>
  </si>
  <si>
    <t>Concepto</t>
  </si>
  <si>
    <t>Blanco</t>
  </si>
  <si>
    <t>Maderado</t>
  </si>
  <si>
    <t>Nota</t>
  </si>
  <si>
    <t>Costo directo</t>
  </si>
  <si>
    <t>Antes de margen y mano de obra</t>
  </si>
  <si>
    <t>Factor de venta</t>
  </si>
  <si>
    <t>Común para ambos acabados</t>
  </si>
  <si>
    <t>Mano de obra / unidad</t>
  </si>
  <si>
    <t>PRESUPUESTO TOTAL</t>
  </si>
  <si>
    <t>Muebles</t>
  </si>
  <si>
    <t>IVA (16%)</t>
  </si>
  <si>
    <t>GRAN TOTAL</t>
  </si>
  <si>
    <t>Diferencia MAD vs BLA</t>
  </si>
  <si>
    <t>Disponible con costos completos</t>
  </si>
  <si>
    <t>TOTAL BLA</t>
  </si>
  <si>
    <t>TOTAL MAD</t>
  </si>
  <si>
    <t>Validación</t>
  </si>
  <si>
    <t>Detalle de alerta</t>
  </si>
  <si>
    <t>Alerta</t>
  </si>
  <si>
    <t>Entrepaño Alacena</t>
  </si>
  <si>
    <t>Ajuste Superior</t>
  </si>
  <si>
    <t>Taquetes de Madera 8x30mm</t>
  </si>
  <si>
    <t>Puerta Derecha Alacena</t>
  </si>
  <si>
    <t>Puerta Izquierda Alacena</t>
  </si>
  <si>
    <t>Lateral Derecho Nicho</t>
  </si>
  <si>
    <t>Lateral Izquierdo Nicho</t>
  </si>
  <si>
    <t>Respaldo Nicho</t>
  </si>
  <si>
    <t>Base Nicho</t>
  </si>
  <si>
    <t>Techo Nicho</t>
  </si>
  <si>
    <t>Entrepaño Nicho</t>
  </si>
  <si>
    <t>Manguete de Techo Frontal</t>
  </si>
  <si>
    <t>Manguete de Techo Posterior</t>
  </si>
  <si>
    <t>Entrepaño Gabinete</t>
  </si>
  <si>
    <t>Puerta Derecha Gabinete</t>
  </si>
  <si>
    <t>Ajuste Rinconero 1</t>
  </si>
  <si>
    <t>Ajuste Rinconero 2</t>
  </si>
  <si>
    <t>Puerta Izquierda Gabinete</t>
  </si>
  <si>
    <t>Lateral Cajón</t>
  </si>
  <si>
    <t>Base Cajón</t>
  </si>
  <si>
    <t>Contra Frente Cajón</t>
  </si>
  <si>
    <t>Fondo Cajón</t>
  </si>
  <si>
    <t>Entrepaño Despensa</t>
  </si>
  <si>
    <t>Puerta Derecha Despensa</t>
  </si>
  <si>
    <t>Puerta Izquierda Despensa</t>
  </si>
  <si>
    <t>Lateral Interior Despensa</t>
  </si>
  <si>
    <t>Manguete Despensa</t>
  </si>
  <si>
    <t>Herrajes y Accesorios ACTIVOS (usados en cálculo)</t>
  </si>
  <si>
    <t>Herrajes y Accesorios Cerrajes (referencia; no usados en cálculo)</t>
  </si>
  <si>
    <t>Herrajes y Accesorios Herraxa (referencia; no usados en cálculo)</t>
  </si>
  <si>
    <t>AUDITORÍA DE COSTOS Y CONSISTENCIA</t>
  </si>
  <si>
    <t>Controles para detectar módulos desconectados, filas sin precio y cotizaciones que no deben liberarse.</t>
  </si>
  <si>
    <t>Control</t>
  </si>
  <si>
    <t>Valor</t>
  </si>
  <si>
    <t>Interpretación</t>
  </si>
  <si>
    <t>Alertas en despiece Blanco</t>
  </si>
  <si>
    <t>Debe permanecer en 0</t>
  </si>
  <si>
    <t>Alertas en despiece Maderado</t>
  </si>
  <si>
    <t>Actualmente corresponden al taquete sin precio</t>
  </si>
  <si>
    <t>Entradas activas de precio vacías o en cero</t>
  </si>
  <si>
    <t>Revise Configuración Costos</t>
  </si>
  <si>
    <t>Cotización maderada bloqueada</t>
  </si>
  <si>
    <t>1 = bloqueada; 0 = lista</t>
  </si>
  <si>
    <t>ESTADO GENERAL</t>
  </si>
  <si>
    <t>IMPACTO DEL PRECIO PENDIENTE</t>
  </si>
  <si>
    <t>Taquetes requeridos en la selección actual</t>
  </si>
  <si>
    <t>Cantidad calculada dinámicamente desde los despieces maderados.</t>
  </si>
  <si>
    <t>Costo directo agregado por cada $1.00 de taquete</t>
  </si>
  <si>
    <t>Ejemplo de sensibilidad; no es el costo real hasta capturar el precio unitario.</t>
  </si>
  <si>
    <t>Venta agregada antes de IVA por cada $1.00</t>
  </si>
  <si>
    <t>Usa el factor de venta editable de Resumen y Cotización.</t>
  </si>
  <si>
    <t>Impacto final con IVA por cada $1.00</t>
  </si>
  <si>
    <t>Muestra cuánto cambia el gran total por cada peso de costo unitario del taquete.</t>
  </si>
  <si>
    <t>CORRECCIONES Y HALLAZGOS</t>
  </si>
  <si>
    <t>#</t>
  </si>
  <si>
    <t>Hallazgo</t>
  </si>
  <si>
    <t>Estado</t>
  </si>
  <si>
    <t>Corrección aplicada</t>
  </si>
  <si>
    <t>Impacto</t>
  </si>
  <si>
    <t>Dato</t>
  </si>
  <si>
    <t>Responsable</t>
  </si>
  <si>
    <t>IDs maderados con sufijo 59 aunque el mueble es de 580 mm</t>
  </si>
  <si>
    <t>CORREGIDO</t>
  </si>
  <si>
    <t>Se homologaron con los IDs canónicos de Blanco</t>
  </si>
  <si>
    <t>La comparación ya encuentra el mismo módulo</t>
  </si>
  <si>
    <t>23 módulos</t>
  </si>
  <si>
    <t>Automático</t>
  </si>
  <si>
    <t>No se cambió la geometría, solo la identidad de carga.</t>
  </si>
  <si>
    <t>Alacena de microondas reutilizaba el ID del nicho abierto</t>
  </si>
  <si>
    <t>Se asignó ALA-MIC-603432</t>
  </si>
  <si>
    <t>Elimina duplicidad y costo perdido</t>
  </si>
  <si>
    <t>1 módulo</t>
  </si>
  <si>
    <t>Ahora existe una identidad única.</t>
  </si>
  <si>
    <t>Nombres de 4 tipos de herraje no coincidían con Configuración</t>
  </si>
  <si>
    <t>Se normalizaron jaladera, pata, pistón y corredera</t>
  </si>
  <si>
    <t>Recupera costos directos omitidos</t>
  </si>
  <si>
    <t>$3,480.00</t>
  </si>
  <si>
    <t>Antes se convertían silenciosamente en $0.</t>
  </si>
  <si>
    <t>Descripciones dimensionales no coincidían con sus IDs</t>
  </si>
  <si>
    <t>Se tomaron las descripciones canónicas del despiece Blanco</t>
  </si>
  <si>
    <t>Evita seleccionar o cotizar el mueble equivocado</t>
  </si>
  <si>
    <t>3 muebles</t>
  </si>
  <si>
    <t>270 mm, 700 mm y Despensa Nicho 400×2100×610.</t>
  </si>
  <si>
    <t>Taquetes de Madera 8x30mm sin precio activo</t>
  </si>
  <si>
    <t>Se agregó el artículo a Configuración B20 y se bloqueó el final MAD</t>
  </si>
  <si>
    <t>Evita liberar una cotización subvaluada</t>
  </si>
  <si>
    <t>898 unidades</t>
  </si>
  <si>
    <t>Usuario</t>
  </si>
  <si>
    <t>Capture el costo real; no se inventó un precio.</t>
  </si>
  <si>
    <t>PAN-DES-21034 existe en ambos despieces pero no en el cotizador</t>
  </si>
  <si>
    <t>1 módulo extra</t>
  </si>
  <si>
    <t>Tablas de proveedores Cerrajes y Herraxa parecen listas activas</t>
  </si>
  <si>
    <t>ACLARADO</t>
  </si>
  <si>
    <t>Se etiquetaron como referencia; el cálculo usa A11:B20</t>
  </si>
  <si>
    <t>Reduce cambios de precio en una tabla que no alimenta fórmulas</t>
  </si>
  <si>
    <t>2 secciones</t>
  </si>
  <si>
    <t>Puede diseñarse un selector de proveedor más adelante.</t>
  </si>
  <si>
    <t>Los precios faltantes quedaban ocultos como cero</t>
  </si>
  <si>
    <t>Se reconstruyeron fórmulas y añadieron Validación, Detalle y Alerta</t>
  </si>
  <si>
    <t>Bloqueo y diagnóstico fila por fila</t>
  </si>
  <si>
    <t>2 despieces</t>
  </si>
  <si>
    <t>El gran total MAD se habilita al llegar a 0 alertas.</t>
  </si>
  <si>
    <t>Filas BLA</t>
  </si>
  <si>
    <t>Filas MAD</t>
  </si>
  <si>
    <t>Alertas MAD</t>
  </si>
  <si>
    <t>Cotizado</t>
  </si>
  <si>
    <t>Observación</t>
  </si>
  <si>
    <t>Precio Unit. Blanco</t>
  </si>
  <si>
    <t>Precio Unit. Maderado</t>
  </si>
  <si>
    <t>MELAMINA</t>
  </si>
  <si>
    <t>COTIZADOR DE CUBIERTAS POR MÓDULO</t>
  </si>
  <si>
    <t>Tipo de cubierta</t>
  </si>
  <si>
    <t>Módulos aplicables</t>
  </si>
  <si>
    <t>Costo por ML</t>
  </si>
  <si>
    <t>Aplica</t>
  </si>
  <si>
    <t>Venta cubierta</t>
  </si>
  <si>
    <t>Tableros Costo por Hoja</t>
  </si>
  <si>
    <t>SIN CUBIERTA</t>
  </si>
  <si>
    <t>Opción predeterminada; no agrega costo al mueble</t>
  </si>
  <si>
    <t>Multiplicador</t>
  </si>
  <si>
    <t>Ancho (m)</t>
  </si>
  <si>
    <t>Costo cubierta</t>
  </si>
  <si>
    <t>Precio cubierta</t>
  </si>
  <si>
    <t>Mismo concepto que el factor de muebles</t>
  </si>
  <si>
    <t>Venta seleccionada</t>
  </si>
  <si>
    <t>Costo seleccionado</t>
  </si>
  <si>
    <t>Seleccionar aquí para toda la cotización</t>
  </si>
  <si>
    <t>LAMINA MERINO</t>
  </si>
  <si>
    <t>Blanco Hidrófugo + Lámina Merino; 0.60 m² de cada material por ML</t>
  </si>
  <si>
    <t>Canto PVC 1mm Maderado</t>
  </si>
  <si>
    <t>Canto PVC 1mm Blanco</t>
  </si>
  <si>
    <t>Precio ML</t>
  </si>
  <si>
    <t>combinado</t>
  </si>
  <si>
    <t>CUBIERTA LAMINADO</t>
  </si>
  <si>
    <t xml:space="preserve"> </t>
  </si>
  <si>
    <t>CUBIERTAS MELAMINA</t>
  </si>
  <si>
    <t>Canto PVC para Cubiertas</t>
  </si>
  <si>
    <t>ARAUCO BLANCO MDF 15mm</t>
  </si>
  <si>
    <t>VESTO NOUGAT MDF 15mm</t>
  </si>
  <si>
    <t>BLANCO HIDROFUGO 16mm</t>
  </si>
  <si>
    <t>Calcula cubiertas para gabinetes bajos y tarjas; el largo total seleccionado se cobra en múltiplos de 1.20 m × 0.60 m.</t>
  </si>
  <si>
    <t>Largo real seleccionado</t>
  </si>
  <si>
    <t>Largo cobrable</t>
  </si>
  <si>
    <t>Excluye cubiertas</t>
  </si>
  <si>
    <t>CUBIERTA SEPARADA</t>
  </si>
  <si>
    <t>Costo según largo total redondeado a múltiplos de 1.20 m</t>
  </si>
  <si>
    <t>Partida independiente; no incluida en precios unitarios de muebles</t>
  </si>
  <si>
    <t>Solo mobiliario; excluye cubierta</t>
  </si>
  <si>
    <t>Cubierta</t>
  </si>
  <si>
    <t>Cobro separado por largo total de cocina</t>
  </si>
  <si>
    <t>16% sobre muebles y cubierta</t>
  </si>
  <si>
    <t>Suma de muebles, cubierta e IVA</t>
  </si>
  <si>
    <t>Partida separada del mobiliario</t>
  </si>
  <si>
    <t>PRESUPUESTO TOTAL DISTRIBUIDOR</t>
  </si>
  <si>
    <t>35% de descuento sobre muebles</t>
  </si>
  <si>
    <t>35% de descuento sobre cubierta</t>
  </si>
  <si>
    <t>16% sobre muebles y cubierta con descuento</t>
  </si>
  <si>
    <t>GRAN TOTAL DISTRIBUIDOR</t>
  </si>
  <si>
    <t>Total distribuidor con IVA</t>
  </si>
  <si>
    <t>NEGRO SAN GABRIEL POLIDO = 3 piezas de 2m</t>
  </si>
  <si>
    <t>12400 pesos la hoja</t>
  </si>
  <si>
    <t>1500 pesos por metro de pilido y corte</t>
  </si>
  <si>
    <t>Alacena Basculante 500 x 340 x 320 mm</t>
  </si>
  <si>
    <t>ALA-BAS-503432</t>
  </si>
  <si>
    <t>RES-ALA-3450</t>
  </si>
  <si>
    <t>PUE-ALA-5034</t>
  </si>
  <si>
    <t>Alacena Nicho Microondas 500 x 340 x 320 mm</t>
  </si>
  <si>
    <t>ALA-MIC-503432</t>
  </si>
  <si>
    <t>RES-NIC-3450</t>
  </si>
  <si>
    <t>BAS-NIC-5040</t>
  </si>
  <si>
    <t>TEC-NIC-5034</t>
  </si>
  <si>
    <t>Torre Horno y Micro c/Cajones  700 x 2100 x 580 mm</t>
  </si>
  <si>
    <t>DES-HOR-3CA-7021058</t>
  </si>
  <si>
    <t>Torre Horno y Micro c/Cajones  600 x 2100 x 580 mm</t>
  </si>
  <si>
    <t>DES-HOR-3CA-6021058</t>
  </si>
  <si>
    <t>ENT-DES-6059</t>
  </si>
  <si>
    <t>LAT-DES-6057</t>
  </si>
  <si>
    <t>PUE-ALA-5760</t>
  </si>
  <si>
    <t>Se agregó PAN-DES-21034 a MUEBLES, Resumen y al cruce de auditoría</t>
  </si>
  <si>
    <t>Integrado en el orden canónico.</t>
  </si>
  <si>
    <t>Cobertura actualizada: los 46 IDs están en ambos despieces, MUEBLES y Resumen y Cotización, en el mismo orden.</t>
  </si>
  <si>
    <t>NO</t>
  </si>
  <si>
    <t>Gabinete 1 Cajon 600 x 360 x 580 mm</t>
  </si>
  <si>
    <t>Gabinete Nicho Microondas 600 x 360 x 580 mm</t>
  </si>
  <si>
    <t>GAB-MIC-603658</t>
  </si>
  <si>
    <t>LAT-NIC-3658-D</t>
  </si>
  <si>
    <t>LAT-NIC-3658-I</t>
  </si>
  <si>
    <t>RES-NIC-3357</t>
  </si>
  <si>
    <t>BAS-NIC-5758</t>
  </si>
  <si>
    <t>TEC-NIC-5758</t>
  </si>
  <si>
    <t/>
  </si>
  <si>
    <t>GAB-1CA-603658</t>
  </si>
  <si>
    <t>LAT-GAB-3658-D</t>
  </si>
  <si>
    <t>LAT-GAB-3658-I</t>
  </si>
  <si>
    <t>MAN-TEC-GAB-5712</t>
  </si>
  <si>
    <t>PIS-GAB-5758</t>
  </si>
  <si>
    <t>Frente Cajon</t>
  </si>
  <si>
    <t>FRE-CAJ-GAB-6036</t>
  </si>
  <si>
    <t>Los 48 módulos ya están presentes en las cuatro listas</t>
  </si>
  <si>
    <t>CRUCE DE LOS 48 MÓDULOS COTIZADOS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</si>
</sst>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\$#,##0.00"/>
    <numFmt numFmtId="165" formatCode="&quot;$&quot;#,##0.00"/>
    <numFmt numFmtId="166" formatCode="0.000"/>
    <numFmt numFmtId="167" formatCode="dd/mm/yyyy"/>
    <numFmt numFmtId="168" formatCode="0.00\ &quot;m&quot;"/>
  </numFmts>
  <fonts count="46" x14ac:knownFonts="1">
    <font>
      <sz val="11"/>
      <color theme="1"/>
      <name val="Calibri"/>
    </font>
    <font>
      <b/>
      <sz val="16"/>
      <color rgb="FF2F3542"/>
      <name val="Arial"/>
      <family val="2"/>
    </font>
    <font>
      <b/>
      <sz val="12"/>
      <color rgb="FF2F3542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8"/>
      <color rgb="FFFFFFFF"/>
      <name val="Calibri"/>
      <family val="2"/>
    </font>
    <font>
      <b/>
      <sz val="11"/>
      <color rgb="FF17365D"/>
      <name val="Calibri"/>
      <family val="2"/>
    </font>
    <font>
      <sz val="9"/>
      <color rgb="FF666666"/>
      <name val="Calibri"/>
      <family val="2"/>
    </font>
    <font>
      <b/>
      <sz val="10"/>
      <color rgb="FFFFFFFF"/>
      <name val="Aptos"/>
    </font>
    <font>
      <b/>
      <sz val="10"/>
      <color rgb="FF2F3542"/>
      <name val="Aptos"/>
    </font>
    <font>
      <sz val="10"/>
      <color rgb="FF000000"/>
      <name val="Aptos"/>
    </font>
    <font>
      <b/>
      <sz val="11"/>
      <color rgb="FFFFFFFF"/>
      <name val="Aptos"/>
    </font>
    <font>
      <b/>
      <sz val="10"/>
      <color rgb="FF17365D"/>
      <name val="Aptos"/>
    </font>
    <font>
      <sz val="11"/>
      <color theme="1"/>
      <name val="Calibri"/>
      <family val="2"/>
    </font>
    <font>
      <b/>
      <sz val="10"/>
      <color rgb="FF222222"/>
      <name val="Calibri"/>
      <family val="2"/>
    </font>
    <font>
      <sz val="10"/>
      <color rgb="FF222222"/>
      <name val="Calibri"/>
      <family val="2"/>
    </font>
    <font>
      <i/>
      <sz val="10"/>
      <color rgb="FF222222"/>
      <name val="Calibri"/>
      <family val="2"/>
    </font>
    <font>
      <i/>
      <sz val="10"/>
      <color rgb="FF666666"/>
      <name val="Calibri"/>
      <family val="2"/>
    </font>
    <font>
      <b/>
      <sz val="10"/>
      <color rgb="FF17365D"/>
      <name val="Calibri"/>
      <family val="2"/>
    </font>
    <font>
      <b/>
      <sz val="10"/>
      <color rgb="FF548235"/>
      <name val="Calibri"/>
      <family val="2"/>
    </font>
    <font>
      <b/>
      <sz val="10"/>
      <color rgb="FF806000"/>
      <name val="Calibri"/>
      <family val="2"/>
    </font>
    <font>
      <b/>
      <sz val="14"/>
      <color rgb="FF17365D"/>
      <name val="Calibri"/>
      <family val="2"/>
    </font>
    <font>
      <b/>
      <sz val="14"/>
      <color rgb="FF548235"/>
      <name val="Calibri"/>
      <family val="2"/>
    </font>
    <font>
      <b/>
      <sz val="14"/>
      <color rgb="FF806000"/>
      <name val="Calibri"/>
      <family val="2"/>
    </font>
    <font>
      <sz val="8"/>
      <color rgb="FF666666"/>
      <name val="Calibri"/>
      <family val="2"/>
    </font>
    <font>
      <i/>
      <sz val="9"/>
      <color rgb="FF666666"/>
      <name val="Calibri"/>
      <family val="2"/>
    </font>
    <font>
      <b/>
      <sz val="10"/>
      <color rgb="FFC00000"/>
      <name val="Calibri"/>
      <family val="2"/>
    </font>
    <font>
      <b/>
      <sz val="10"/>
      <color rgb="FFFFFFFF"/>
      <name val="Calibri"/>
      <family val="2"/>
    </font>
    <font>
      <b/>
      <sz val="9"/>
      <color rgb="FF222222"/>
      <name val="Calibri"/>
      <family val="2"/>
    </font>
    <font>
      <b/>
      <sz val="10"/>
      <color rgb="FF333333"/>
      <name val="Calibri"/>
      <family val="2"/>
    </font>
    <font>
      <b/>
      <sz val="8"/>
      <color rgb="FFFFFFFF"/>
      <name val="Calibri"/>
      <family val="2"/>
    </font>
    <font>
      <b/>
      <sz val="8"/>
      <color rgb="FF17365D"/>
      <name val="Calibri"/>
      <family val="2"/>
    </font>
    <font>
      <b/>
      <sz val="11"/>
      <color rgb="FF17365D"/>
      <name val="Arial"/>
      <family val="2"/>
    </font>
    <font>
      <b/>
      <sz val="10"/>
      <color rgb="FF17365D"/>
      <name val="Arial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b/>
      <sz val="9"/>
      <color rgb="FF17365D"/>
      <name val="Calibri"/>
      <family val="2"/>
    </font>
    <font>
      <b/>
      <sz val="12"/>
      <color rgb="FFC00000"/>
      <name val="Calibri"/>
      <family val="2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9"/>
      <color rgb="FF222222"/>
      <name val="Calibri"/>
      <family val="2"/>
    </font>
    <font>
      <b/>
      <sz val="16"/>
      <color rgb="FF222222"/>
      <name val="Calibri"/>
      <family val="2"/>
    </font>
    <font>
      <sz val="11"/>
      <color rgb="FF7F6000"/>
      <name val="Calibri"/>
      <family val="2"/>
    </font>
    <font>
      <i/>
      <sz val="11"/>
      <color rgb="FF666666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2F3542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D6DCE5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806000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54">
    <border>
      <left/>
      <right/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ck">
        <color rgb="FF0F243E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/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ck">
        <color rgb="FF5B9BD5"/>
      </top>
      <bottom style="thin">
        <color rgb="FF9EADCC"/>
      </bottom>
      <diagonal/>
    </border>
    <border>
      <left style="thin">
        <color rgb="FFCED6E0"/>
      </left>
      <right style="thin">
        <color rgb="FFCED6E0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D9E2F3"/>
      </right>
      <top/>
      <bottom style="thin">
        <color rgb="FFFFFFFF"/>
      </bottom>
      <diagonal/>
    </border>
    <border>
      <left/>
      <right/>
      <top style="thick">
        <color rgb="FF0F243E"/>
      </top>
      <bottom style="thin">
        <color rgb="FFFFFFFF"/>
      </bottom>
      <diagonal/>
    </border>
    <border>
      <left/>
      <right style="thin">
        <color rgb="FFD9E2F3"/>
      </right>
      <top style="thick">
        <color rgb="FF0F243E"/>
      </top>
      <bottom style="thin">
        <color rgb="FFFFFFFF"/>
      </bottom>
      <diagonal/>
    </border>
    <border>
      <left style="thin">
        <color rgb="FFD9E2F3"/>
      </left>
      <right/>
      <top style="thin">
        <color rgb="FF9EADCC"/>
      </top>
      <bottom/>
      <diagonal/>
    </border>
    <border>
      <left/>
      <right/>
      <top style="thin">
        <color rgb="FF9EADCC"/>
      </top>
      <bottom/>
      <diagonal/>
    </border>
    <border>
      <left/>
      <right style="thin">
        <color rgb="FFD9E2F3"/>
      </right>
      <top style="thin">
        <color rgb="FF9EADCC"/>
      </top>
      <bottom/>
      <diagonal/>
    </border>
    <border>
      <left/>
      <right/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7C9E2"/>
      </left>
      <right/>
      <top style="thin">
        <color rgb="FFB7C9E2"/>
      </top>
      <bottom style="thin">
        <color rgb="FFB7C9E2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 style="thin">
        <color rgb="FFB7C9E2"/>
      </left>
      <right/>
      <top style="thin">
        <color rgb="FFB7C9E2"/>
      </top>
      <bottom/>
      <diagonal/>
    </border>
    <border>
      <left/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/>
      <top/>
      <bottom/>
      <diagonal/>
    </border>
    <border>
      <left/>
      <right style="thin">
        <color rgb="FFB7C9E2"/>
      </right>
      <top/>
      <bottom/>
      <diagonal/>
    </border>
    <border>
      <left style="thin">
        <color rgb="FFB7C9E2"/>
      </left>
      <right/>
      <top/>
      <bottom style="thin">
        <color rgb="FFB7C9E2"/>
      </bottom>
      <diagonal/>
    </border>
    <border>
      <left/>
      <right style="thin">
        <color rgb="FFB7C9E2"/>
      </right>
      <top/>
      <bottom style="thin">
        <color rgb="FFB7C9E2"/>
      </bottom>
      <diagonal/>
    </border>
    <border>
      <left style="thin">
        <color rgb="FFB7C9E2"/>
      </left>
      <right/>
      <top/>
      <bottom style="thin">
        <color rgb="FFB7C9E2"/>
      </bottom>
      <diagonal/>
    </border>
    <border>
      <left/>
      <right style="thin">
        <color rgb="FFB7C9E2"/>
      </right>
      <top/>
      <bottom style="thin">
        <color rgb="FFB7C9E2"/>
      </bottom>
      <diagonal/>
    </border>
    <border>
      <left style="thin">
        <color rgb="FFB7C9E2"/>
      </left>
      <right style="thin">
        <color auto="1"/>
      </right>
      <top style="thin">
        <color rgb="FFB7C9E2"/>
      </top>
      <bottom/>
      <diagonal/>
    </border>
    <border>
      <left style="thin">
        <color auto="1"/>
      </left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 style="thin">
        <color auto="1"/>
      </right>
      <top/>
      <bottom/>
      <diagonal/>
    </border>
    <border>
      <left style="thin">
        <color auto="1"/>
      </left>
      <right style="thin">
        <color rgb="FFB7C9E2"/>
      </right>
      <top/>
      <bottom/>
      <diagonal/>
    </border>
    <border>
      <left style="thin">
        <color rgb="FFB7C9E2"/>
      </left>
      <right style="thin">
        <color auto="1"/>
      </right>
      <top/>
      <bottom style="thin">
        <color rgb="FFB7C9E2"/>
      </bottom>
      <diagonal/>
    </border>
    <border>
      <left style="thin">
        <color auto="1"/>
      </left>
      <right style="thin">
        <color rgb="FFB7C9E2"/>
      </right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 style="thin">
        <color rgb="FFB7C9E2"/>
      </right>
      <top/>
      <bottom/>
      <diagonal/>
    </border>
    <border>
      <left style="thin">
        <color rgb="FFB7C9E2"/>
      </left>
      <right style="thin">
        <color rgb="FFB7C9E2"/>
      </right>
      <top/>
      <bottom style="thin">
        <color rgb="FFB7C9E2"/>
      </bottom>
      <diagonal/>
    </border>
    <border>
      <left/>
      <right/>
      <top style="thin">
        <color rgb="FFB7C9E2"/>
      </top>
      <bottom/>
      <diagonal/>
    </border>
    <border>
      <left/>
      <right/>
      <top style="thin">
        <color rgb="FFB7C9E2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7C9E2"/>
      </top>
      <bottom style="thin">
        <color rgb="FFD9E2F3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D9E2F3"/>
      </bottom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 style="thin">
        <color rgb="FF9EADCC"/>
      </top>
      <bottom style="thin">
        <color rgb="FFFFFFFF"/>
      </bottom>
      <diagonal/>
    </border>
    <border>
      <left/>
      <right/>
      <top style="thin">
        <color rgb="FF9EADCC"/>
      </top>
      <bottom style="thin">
        <color rgb="FFFFFFFF"/>
      </bottom>
      <diagonal/>
    </border>
    <border>
      <left/>
      <right style="thin">
        <color rgb="FFB7C9E2"/>
      </right>
      <top style="thin">
        <color rgb="FF9EADCC"/>
      </top>
      <bottom style="thin">
        <color rgb="FFFFFFFF"/>
      </bottom>
      <diagonal/>
    </border>
  </borders>
  <cellStyleXfs count="2">
    <xf numFmtId="0" fontId="0" fillId="0" borderId="0"/>
    <xf numFmtId="44" fontId="15" fillId="0" borderId="0"/>
  </cellStyleXfs>
  <cellXfs count="28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1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66" fontId="12" fillId="0" borderId="4" xfId="0" applyNumberFormat="1" applyFont="1" applyBorder="1" applyAlignment="1">
      <alignment horizontal="right" vertical="center"/>
    </xf>
    <xf numFmtId="2" fontId="12" fillId="0" borderId="4" xfId="0" applyNumberFormat="1" applyFont="1" applyBorder="1" applyAlignment="1">
      <alignment horizontal="right" vertical="center"/>
    </xf>
    <xf numFmtId="165" fontId="12" fillId="0" borderId="4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1" fontId="12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166" fontId="12" fillId="0" borderId="6" xfId="0" applyNumberFormat="1" applyFont="1" applyBorder="1" applyAlignment="1">
      <alignment horizontal="right" vertical="center"/>
    </xf>
    <xf numFmtId="2" fontId="12" fillId="0" borderId="6" xfId="0" applyNumberFormat="1" applyFont="1" applyBorder="1" applyAlignment="1">
      <alignment horizontal="right" vertical="center"/>
    </xf>
    <xf numFmtId="165" fontId="12" fillId="0" borderId="6" xfId="0" applyNumberFormat="1" applyFont="1" applyBorder="1" applyAlignment="1">
      <alignment horizontal="right" vertical="center"/>
    </xf>
    <xf numFmtId="3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right" vertical="center"/>
    </xf>
    <xf numFmtId="2" fontId="12" fillId="0" borderId="5" xfId="0" applyNumberFormat="1" applyFont="1" applyBorder="1" applyAlignment="1">
      <alignment horizontal="right" vertical="center"/>
    </xf>
    <xf numFmtId="165" fontId="12" fillId="0" borderId="5" xfId="0" applyNumberFormat="1" applyFont="1" applyBorder="1" applyAlignment="1">
      <alignment horizontal="right" vertical="center"/>
    </xf>
    <xf numFmtId="3" fontId="14" fillId="7" borderId="9" xfId="0" applyNumberFormat="1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left" vertical="center" wrapText="1"/>
    </xf>
    <xf numFmtId="1" fontId="14" fillId="7" borderId="9" xfId="0" applyNumberFormat="1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left" vertical="center"/>
    </xf>
    <xf numFmtId="166" fontId="14" fillId="7" borderId="9" xfId="0" applyNumberFormat="1" applyFont="1" applyFill="1" applyBorder="1" applyAlignment="1">
      <alignment horizontal="right" vertical="center"/>
    </xf>
    <xf numFmtId="2" fontId="14" fillId="7" borderId="9" xfId="0" applyNumberFormat="1" applyFont="1" applyFill="1" applyBorder="1" applyAlignment="1">
      <alignment horizontal="right" vertical="center"/>
    </xf>
    <xf numFmtId="165" fontId="14" fillId="7" borderId="9" xfId="0" applyNumberFormat="1" applyFont="1" applyFill="1" applyBorder="1" applyAlignment="1">
      <alignment horizontal="right" vertical="center"/>
    </xf>
    <xf numFmtId="3" fontId="12" fillId="4" borderId="6" xfId="0" applyNumberFormat="1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165" fontId="12" fillId="6" borderId="6" xfId="0" applyNumberFormat="1" applyFont="1" applyFill="1" applyBorder="1" applyAlignment="1">
      <alignment horizontal="right" vertical="center"/>
    </xf>
    <xf numFmtId="165" fontId="12" fillId="6" borderId="4" xfId="0" applyNumberFormat="1" applyFont="1" applyFill="1" applyBorder="1" applyAlignment="1">
      <alignment horizontal="right" vertical="center"/>
    </xf>
    <xf numFmtId="165" fontId="12" fillId="6" borderId="5" xfId="0" applyNumberFormat="1" applyFont="1" applyFill="1" applyBorder="1" applyAlignment="1">
      <alignment horizontal="right" vertical="center"/>
    </xf>
    <xf numFmtId="44" fontId="3" fillId="2" borderId="0" xfId="1" applyFont="1" applyFill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0" fillId="3" borderId="3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4" fillId="7" borderId="9" xfId="0" applyNumberFormat="1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right" vertical="center"/>
    </xf>
    <xf numFmtId="0" fontId="6" fillId="9" borderId="0" xfId="0" applyFont="1" applyFill="1"/>
    <xf numFmtId="1" fontId="1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10" borderId="18" xfId="0" applyFont="1" applyFill="1" applyBorder="1" applyAlignment="1">
      <alignment vertical="center"/>
    </xf>
    <xf numFmtId="0" fontId="17" fillId="10" borderId="20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left" vertical="center"/>
    </xf>
    <xf numFmtId="0" fontId="29" fillId="19" borderId="20" xfId="0" applyFont="1" applyFill="1" applyBorder="1" applyAlignment="1">
      <alignment horizontal="center" vertical="center"/>
    </xf>
    <xf numFmtId="0" fontId="29" fillId="11" borderId="20" xfId="0" applyFont="1" applyFill="1" applyBorder="1" applyAlignment="1">
      <alignment horizontal="center" vertical="center"/>
    </xf>
    <xf numFmtId="0" fontId="29" fillId="20" borderId="24" xfId="0" applyFont="1" applyFill="1" applyBorder="1" applyAlignment="1">
      <alignment horizontal="center" vertical="center"/>
    </xf>
    <xf numFmtId="0" fontId="29" fillId="21" borderId="23" xfId="0" applyFont="1" applyFill="1" applyBorder="1" applyAlignment="1">
      <alignment horizontal="center" vertical="center"/>
    </xf>
    <xf numFmtId="0" fontId="29" fillId="21" borderId="24" xfId="0" applyFont="1" applyFill="1" applyBorder="1" applyAlignment="1">
      <alignment horizontal="center" vertical="center"/>
    </xf>
    <xf numFmtId="0" fontId="29" fillId="21" borderId="25" xfId="0" applyFont="1" applyFill="1" applyBorder="1" applyAlignment="1">
      <alignment horizontal="center" vertical="center"/>
    </xf>
    <xf numFmtId="1" fontId="17" fillId="14" borderId="20" xfId="0" applyNumberFormat="1" applyFont="1" applyFill="1" applyBorder="1" applyAlignment="1">
      <alignment horizontal="center" vertical="center"/>
    </xf>
    <xf numFmtId="165" fontId="17" fillId="22" borderId="20" xfId="0" applyNumberFormat="1" applyFont="1" applyFill="1" applyBorder="1" applyAlignment="1">
      <alignment horizontal="right" vertical="center"/>
    </xf>
    <xf numFmtId="165" fontId="17" fillId="13" borderId="20" xfId="0" applyNumberFormat="1" applyFont="1" applyFill="1" applyBorder="1" applyAlignment="1">
      <alignment horizontal="right" vertical="center"/>
    </xf>
    <xf numFmtId="0" fontId="17" fillId="10" borderId="26" xfId="0" applyFont="1" applyFill="1" applyBorder="1" applyAlignment="1">
      <alignment vertical="center"/>
    </xf>
    <xf numFmtId="0" fontId="17" fillId="10" borderId="28" xfId="0" applyFont="1" applyFill="1" applyBorder="1" applyAlignment="1">
      <alignment vertical="center"/>
    </xf>
    <xf numFmtId="0" fontId="17" fillId="10" borderId="30" xfId="0" applyFont="1" applyFill="1" applyBorder="1" applyAlignment="1">
      <alignment vertical="center"/>
    </xf>
    <xf numFmtId="0" fontId="17" fillId="10" borderId="32" xfId="0" applyFont="1" applyFill="1" applyBorder="1" applyAlignment="1">
      <alignment vertical="center"/>
    </xf>
    <xf numFmtId="0" fontId="17" fillId="10" borderId="41" xfId="0" applyFont="1" applyFill="1" applyBorder="1" applyAlignment="1">
      <alignment vertical="center"/>
    </xf>
    <xf numFmtId="0" fontId="17" fillId="10" borderId="33" xfId="0" applyFont="1" applyFill="1" applyBorder="1" applyAlignment="1">
      <alignment vertical="center"/>
    </xf>
    <xf numFmtId="0" fontId="26" fillId="10" borderId="42" xfId="0" applyFont="1" applyFill="1" applyBorder="1" applyAlignment="1">
      <alignment vertical="center" wrapText="1"/>
    </xf>
    <xf numFmtId="0" fontId="26" fillId="10" borderId="43" xfId="0" applyFont="1" applyFill="1" applyBorder="1" applyAlignment="1">
      <alignment vertical="center" wrapText="1"/>
    </xf>
    <xf numFmtId="165" fontId="17" fillId="10" borderId="45" xfId="0" applyNumberFormat="1" applyFont="1" applyFill="1" applyBorder="1" applyAlignment="1">
      <alignment vertical="center"/>
    </xf>
    <xf numFmtId="165" fontId="17" fillId="10" borderId="0" xfId="0" applyNumberFormat="1" applyFont="1" applyFill="1" applyAlignment="1">
      <alignment vertical="center"/>
    </xf>
    <xf numFmtId="2" fontId="17" fillId="14" borderId="0" xfId="0" applyNumberFormat="1" applyFont="1" applyFill="1" applyAlignment="1">
      <alignment vertical="center"/>
    </xf>
    <xf numFmtId="165" fontId="17" fillId="14" borderId="0" xfId="0" applyNumberFormat="1" applyFont="1" applyFill="1" applyAlignment="1">
      <alignment vertical="center"/>
    </xf>
    <xf numFmtId="165" fontId="29" fillId="17" borderId="23" xfId="0" applyNumberFormat="1" applyFont="1" applyFill="1" applyBorder="1" applyAlignment="1">
      <alignment vertical="center"/>
    </xf>
    <xf numFmtId="0" fontId="32" fillId="17" borderId="21" xfId="0" applyFont="1" applyFill="1" applyBorder="1" applyAlignment="1">
      <alignment vertical="center" wrapText="1"/>
    </xf>
    <xf numFmtId="165" fontId="20" fillId="12" borderId="23" xfId="0" applyNumberFormat="1" applyFont="1" applyFill="1" applyBorder="1" applyAlignment="1">
      <alignment vertical="center"/>
    </xf>
    <xf numFmtId="0" fontId="33" fillId="12" borderId="21" xfId="0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horizontal="right" vertical="center"/>
    </xf>
    <xf numFmtId="165" fontId="4" fillId="0" borderId="19" xfId="0" applyNumberFormat="1" applyFont="1" applyBorder="1" applyAlignment="1">
      <alignment horizontal="right" vertical="center"/>
    </xf>
    <xf numFmtId="165" fontId="4" fillId="0" borderId="10" xfId="0" applyNumberFormat="1" applyFont="1" applyBorder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36" fillId="19" borderId="22" xfId="0" applyFont="1" applyFill="1" applyBorder="1" applyAlignment="1">
      <alignment horizontal="center" vertical="center" wrapText="1"/>
    </xf>
    <xf numFmtId="0" fontId="36" fillId="19" borderId="23" xfId="0" applyFont="1" applyFill="1" applyBorder="1" applyAlignment="1">
      <alignment horizontal="center" vertical="center" wrapText="1"/>
    </xf>
    <xf numFmtId="0" fontId="36" fillId="19" borderId="24" xfId="0" applyFont="1" applyFill="1" applyBorder="1" applyAlignment="1">
      <alignment horizontal="center" vertical="center" wrapText="1"/>
    </xf>
    <xf numFmtId="0" fontId="37" fillId="10" borderId="28" xfId="0" applyFont="1" applyFill="1" applyBorder="1" applyAlignment="1">
      <alignment horizontal="center" vertical="center"/>
    </xf>
    <xf numFmtId="0" fontId="37" fillId="10" borderId="0" xfId="0" applyFont="1" applyFill="1" applyAlignment="1">
      <alignment vertical="center" wrapText="1"/>
    </xf>
    <xf numFmtId="1" fontId="37" fillId="10" borderId="29" xfId="0" applyNumberFormat="1" applyFont="1" applyFill="1" applyBorder="1" applyAlignment="1">
      <alignment horizontal="center" vertical="center"/>
    </xf>
    <xf numFmtId="0" fontId="38" fillId="12" borderId="22" xfId="0" applyFont="1" applyFill="1" applyBorder="1" applyAlignment="1">
      <alignment horizontal="center" vertical="center"/>
    </xf>
    <xf numFmtId="0" fontId="38" fillId="12" borderId="23" xfId="0" applyFont="1" applyFill="1" applyBorder="1" applyAlignment="1">
      <alignment vertical="center" wrapText="1"/>
    </xf>
    <xf numFmtId="1" fontId="38" fillId="12" borderId="24" xfId="0" applyNumberFormat="1" applyFont="1" applyFill="1" applyBorder="1" applyAlignment="1">
      <alignment horizontal="center" vertical="center"/>
    </xf>
    <xf numFmtId="0" fontId="29" fillId="19" borderId="22" xfId="0" applyFont="1" applyFill="1" applyBorder="1" applyAlignment="1">
      <alignment horizontal="center" vertical="center"/>
    </xf>
    <xf numFmtId="0" fontId="29" fillId="19" borderId="23" xfId="0" applyFont="1" applyFill="1" applyBorder="1" applyAlignment="1">
      <alignment horizontal="center" vertical="center"/>
    </xf>
    <xf numFmtId="0" fontId="29" fillId="19" borderId="24" xfId="0" applyFont="1" applyFill="1" applyBorder="1" applyAlignment="1">
      <alignment horizontal="center" vertical="center"/>
    </xf>
    <xf numFmtId="1" fontId="16" fillId="14" borderId="42" xfId="0" applyNumberFormat="1" applyFont="1" applyFill="1" applyBorder="1" applyAlignment="1">
      <alignment horizontal="center" vertical="center"/>
    </xf>
    <xf numFmtId="1" fontId="16" fillId="14" borderId="43" xfId="0" applyNumberFormat="1" applyFont="1" applyFill="1" applyBorder="1" applyAlignment="1">
      <alignment horizontal="center" vertical="center"/>
    </xf>
    <xf numFmtId="1" fontId="16" fillId="14" borderId="44" xfId="0" applyNumberFormat="1" applyFont="1" applyFill="1" applyBorder="1" applyAlignment="1">
      <alignment horizontal="center" vertical="center"/>
    </xf>
    <xf numFmtId="0" fontId="9" fillId="10" borderId="42" xfId="0" applyFont="1" applyFill="1" applyBorder="1" applyAlignment="1">
      <alignment vertical="center"/>
    </xf>
    <xf numFmtId="0" fontId="9" fillId="10" borderId="43" xfId="0" applyFont="1" applyFill="1" applyBorder="1" applyAlignment="1">
      <alignment vertical="center"/>
    </xf>
    <xf numFmtId="0" fontId="9" fillId="10" borderId="44" xfId="0" applyFont="1" applyFill="1" applyBorder="1" applyAlignment="1">
      <alignment vertical="center"/>
    </xf>
    <xf numFmtId="0" fontId="29" fillId="19" borderId="21" xfId="0" applyFont="1" applyFill="1" applyBorder="1" applyAlignment="1">
      <alignment horizontal="center" vertical="center"/>
    </xf>
    <xf numFmtId="0" fontId="29" fillId="19" borderId="22" xfId="0" applyFont="1" applyFill="1" applyBorder="1" applyAlignment="1">
      <alignment horizontal="center" vertical="center" wrapText="1"/>
    </xf>
    <xf numFmtId="0" fontId="29" fillId="19" borderId="23" xfId="0" applyFont="1" applyFill="1" applyBorder="1" applyAlignment="1">
      <alignment horizontal="center" vertical="center" wrapText="1"/>
    </xf>
    <xf numFmtId="0" fontId="29" fillId="19" borderId="24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vertical="center" wrapText="1"/>
    </xf>
    <xf numFmtId="0" fontId="17" fillId="10" borderId="45" xfId="0" applyFont="1" applyFill="1" applyBorder="1" applyAlignment="1">
      <alignment vertical="center" wrapText="1"/>
    </xf>
    <xf numFmtId="0" fontId="17" fillId="10" borderId="28" xfId="0" applyFont="1" applyFill="1" applyBorder="1" applyAlignment="1">
      <alignment vertical="center" wrapText="1"/>
    </xf>
    <xf numFmtId="0" fontId="17" fillId="10" borderId="0" xfId="0" applyFont="1" applyFill="1" applyAlignment="1">
      <alignment vertical="center" wrapText="1"/>
    </xf>
    <xf numFmtId="0" fontId="17" fillId="10" borderId="30" xfId="0" applyFont="1" applyFill="1" applyBorder="1" applyAlignment="1">
      <alignment vertical="center" wrapText="1"/>
    </xf>
    <xf numFmtId="0" fontId="17" fillId="10" borderId="40" xfId="0" applyFont="1" applyFill="1" applyBorder="1" applyAlignment="1">
      <alignment vertical="center" wrapText="1"/>
    </xf>
    <xf numFmtId="0" fontId="17" fillId="10" borderId="45" xfId="0" applyFont="1" applyFill="1" applyBorder="1" applyAlignment="1">
      <alignment vertical="top" wrapText="1"/>
    </xf>
    <xf numFmtId="0" fontId="17" fillId="10" borderId="27" xfId="0" applyFont="1" applyFill="1" applyBorder="1" applyAlignment="1">
      <alignment vertical="top" wrapText="1"/>
    </xf>
    <xf numFmtId="0" fontId="17" fillId="10" borderId="0" xfId="0" applyFont="1" applyFill="1" applyAlignment="1">
      <alignment vertical="top" wrapText="1"/>
    </xf>
    <xf numFmtId="0" fontId="17" fillId="10" borderId="29" xfId="0" applyFont="1" applyFill="1" applyBorder="1" applyAlignment="1">
      <alignment vertical="top" wrapText="1"/>
    </xf>
    <xf numFmtId="0" fontId="17" fillId="10" borderId="40" xfId="0" applyFont="1" applyFill="1" applyBorder="1" applyAlignment="1">
      <alignment vertical="top" wrapText="1"/>
    </xf>
    <xf numFmtId="0" fontId="17" fillId="10" borderId="31" xfId="0" applyFont="1" applyFill="1" applyBorder="1" applyAlignment="1">
      <alignment vertical="top" wrapText="1"/>
    </xf>
    <xf numFmtId="0" fontId="17" fillId="10" borderId="26" xfId="0" applyFont="1" applyFill="1" applyBorder="1" applyAlignment="1">
      <alignment horizontal="center" vertical="top" wrapText="1"/>
    </xf>
    <xf numFmtId="0" fontId="17" fillId="10" borderId="28" xfId="0" applyFont="1" applyFill="1" applyBorder="1" applyAlignment="1">
      <alignment horizontal="center" vertical="top" wrapText="1"/>
    </xf>
    <xf numFmtId="0" fontId="17" fillId="10" borderId="30" xfId="0" applyFont="1" applyFill="1" applyBorder="1" applyAlignment="1">
      <alignment horizontal="center" vertical="top" wrapText="1"/>
    </xf>
    <xf numFmtId="0" fontId="30" fillId="10" borderId="42" xfId="0" applyFont="1" applyFill="1" applyBorder="1" applyAlignment="1">
      <alignment horizontal="center" vertical="top" wrapText="1"/>
    </xf>
    <xf numFmtId="0" fontId="30" fillId="10" borderId="43" xfId="0" applyFont="1" applyFill="1" applyBorder="1" applyAlignment="1">
      <alignment horizontal="center" vertical="top" wrapText="1"/>
    </xf>
    <xf numFmtId="0" fontId="30" fillId="10" borderId="44" xfId="0" applyFont="1" applyFill="1" applyBorder="1" applyAlignment="1">
      <alignment horizontal="center" vertical="top" wrapText="1"/>
    </xf>
    <xf numFmtId="0" fontId="29" fillId="20" borderId="22" xfId="0" applyFont="1" applyFill="1" applyBorder="1" applyAlignment="1">
      <alignment horizontal="center" vertical="center"/>
    </xf>
    <xf numFmtId="0" fontId="29" fillId="20" borderId="23" xfId="0" applyFont="1" applyFill="1" applyBorder="1" applyAlignment="1">
      <alignment horizontal="center" vertical="center"/>
    </xf>
    <xf numFmtId="1" fontId="38" fillId="14" borderId="21" xfId="0" applyNumberFormat="1" applyFont="1" applyFill="1" applyBorder="1" applyAlignment="1">
      <alignment horizontal="right" vertical="center" wrapText="1"/>
    </xf>
    <xf numFmtId="165" fontId="38" fillId="14" borderId="21" xfId="0" applyNumberFormat="1" applyFont="1" applyFill="1" applyBorder="1" applyAlignment="1">
      <alignment horizontal="right" vertical="center" wrapText="1"/>
    </xf>
    <xf numFmtId="0" fontId="40" fillId="0" borderId="0" xfId="0" applyFont="1"/>
    <xf numFmtId="1" fontId="40" fillId="0" borderId="2" xfId="0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3" borderId="20" xfId="0" applyFont="1" applyFill="1" applyBorder="1" applyAlignment="1">
      <alignment horizontal="center" vertical="center"/>
    </xf>
    <xf numFmtId="1" fontId="40" fillId="0" borderId="20" xfId="0" applyNumberFormat="1" applyFont="1" applyBorder="1" applyAlignment="1">
      <alignment horizontal="center" vertical="center"/>
    </xf>
    <xf numFmtId="0" fontId="40" fillId="0" borderId="20" xfId="0" applyFont="1" applyBorder="1" applyAlignment="1">
      <alignment vertical="center"/>
    </xf>
    <xf numFmtId="0" fontId="40" fillId="0" borderId="20" xfId="0" applyFont="1" applyBorder="1" applyAlignment="1">
      <alignment vertical="center" wrapText="1"/>
    </xf>
    <xf numFmtId="0" fontId="31" fillId="10" borderId="46" xfId="0" applyFont="1" applyFill="1" applyBorder="1" applyAlignment="1">
      <alignment vertical="center"/>
    </xf>
    <xf numFmtId="0" fontId="31" fillId="10" borderId="18" xfId="0" applyFont="1" applyFill="1" applyBorder="1" applyAlignment="1">
      <alignment vertical="center"/>
    </xf>
    <xf numFmtId="0" fontId="29" fillId="17" borderId="25" xfId="0" applyFont="1" applyFill="1" applyBorder="1" applyAlignment="1">
      <alignment vertical="center"/>
    </xf>
    <xf numFmtId="0" fontId="20" fillId="12" borderId="25" xfId="0" applyFont="1" applyFill="1" applyBorder="1" applyAlignment="1">
      <alignment vertical="center"/>
    </xf>
    <xf numFmtId="165" fontId="29" fillId="19" borderId="32" xfId="0" applyNumberFormat="1" applyFont="1" applyFill="1" applyBorder="1" applyAlignment="1">
      <alignment vertical="center"/>
    </xf>
    <xf numFmtId="165" fontId="29" fillId="19" borderId="33" xfId="0" applyNumberFormat="1" applyFont="1" applyFill="1" applyBorder="1" applyAlignment="1">
      <alignment horizontal="right" vertical="center"/>
    </xf>
    <xf numFmtId="165" fontId="29" fillId="20" borderId="32" xfId="0" applyNumberFormat="1" applyFont="1" applyFill="1" applyBorder="1" applyAlignment="1">
      <alignment vertical="center"/>
    </xf>
    <xf numFmtId="165" fontId="29" fillId="20" borderId="33" xfId="0" applyNumberFormat="1" applyFont="1" applyFill="1" applyBorder="1" applyAlignment="1">
      <alignment vertical="center"/>
    </xf>
    <xf numFmtId="0" fontId="29" fillId="20" borderId="20" xfId="0" applyFont="1" applyFill="1" applyBorder="1" applyAlignment="1">
      <alignment horizontal="center" vertical="center"/>
    </xf>
    <xf numFmtId="165" fontId="18" fillId="13" borderId="20" xfId="0" applyNumberFormat="1" applyFont="1" applyFill="1" applyBorder="1" applyAlignment="1">
      <alignment horizontal="right" vertical="center"/>
    </xf>
    <xf numFmtId="0" fontId="42" fillId="13" borderId="20" xfId="0" applyFont="1" applyFill="1" applyBorder="1" applyAlignment="1">
      <alignment horizontal="center" vertical="center"/>
    </xf>
    <xf numFmtId="165" fontId="43" fillId="22" borderId="20" xfId="0" applyNumberFormat="1" applyFont="1" applyFill="1" applyBorder="1" applyAlignment="1">
      <alignment horizontal="right" vertical="center"/>
    </xf>
    <xf numFmtId="165" fontId="43" fillId="13" borderId="20" xfId="0" applyNumberFormat="1" applyFont="1" applyFill="1" applyBorder="1" applyAlignment="1">
      <alignment horizontal="right" vertical="center"/>
    </xf>
    <xf numFmtId="0" fontId="32" fillId="21" borderId="21" xfId="0" applyFont="1" applyFill="1" applyBorder="1" applyAlignment="1">
      <alignment horizontal="center" vertical="center" wrapText="1"/>
    </xf>
    <xf numFmtId="0" fontId="0" fillId="25" borderId="0" xfId="0" applyFill="1"/>
    <xf numFmtId="165" fontId="0" fillId="25" borderId="0" xfId="0" applyNumberFormat="1" applyFill="1"/>
    <xf numFmtId="0" fontId="44" fillId="25" borderId="47" xfId="0" applyFont="1" applyFill="1" applyBorder="1"/>
    <xf numFmtId="165" fontId="44" fillId="25" borderId="47" xfId="0" applyNumberFormat="1" applyFont="1" applyFill="1" applyBorder="1"/>
    <xf numFmtId="0" fontId="0" fillId="24" borderId="0" xfId="0" applyFill="1"/>
    <xf numFmtId="0" fontId="6" fillId="24" borderId="0" xfId="0" applyFont="1" applyFill="1"/>
    <xf numFmtId="0" fontId="5" fillId="27" borderId="0" xfId="0" applyFont="1" applyFill="1" applyAlignment="1">
      <alignment horizontal="center"/>
    </xf>
    <xf numFmtId="2" fontId="0" fillId="25" borderId="0" xfId="0" applyNumberFormat="1" applyFill="1"/>
    <xf numFmtId="165" fontId="0" fillId="24" borderId="0" xfId="0" applyNumberFormat="1" applyFill="1"/>
    <xf numFmtId="2" fontId="0" fillId="25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0" fontId="16" fillId="25" borderId="0" xfId="0" applyFont="1" applyFill="1" applyAlignment="1">
      <alignment vertical="center"/>
    </xf>
    <xf numFmtId="0" fontId="15" fillId="0" borderId="0" xfId="0" applyFont="1"/>
    <xf numFmtId="168" fontId="0" fillId="24" borderId="0" xfId="0" applyNumberFormat="1" applyFill="1"/>
    <xf numFmtId="165" fontId="17" fillId="10" borderId="18" xfId="0" applyNumberFormat="1" applyFont="1" applyFill="1" applyBorder="1" applyAlignment="1">
      <alignment vertical="center"/>
    </xf>
    <xf numFmtId="165" fontId="29" fillId="17" borderId="25" xfId="0" applyNumberFormat="1" applyFont="1" applyFill="1" applyBorder="1" applyAlignment="1">
      <alignment vertical="center"/>
    </xf>
    <xf numFmtId="165" fontId="20" fillId="12" borderId="48" xfId="0" applyNumberFormat="1" applyFont="1" applyFill="1" applyBorder="1" applyAlignment="1">
      <alignment vertical="center"/>
    </xf>
    <xf numFmtId="0" fontId="33" fillId="12" borderId="49" xfId="0" applyFont="1" applyFill="1" applyBorder="1" applyAlignment="1">
      <alignment vertical="center" wrapText="1"/>
    </xf>
    <xf numFmtId="0" fontId="20" fillId="12" borderId="48" xfId="0" applyFont="1" applyFill="1" applyBorder="1" applyAlignment="1">
      <alignment vertical="center"/>
    </xf>
    <xf numFmtId="0" fontId="0" fillId="0" borderId="18" xfId="0" applyBorder="1"/>
    <xf numFmtId="1" fontId="17" fillId="25" borderId="20" xfId="0" applyNumberFormat="1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9" fillId="10" borderId="29" xfId="0" applyFont="1" applyFill="1" applyBorder="1" applyAlignment="1">
      <alignment vertical="center"/>
    </xf>
    <xf numFmtId="0" fontId="17" fillId="10" borderId="4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vertical="center"/>
    </xf>
    <xf numFmtId="1" fontId="17" fillId="10" borderId="45" xfId="0" applyNumberFormat="1" applyFont="1" applyFill="1" applyBorder="1" applyAlignment="1">
      <alignment horizontal="center" vertical="center"/>
    </xf>
    <xf numFmtId="1" fontId="17" fillId="10" borderId="0" xfId="0" applyNumberFormat="1" applyFont="1" applyFill="1" applyAlignment="1">
      <alignment horizontal="center" vertical="center"/>
    </xf>
    <xf numFmtId="1" fontId="17" fillId="10" borderId="40" xfId="0" applyNumberFormat="1" applyFont="1" applyFill="1" applyBorder="1" applyAlignment="1">
      <alignment horizontal="center" vertical="center"/>
    </xf>
    <xf numFmtId="3" fontId="13" fillId="5" borderId="8" xfId="0" applyNumberFormat="1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3" fontId="13" fillId="5" borderId="50" xfId="0" applyNumberFormat="1" applyFont="1" applyFill="1" applyBorder="1" applyAlignment="1">
      <alignment horizontal="left" vertical="center" wrapText="1"/>
    </xf>
    <xf numFmtId="3" fontId="13" fillId="5" borderId="18" xfId="0" applyNumberFormat="1" applyFont="1" applyFill="1" applyBorder="1" applyAlignment="1">
      <alignment horizontal="left" vertical="center" wrapText="1"/>
    </xf>
    <xf numFmtId="3" fontId="13" fillId="5" borderId="29" xfId="0" applyNumberFormat="1" applyFont="1" applyFill="1" applyBorder="1" applyAlignment="1">
      <alignment horizontal="left" vertical="center" wrapText="1"/>
    </xf>
    <xf numFmtId="3" fontId="13" fillId="5" borderId="7" xfId="0" applyNumberFormat="1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3" fontId="13" fillId="5" borderId="15" xfId="0" applyNumberFormat="1" applyFont="1" applyFill="1" applyBorder="1" applyAlignment="1">
      <alignment horizontal="left" vertical="center" wrapText="1"/>
    </xf>
    <xf numFmtId="3" fontId="13" fillId="5" borderId="16" xfId="0" applyNumberFormat="1" applyFont="1" applyFill="1" applyBorder="1" applyAlignment="1">
      <alignment horizontal="left" vertical="center" wrapText="1"/>
    </xf>
    <xf numFmtId="3" fontId="13" fillId="5" borderId="17" xfId="0" applyNumberFormat="1" applyFont="1" applyFill="1" applyBorder="1" applyAlignment="1">
      <alignment horizontal="left" vertical="center" wrapText="1"/>
    </xf>
    <xf numFmtId="0" fontId="7" fillId="11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7" fillId="10" borderId="22" xfId="0" applyFont="1" applyFill="1" applyBorder="1" applyAlignment="1">
      <alignment horizontal="left" vertical="center"/>
    </xf>
    <xf numFmtId="0" fontId="17" fillId="10" borderId="23" xfId="0" applyFont="1" applyFill="1" applyBorder="1" applyAlignment="1">
      <alignment horizontal="left" vertical="center"/>
    </xf>
    <xf numFmtId="0" fontId="16" fillId="10" borderId="23" xfId="0" applyFont="1" applyFill="1" applyBorder="1" applyAlignment="1">
      <alignment horizontal="left" vertical="center"/>
    </xf>
    <xf numFmtId="14" fontId="16" fillId="10" borderId="24" xfId="0" applyNumberFormat="1" applyFont="1" applyFill="1" applyBorder="1" applyAlignment="1">
      <alignment horizontal="left" vertical="center"/>
    </xf>
    <xf numFmtId="167" fontId="17" fillId="10" borderId="22" xfId="0" applyNumberFormat="1" applyFont="1" applyFill="1" applyBorder="1" applyAlignment="1">
      <alignment horizontal="left" vertical="center"/>
    </xf>
    <xf numFmtId="167" fontId="17" fillId="10" borderId="24" xfId="0" applyNumberFormat="1" applyFont="1" applyFill="1" applyBorder="1" applyAlignment="1">
      <alignment horizontal="left" vertical="center"/>
    </xf>
    <xf numFmtId="0" fontId="17" fillId="10" borderId="24" xfId="0" applyFont="1" applyFill="1" applyBorder="1" applyAlignment="1">
      <alignment horizontal="left" vertical="center"/>
    </xf>
    <xf numFmtId="0" fontId="20" fillId="12" borderId="26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0" fontId="20" fillId="12" borderId="35" xfId="0" applyFont="1" applyFill="1" applyBorder="1" applyAlignment="1">
      <alignment horizontal="center" vertical="center"/>
    </xf>
    <xf numFmtId="0" fontId="21" fillId="13" borderId="34" xfId="0" applyFont="1" applyFill="1" applyBorder="1" applyAlignment="1">
      <alignment horizontal="center" vertical="center"/>
    </xf>
    <xf numFmtId="0" fontId="21" fillId="13" borderId="35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1" fillId="13" borderId="26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20" fillId="15" borderId="26" xfId="0" applyFont="1" applyFill="1" applyBorder="1" applyAlignment="1">
      <alignment horizontal="center" vertical="center"/>
    </xf>
    <xf numFmtId="0" fontId="20" fillId="15" borderId="27" xfId="0" applyFont="1" applyFill="1" applyBorder="1" applyAlignment="1">
      <alignment horizontal="center" vertical="center"/>
    </xf>
    <xf numFmtId="165" fontId="24" fillId="13" borderId="28" xfId="0" applyNumberFormat="1" applyFont="1" applyFill="1" applyBorder="1" applyAlignment="1">
      <alignment horizontal="center" vertical="center"/>
    </xf>
    <xf numFmtId="165" fontId="24" fillId="13" borderId="29" xfId="0" applyNumberFormat="1" applyFont="1" applyFill="1" applyBorder="1" applyAlignment="1">
      <alignment horizontal="center" vertical="center"/>
    </xf>
    <xf numFmtId="165" fontId="23" fillId="15" borderId="28" xfId="0" applyNumberFormat="1" applyFont="1" applyFill="1" applyBorder="1" applyAlignment="1">
      <alignment horizontal="center" vertical="center"/>
    </xf>
    <xf numFmtId="165" fontId="23" fillId="15" borderId="29" xfId="0" applyNumberFormat="1" applyFont="1" applyFill="1" applyBorder="1" applyAlignment="1">
      <alignment horizontal="center" vertical="center"/>
    </xf>
    <xf numFmtId="0" fontId="26" fillId="12" borderId="30" xfId="0" applyFont="1" applyFill="1" applyBorder="1" applyAlignment="1">
      <alignment horizontal="center" vertical="center" wrapText="1"/>
    </xf>
    <xf numFmtId="0" fontId="26" fillId="12" borderId="31" xfId="0" applyFont="1" applyFill="1" applyBorder="1" applyAlignment="1">
      <alignment horizontal="center" vertical="center" wrapText="1"/>
    </xf>
    <xf numFmtId="0" fontId="26" fillId="12" borderId="38" xfId="0" applyFont="1" applyFill="1" applyBorder="1" applyAlignment="1">
      <alignment horizontal="center" vertical="center" wrapText="1"/>
    </xf>
    <xf numFmtId="0" fontId="26" fillId="12" borderId="39" xfId="0" applyFont="1" applyFill="1" applyBorder="1" applyAlignment="1">
      <alignment horizontal="center" vertical="center" wrapText="1"/>
    </xf>
    <xf numFmtId="0" fontId="26" fillId="13" borderId="38" xfId="0" applyFont="1" applyFill="1" applyBorder="1" applyAlignment="1">
      <alignment horizontal="center" vertical="center" wrapText="1"/>
    </xf>
    <xf numFmtId="0" fontId="26" fillId="13" borderId="39" xfId="0" applyFont="1" applyFill="1" applyBorder="1" applyAlignment="1">
      <alignment horizontal="center" vertical="center" wrapText="1"/>
    </xf>
    <xf numFmtId="0" fontId="26" fillId="14" borderId="38" xfId="0" applyFont="1" applyFill="1" applyBorder="1" applyAlignment="1">
      <alignment horizontal="center" vertical="center" wrapText="1"/>
    </xf>
    <xf numFmtId="0" fontId="26" fillId="14" borderId="39" xfId="0" applyFont="1" applyFill="1" applyBorder="1" applyAlignment="1">
      <alignment horizontal="center" vertical="center" wrapText="1"/>
    </xf>
    <xf numFmtId="0" fontId="26" fillId="13" borderId="30" xfId="0" applyFont="1" applyFill="1" applyBorder="1" applyAlignment="1">
      <alignment horizontal="center" vertical="center" wrapText="1"/>
    </xf>
    <xf numFmtId="0" fontId="26" fillId="13" borderId="31" xfId="0" applyFont="1" applyFill="1" applyBorder="1" applyAlignment="1">
      <alignment horizontal="center" vertical="center" wrapText="1"/>
    </xf>
    <xf numFmtId="0" fontId="26" fillId="15" borderId="30" xfId="0" applyFont="1" applyFill="1" applyBorder="1" applyAlignment="1">
      <alignment horizontal="center" vertical="center" wrapText="1"/>
    </xf>
    <xf numFmtId="0" fontId="26" fillId="15" borderId="31" xfId="0" applyFont="1" applyFill="1" applyBorder="1" applyAlignment="1">
      <alignment horizontal="center" vertical="center" wrapText="1"/>
    </xf>
    <xf numFmtId="1" fontId="23" fillId="12" borderId="28" xfId="0" applyNumberFormat="1" applyFont="1" applyFill="1" applyBorder="1" applyAlignment="1">
      <alignment horizontal="center" vertical="center"/>
    </xf>
    <xf numFmtId="1" fontId="23" fillId="12" borderId="29" xfId="0" applyNumberFormat="1" applyFont="1" applyFill="1" applyBorder="1" applyAlignment="1">
      <alignment horizontal="center" vertical="center"/>
    </xf>
    <xf numFmtId="165" fontId="23" fillId="12" borderId="36" xfId="0" applyNumberFormat="1" applyFont="1" applyFill="1" applyBorder="1" applyAlignment="1">
      <alignment horizontal="center" vertical="center"/>
    </xf>
    <xf numFmtId="165" fontId="23" fillId="12" borderId="37" xfId="0" applyNumberFormat="1" applyFont="1" applyFill="1" applyBorder="1" applyAlignment="1">
      <alignment horizontal="center" vertical="center"/>
    </xf>
    <xf numFmtId="165" fontId="24" fillId="13" borderId="36" xfId="0" applyNumberFormat="1" applyFont="1" applyFill="1" applyBorder="1" applyAlignment="1">
      <alignment horizontal="center" vertical="center"/>
    </xf>
    <xf numFmtId="165" fontId="24" fillId="13" borderId="37" xfId="0" applyNumberFormat="1" applyFont="1" applyFill="1" applyBorder="1" applyAlignment="1">
      <alignment horizontal="center" vertical="center"/>
    </xf>
    <xf numFmtId="165" fontId="25" fillId="14" borderId="36" xfId="0" applyNumberFormat="1" applyFont="1" applyFill="1" applyBorder="1" applyAlignment="1">
      <alignment horizontal="center" vertical="center"/>
    </xf>
    <xf numFmtId="165" fontId="25" fillId="14" borderId="37" xfId="0" applyNumberFormat="1" applyFont="1" applyFill="1" applyBorder="1" applyAlignment="1">
      <alignment horizontal="center" vertical="center"/>
    </xf>
    <xf numFmtId="165" fontId="23" fillId="12" borderId="29" xfId="0" applyNumberFormat="1" applyFont="1" applyFill="1" applyBorder="1" applyAlignment="1">
      <alignment horizontal="center" vertical="center"/>
    </xf>
    <xf numFmtId="0" fontId="5" fillId="1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left" vertical="center" wrapText="1"/>
    </xf>
    <xf numFmtId="0" fontId="28" fillId="18" borderId="22" xfId="0" applyFont="1" applyFill="1" applyBorder="1" applyAlignment="1">
      <alignment horizontal="center" vertical="center"/>
    </xf>
    <xf numFmtId="0" fontId="28" fillId="18" borderId="23" xfId="0" applyFont="1" applyFill="1" applyBorder="1" applyAlignment="1">
      <alignment horizontal="center" vertical="center"/>
    </xf>
    <xf numFmtId="0" fontId="28" fillId="18" borderId="2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7" fillId="26" borderId="18" xfId="0" applyFont="1" applyFill="1" applyBorder="1"/>
    <xf numFmtId="0" fontId="45" fillId="0" borderId="18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/>
    <xf numFmtId="0" fontId="35" fillId="0" borderId="0" xfId="0" applyFont="1" applyAlignment="1">
      <alignment horizontal="left"/>
    </xf>
    <xf numFmtId="0" fontId="20" fillId="0" borderId="0" xfId="0" applyFont="1"/>
    <xf numFmtId="0" fontId="5" fillId="8" borderId="0" xfId="0" applyFont="1" applyFill="1"/>
    <xf numFmtId="0" fontId="1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8" fillId="0" borderId="0" xfId="0" applyFont="1"/>
    <xf numFmtId="0" fontId="39" fillId="18" borderId="22" xfId="0" applyFont="1" applyFill="1" applyBorder="1" applyAlignment="1">
      <alignment horizontal="center" vertical="center"/>
    </xf>
    <xf numFmtId="0" fontId="39" fillId="18" borderId="23" xfId="0" applyFont="1" applyFill="1" applyBorder="1" applyAlignment="1">
      <alignment horizontal="center" vertical="center"/>
    </xf>
    <xf numFmtId="0" fontId="39" fillId="18" borderId="24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 vertical="center"/>
    </xf>
    <xf numFmtId="0" fontId="5" fillId="23" borderId="23" xfId="0" applyFont="1" applyFill="1" applyBorder="1" applyAlignment="1">
      <alignment horizontal="center" vertical="center"/>
    </xf>
    <xf numFmtId="0" fontId="5" fillId="23" borderId="24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center" vertical="center"/>
    </xf>
    <xf numFmtId="0" fontId="5" fillId="16" borderId="23" xfId="0" applyFont="1" applyFill="1" applyBorder="1" applyAlignment="1">
      <alignment horizontal="center" vertical="center"/>
    </xf>
    <xf numFmtId="0" fontId="5" fillId="16" borderId="24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0" fontId="22" fillId="14" borderId="22" xfId="0" applyFont="1" applyFill="1" applyBorder="1" applyAlignment="1">
      <alignment horizontal="left" vertical="center" wrapText="1"/>
    </xf>
    <xf numFmtId="0" fontId="22" fillId="14" borderId="23" xfId="0" applyFont="1" applyFill="1" applyBorder="1" applyAlignment="1">
      <alignment horizontal="left" vertical="center" wrapText="1"/>
    </xf>
    <xf numFmtId="0" fontId="22" fillId="14" borderId="24" xfId="0" applyFont="1" applyFill="1" applyBorder="1" applyAlignment="1">
      <alignment horizontal="left" vertical="center" wrapText="1"/>
    </xf>
    <xf numFmtId="0" fontId="16" fillId="10" borderId="22" xfId="0" applyFont="1" applyFill="1" applyBorder="1" applyAlignment="1">
      <alignment vertical="center" wrapText="1"/>
    </xf>
    <xf numFmtId="1" fontId="20" fillId="10" borderId="21" xfId="0" applyNumberFormat="1" applyFont="1" applyFill="1" applyBorder="1" applyAlignment="1">
      <alignment horizontal="center" vertical="center" wrapText="1"/>
    </xf>
    <xf numFmtId="0" fontId="9" fillId="15" borderId="22" xfId="0" applyFont="1" applyFill="1" applyBorder="1" applyAlignment="1">
      <alignment vertical="center" wrapText="1"/>
    </xf>
    <xf numFmtId="0" fontId="9" fillId="15" borderId="23" xfId="0" applyFont="1" applyFill="1" applyBorder="1" applyAlignment="1">
      <alignment vertical="center" wrapText="1"/>
    </xf>
    <xf numFmtId="0" fontId="9" fillId="15" borderId="24" xfId="0" applyFont="1" applyFill="1" applyBorder="1" applyAlignment="1">
      <alignment vertical="center" wrapText="1"/>
    </xf>
    <xf numFmtId="165" fontId="20" fillId="10" borderId="21" xfId="0" applyNumberFormat="1" applyFont="1" applyFill="1" applyBorder="1" applyAlignment="1">
      <alignment horizontal="right" vertical="center" wrapText="1"/>
    </xf>
    <xf numFmtId="3" fontId="13" fillId="5" borderId="51" xfId="0" applyNumberFormat="1" applyFont="1" applyFill="1" applyBorder="1" applyAlignment="1">
      <alignment horizontal="left" vertical="center" wrapText="1"/>
    </xf>
    <xf numFmtId="3" fontId="13" fillId="5" borderId="52" xfId="0" applyNumberFormat="1" applyFont="1" applyFill="1" applyBorder="1" applyAlignment="1">
      <alignment horizontal="left" vertical="center" wrapText="1"/>
    </xf>
    <xf numFmtId="3" fontId="13" fillId="5" borderId="53" xfId="0" applyNumberFormat="1" applyFont="1" applyFill="1" applyBorder="1" applyAlignment="1">
      <alignment horizontal="left" vertical="center" wrapText="1"/>
    </xf>
  </cellXfs>
  <cellStyles count="2">
    <cellStyle name="Moneda" xfId="1" xr:uid="{00000000-0005-0000-0000-000000000000}"/>
    <cellStyle name="Normal" xfId="0" builtinId="0"/>
  </cellStyles>
  <dxfs count="31"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17365D"/>
      </font>
      <fill>
        <patternFill patternType="solid">
          <bgColor rgb="FFD9EAF7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152400</xdr:rowOff>
    </xdr:from>
    <xdr:to>
      <xdr:col>0</xdr:col>
      <xdr:colOff>1816100</xdr:colOff>
      <xdr:row>1</xdr:row>
      <xdr:rowOff>1968500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203200</xdr:rowOff>
    </xdr:from>
    <xdr:to>
      <xdr:col>0</xdr:col>
      <xdr:colOff>1803400</xdr:colOff>
      <xdr:row>2</xdr:row>
      <xdr:rowOff>2006600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127000</xdr:rowOff>
    </xdr:from>
    <xdr:to>
      <xdr:col>0</xdr:col>
      <xdr:colOff>1828800</xdr:colOff>
      <xdr:row>3</xdr:row>
      <xdr:rowOff>1955800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101600</xdr:rowOff>
    </xdr:from>
    <xdr:to>
      <xdr:col>0</xdr:col>
      <xdr:colOff>1790700</xdr:colOff>
      <xdr:row>4</xdr:row>
      <xdr:rowOff>1892300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127000</xdr:rowOff>
    </xdr:from>
    <xdr:to>
      <xdr:col>0</xdr:col>
      <xdr:colOff>1816100</xdr:colOff>
      <xdr:row>5</xdr:row>
      <xdr:rowOff>1943100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254000</xdr:rowOff>
    </xdr:from>
    <xdr:to>
      <xdr:col>0</xdr:col>
      <xdr:colOff>1815636</xdr:colOff>
      <xdr:row>6</xdr:row>
      <xdr:rowOff>1917700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50800</xdr:rowOff>
    </xdr:from>
    <xdr:to>
      <xdr:col>0</xdr:col>
      <xdr:colOff>1828800</xdr:colOff>
      <xdr:row>7</xdr:row>
      <xdr:rowOff>1879600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0</xdr:col>
      <xdr:colOff>1803400</xdr:colOff>
      <xdr:row>8</xdr:row>
      <xdr:rowOff>1879600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152400</xdr:rowOff>
    </xdr:from>
    <xdr:to>
      <xdr:col>0</xdr:col>
      <xdr:colOff>1790700</xdr:colOff>
      <xdr:row>10</xdr:row>
      <xdr:rowOff>1943100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139700</xdr:rowOff>
    </xdr:from>
    <xdr:to>
      <xdr:col>0</xdr:col>
      <xdr:colOff>1803400</xdr:colOff>
      <xdr:row>11</xdr:row>
      <xdr:rowOff>1943100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139700</xdr:rowOff>
    </xdr:from>
    <xdr:to>
      <xdr:col>0</xdr:col>
      <xdr:colOff>1803400</xdr:colOff>
      <xdr:row>12</xdr:row>
      <xdr:rowOff>1943100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114300</xdr:rowOff>
    </xdr:from>
    <xdr:to>
      <xdr:col>0</xdr:col>
      <xdr:colOff>1790700</xdr:colOff>
      <xdr:row>13</xdr:row>
      <xdr:rowOff>1905000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152400</xdr:rowOff>
    </xdr:from>
    <xdr:to>
      <xdr:col>0</xdr:col>
      <xdr:colOff>1803400</xdr:colOff>
      <xdr:row>15</xdr:row>
      <xdr:rowOff>1955800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0</xdr:col>
      <xdr:colOff>1803400</xdr:colOff>
      <xdr:row>16</xdr:row>
      <xdr:rowOff>1930400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152400</xdr:rowOff>
    </xdr:from>
    <xdr:to>
      <xdr:col>0</xdr:col>
      <xdr:colOff>1803400</xdr:colOff>
      <xdr:row>17</xdr:row>
      <xdr:rowOff>1955800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88900</xdr:rowOff>
    </xdr:from>
    <xdr:to>
      <xdr:col>0</xdr:col>
      <xdr:colOff>1828800</xdr:colOff>
      <xdr:row>18</xdr:row>
      <xdr:rowOff>1917700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127000</xdr:rowOff>
    </xdr:from>
    <xdr:to>
      <xdr:col>0</xdr:col>
      <xdr:colOff>1816100</xdr:colOff>
      <xdr:row>19</xdr:row>
      <xdr:rowOff>1943100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127000</xdr:rowOff>
    </xdr:from>
    <xdr:to>
      <xdr:col>0</xdr:col>
      <xdr:colOff>1828800</xdr:colOff>
      <xdr:row>20</xdr:row>
      <xdr:rowOff>1955800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127000</xdr:rowOff>
    </xdr:from>
    <xdr:to>
      <xdr:col>0</xdr:col>
      <xdr:colOff>1803400</xdr:colOff>
      <xdr:row>21</xdr:row>
      <xdr:rowOff>1930400</xdr:rowOff>
    </xdr:to>
    <xdr:pic>
      <xdr:nvPicPr>
        <xdr:cNvPr id="20" name="/xl/media/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139700</xdr:rowOff>
    </xdr:from>
    <xdr:to>
      <xdr:col>0</xdr:col>
      <xdr:colOff>1803400</xdr:colOff>
      <xdr:row>22</xdr:row>
      <xdr:rowOff>1943100</xdr:rowOff>
    </xdr:to>
    <xdr:pic>
      <xdr:nvPicPr>
        <xdr:cNvPr id="21" name="/xl/media/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139700</xdr:rowOff>
    </xdr:from>
    <xdr:to>
      <xdr:col>0</xdr:col>
      <xdr:colOff>1790700</xdr:colOff>
      <xdr:row>23</xdr:row>
      <xdr:rowOff>1930400</xdr:rowOff>
    </xdr:to>
    <xdr:pic>
      <xdr:nvPicPr>
        <xdr:cNvPr id="22" name="/xl/media/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139700</xdr:rowOff>
    </xdr:from>
    <xdr:to>
      <xdr:col>0</xdr:col>
      <xdr:colOff>1803400</xdr:colOff>
      <xdr:row>24</xdr:row>
      <xdr:rowOff>1943100</xdr:rowOff>
    </xdr:to>
    <xdr:pic>
      <xdr:nvPicPr>
        <xdr:cNvPr id="23" name="/xl/media/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114300</xdr:rowOff>
    </xdr:from>
    <xdr:to>
      <xdr:col>0</xdr:col>
      <xdr:colOff>1816100</xdr:colOff>
      <xdr:row>25</xdr:row>
      <xdr:rowOff>1930400</xdr:rowOff>
    </xdr:to>
    <xdr:pic>
      <xdr:nvPicPr>
        <xdr:cNvPr id="24" name="/xl/media/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101600</xdr:rowOff>
    </xdr:from>
    <xdr:to>
      <xdr:col>0</xdr:col>
      <xdr:colOff>1816100</xdr:colOff>
      <xdr:row>26</xdr:row>
      <xdr:rowOff>1917700</xdr:rowOff>
    </xdr:to>
    <xdr:pic>
      <xdr:nvPicPr>
        <xdr:cNvPr id="25" name="/xl/media/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139700</xdr:rowOff>
    </xdr:from>
    <xdr:to>
      <xdr:col>0</xdr:col>
      <xdr:colOff>1816100</xdr:colOff>
      <xdr:row>29</xdr:row>
      <xdr:rowOff>1955800</xdr:rowOff>
    </xdr:to>
    <xdr:pic>
      <xdr:nvPicPr>
        <xdr:cNvPr id="26" name="/xl/media/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139700</xdr:rowOff>
    </xdr:from>
    <xdr:to>
      <xdr:col>0</xdr:col>
      <xdr:colOff>1790700</xdr:colOff>
      <xdr:row>30</xdr:row>
      <xdr:rowOff>1930400</xdr:rowOff>
    </xdr:to>
    <xdr:pic>
      <xdr:nvPicPr>
        <xdr:cNvPr id="27" name="/xl/media/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114300</xdr:rowOff>
    </xdr:from>
    <xdr:to>
      <xdr:col>0</xdr:col>
      <xdr:colOff>1816100</xdr:colOff>
      <xdr:row>31</xdr:row>
      <xdr:rowOff>1930400</xdr:rowOff>
    </xdr:to>
    <xdr:pic>
      <xdr:nvPicPr>
        <xdr:cNvPr id="28" name="/xl/media/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139700</xdr:rowOff>
    </xdr:from>
    <xdr:to>
      <xdr:col>0</xdr:col>
      <xdr:colOff>1803400</xdr:colOff>
      <xdr:row>32</xdr:row>
      <xdr:rowOff>1943100</xdr:rowOff>
    </xdr:to>
    <xdr:pic>
      <xdr:nvPicPr>
        <xdr:cNvPr id="29" name="/xl/media/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101600</xdr:rowOff>
    </xdr:from>
    <xdr:to>
      <xdr:col>0</xdr:col>
      <xdr:colOff>1816100</xdr:colOff>
      <xdr:row>33</xdr:row>
      <xdr:rowOff>1917700</xdr:rowOff>
    </xdr:to>
    <xdr:pic>
      <xdr:nvPicPr>
        <xdr:cNvPr id="30" name="/xl/media/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114300</xdr:rowOff>
    </xdr:from>
    <xdr:to>
      <xdr:col>0</xdr:col>
      <xdr:colOff>1816100</xdr:colOff>
      <xdr:row>34</xdr:row>
      <xdr:rowOff>1930400</xdr:rowOff>
    </xdr:to>
    <xdr:pic>
      <xdr:nvPicPr>
        <xdr:cNvPr id="31" name="/xl/media/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101600</xdr:rowOff>
    </xdr:from>
    <xdr:to>
      <xdr:col>0</xdr:col>
      <xdr:colOff>1803400</xdr:colOff>
      <xdr:row>35</xdr:row>
      <xdr:rowOff>1897699</xdr:rowOff>
    </xdr:to>
    <xdr:pic>
      <xdr:nvPicPr>
        <xdr:cNvPr id="32" name="/xl/media/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139700</xdr:rowOff>
    </xdr:from>
    <xdr:to>
      <xdr:col>0</xdr:col>
      <xdr:colOff>1816100</xdr:colOff>
      <xdr:row>36</xdr:row>
      <xdr:rowOff>1955800</xdr:rowOff>
    </xdr:to>
    <xdr:pic>
      <xdr:nvPicPr>
        <xdr:cNvPr id="33" name="/xl/media/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114300</xdr:rowOff>
    </xdr:from>
    <xdr:to>
      <xdr:col>0</xdr:col>
      <xdr:colOff>1803400</xdr:colOff>
      <xdr:row>37</xdr:row>
      <xdr:rowOff>1917700</xdr:rowOff>
    </xdr:to>
    <xdr:pic>
      <xdr:nvPicPr>
        <xdr:cNvPr id="34" name="/xl/media/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114300</xdr:rowOff>
    </xdr:from>
    <xdr:to>
      <xdr:col>0</xdr:col>
      <xdr:colOff>1816100</xdr:colOff>
      <xdr:row>38</xdr:row>
      <xdr:rowOff>1930400</xdr:rowOff>
    </xdr:to>
    <xdr:pic>
      <xdr:nvPicPr>
        <xdr:cNvPr id="35" name="/xl/media/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139700</xdr:rowOff>
    </xdr:from>
    <xdr:to>
      <xdr:col>0</xdr:col>
      <xdr:colOff>1803400</xdr:colOff>
      <xdr:row>39</xdr:row>
      <xdr:rowOff>1943100</xdr:rowOff>
    </xdr:to>
    <xdr:pic>
      <xdr:nvPicPr>
        <xdr:cNvPr id="36" name="/xl/media/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88900</xdr:rowOff>
    </xdr:from>
    <xdr:to>
      <xdr:col>0</xdr:col>
      <xdr:colOff>1816100</xdr:colOff>
      <xdr:row>42</xdr:row>
      <xdr:rowOff>1905000</xdr:rowOff>
    </xdr:to>
    <xdr:pic>
      <xdr:nvPicPr>
        <xdr:cNvPr id="37" name="/xl/media/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215900</xdr:rowOff>
    </xdr:from>
    <xdr:to>
      <xdr:col>0</xdr:col>
      <xdr:colOff>1803400</xdr:colOff>
      <xdr:row>43</xdr:row>
      <xdr:rowOff>1845751</xdr:rowOff>
    </xdr:to>
    <xdr:pic>
      <xdr:nvPicPr>
        <xdr:cNvPr id="38" name="/xl/media/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139700</xdr:rowOff>
    </xdr:from>
    <xdr:to>
      <xdr:col>0</xdr:col>
      <xdr:colOff>1803400</xdr:colOff>
      <xdr:row>44</xdr:row>
      <xdr:rowOff>1943100</xdr:rowOff>
    </xdr:to>
    <xdr:pic>
      <xdr:nvPicPr>
        <xdr:cNvPr id="39" name="/xl/media/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127000</xdr:rowOff>
    </xdr:from>
    <xdr:to>
      <xdr:col>0</xdr:col>
      <xdr:colOff>1816100</xdr:colOff>
      <xdr:row>46</xdr:row>
      <xdr:rowOff>1943100</xdr:rowOff>
    </xdr:to>
    <xdr:pic>
      <xdr:nvPicPr>
        <xdr:cNvPr id="40" name="/xl/media/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152400</xdr:rowOff>
    </xdr:from>
    <xdr:to>
      <xdr:col>0</xdr:col>
      <xdr:colOff>1803400</xdr:colOff>
      <xdr:row>45</xdr:row>
      <xdr:rowOff>1955800</xdr:rowOff>
    </xdr:to>
    <xdr:pic>
      <xdr:nvPicPr>
        <xdr:cNvPr id="41" name="/xl/media/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609600</xdr:rowOff>
    </xdr:from>
    <xdr:to>
      <xdr:col>0</xdr:col>
      <xdr:colOff>1828800</xdr:colOff>
      <xdr:row>48</xdr:row>
      <xdr:rowOff>1637016</xdr:rowOff>
    </xdr:to>
    <xdr:pic>
      <xdr:nvPicPr>
        <xdr:cNvPr id="42" name="/xl/media/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0</xdr:col>
      <xdr:colOff>0</xdr:colOff>
      <xdr:row>9</xdr:row>
      <xdr:rowOff>152400</xdr:rowOff>
    </xdr:from>
    <xdr:ext cx="1790700" cy="1790700"/>
    <xdr:pic>
      <xdr:nvPicPr>
        <xdr:cNvPr id="43" name="/xl/media/image9.png">
          <a:extLst>
            <a:ext uri="{FF2B5EF4-FFF2-40B4-BE49-F238E27FC236}">
              <a16:creationId xmlns:a16="http://schemas.microsoft.com/office/drawing/2014/main" id="{CFFFFF10-FF1B-E041-8462-5D64771CF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710400"/>
          <a:ext cx="1790700" cy="1790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152400</xdr:rowOff>
    </xdr:from>
    <xdr:ext cx="1803400" cy="1803400"/>
    <xdr:pic>
      <xdr:nvPicPr>
        <xdr:cNvPr id="44" name="/xl/media/image13.png">
          <a:extLst>
            <a:ext uri="{FF2B5EF4-FFF2-40B4-BE49-F238E27FC236}">
              <a16:creationId xmlns:a16="http://schemas.microsoft.com/office/drawing/2014/main" id="{78896974-5F50-564C-A46C-9A70581BE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441900"/>
          <a:ext cx="1803400" cy="180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101600</xdr:rowOff>
    </xdr:from>
    <xdr:ext cx="1816100" cy="1816100"/>
    <xdr:pic>
      <xdr:nvPicPr>
        <xdr:cNvPr id="45" name="/xl/media/image24.png">
          <a:extLst>
            <a:ext uri="{FF2B5EF4-FFF2-40B4-BE49-F238E27FC236}">
              <a16:creationId xmlns:a16="http://schemas.microsoft.com/office/drawing/2014/main" id="{5836011D-60B7-4A43-8F47-4B321E36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4000400"/>
          <a:ext cx="1816100" cy="1816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101600</xdr:rowOff>
    </xdr:from>
    <xdr:ext cx="1816100" cy="1816100"/>
    <xdr:pic>
      <xdr:nvPicPr>
        <xdr:cNvPr id="46" name="/xl/media/image24.png">
          <a:extLst>
            <a:ext uri="{FF2B5EF4-FFF2-40B4-BE49-F238E27FC236}">
              <a16:creationId xmlns:a16="http://schemas.microsoft.com/office/drawing/2014/main" id="{FF617BE6-0BE2-AC46-BD92-5E1DEAB9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4000400"/>
          <a:ext cx="1816100" cy="18161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opLeftCell="A38" workbookViewId="0">
      <selection activeCell="H41" sqref="H41"/>
    </sheetView>
  </sheetViews>
  <sheetFormatPr baseColWidth="10" defaultColWidth="8.83203125" defaultRowHeight="169" customHeight="1" x14ac:dyDescent="0.25"/>
  <cols>
    <col min="1" max="1" width="27.5" style="137" customWidth="1"/>
    <col min="2" max="2" width="22" style="137" bestFit="1" customWidth="1"/>
    <col min="3" max="3" width="41.83203125" style="137" bestFit="1" customWidth="1"/>
    <col min="4" max="4" width="19.83203125" style="137" bestFit="1" customWidth="1"/>
    <col min="5" max="5" width="23.6640625" style="135" bestFit="1" customWidth="1"/>
    <col min="6" max="16384" width="8.83203125" style="135"/>
  </cols>
  <sheetData>
    <row r="1" spans="1:5" ht="19" x14ac:dyDescent="0.25">
      <c r="A1" s="138" t="s">
        <v>0</v>
      </c>
      <c r="B1" s="138" t="s">
        <v>1</v>
      </c>
      <c r="C1" s="138" t="s">
        <v>2</v>
      </c>
      <c r="D1" s="138" t="s">
        <v>573</v>
      </c>
      <c r="E1" s="138" t="s">
        <v>574</v>
      </c>
    </row>
    <row r="2" spans="1:5" ht="169" customHeight="1" x14ac:dyDescent="0.25">
      <c r="A2" s="139"/>
      <c r="B2" s="140" t="s">
        <v>3</v>
      </c>
      <c r="C2" s="141" t="s">
        <v>62</v>
      </c>
      <c r="D2" s="153">
        <v>2692.080016157377</v>
      </c>
      <c r="E2" s="154">
        <v>3321.8657993442616</v>
      </c>
    </row>
    <row r="3" spans="1:5" ht="169" customHeight="1" x14ac:dyDescent="0.25">
      <c r="A3" s="139"/>
      <c r="B3" s="140" t="s">
        <v>4</v>
      </c>
      <c r="C3" s="141" t="s">
        <v>100</v>
      </c>
      <c r="D3" s="153">
        <v>1609.228411803279</v>
      </c>
      <c r="E3" s="154">
        <v>2016.3004097049179</v>
      </c>
    </row>
    <row r="4" spans="1:5" ht="169" customHeight="1" x14ac:dyDescent="0.25">
      <c r="A4" s="139"/>
      <c r="B4" s="140" t="s">
        <v>5</v>
      </c>
      <c r="C4" s="141" t="s">
        <v>106</v>
      </c>
      <c r="D4" s="153">
        <v>1855.1811462295082</v>
      </c>
      <c r="E4" s="154">
        <v>2319.5008503606555</v>
      </c>
    </row>
    <row r="5" spans="1:5" ht="169" customHeight="1" x14ac:dyDescent="0.25">
      <c r="A5" s="139"/>
      <c r="B5" s="140" t="s">
        <v>6</v>
      </c>
      <c r="C5" s="141" t="s">
        <v>112</v>
      </c>
      <c r="D5" s="153">
        <v>2106.0298806557375</v>
      </c>
      <c r="E5" s="154">
        <v>2613.6641552786887</v>
      </c>
    </row>
    <row r="6" spans="1:5" ht="169" customHeight="1" x14ac:dyDescent="0.25">
      <c r="A6" s="139"/>
      <c r="B6" s="140" t="s">
        <v>7</v>
      </c>
      <c r="C6" s="141" t="s">
        <v>118</v>
      </c>
      <c r="D6" s="153">
        <v>2356.8786150819674</v>
      </c>
      <c r="E6" s="154">
        <v>2907.8274601967209</v>
      </c>
    </row>
    <row r="7" spans="1:5" ht="169" customHeight="1" x14ac:dyDescent="0.25">
      <c r="A7" s="139"/>
      <c r="B7" s="140" t="s">
        <v>8</v>
      </c>
      <c r="C7" s="141" t="s">
        <v>124</v>
      </c>
      <c r="D7" s="153">
        <v>2932.4085697049181</v>
      </c>
      <c r="E7" s="154">
        <v>3462.6719853114751</v>
      </c>
    </row>
    <row r="8" spans="1:5" ht="169" customHeight="1" x14ac:dyDescent="0.25">
      <c r="A8" s="139"/>
      <c r="B8" s="140" t="s">
        <v>9</v>
      </c>
      <c r="C8" s="141" t="s">
        <v>133</v>
      </c>
      <c r="D8" s="153">
        <v>3183.2573041311475</v>
      </c>
      <c r="E8" s="154">
        <v>3756.8352902295073</v>
      </c>
    </row>
    <row r="9" spans="1:5" ht="169" customHeight="1" x14ac:dyDescent="0.25">
      <c r="A9" s="139"/>
      <c r="B9" s="140" t="s">
        <v>10</v>
      </c>
      <c r="C9" s="141" t="s">
        <v>134</v>
      </c>
      <c r="D9" s="153">
        <v>3432.8975003278688</v>
      </c>
      <c r="E9" s="154">
        <v>4049.7900569180324</v>
      </c>
    </row>
    <row r="10" spans="1:5" ht="169" customHeight="1" x14ac:dyDescent="0.25">
      <c r="A10" s="139"/>
      <c r="B10" s="140" t="s">
        <v>629</v>
      </c>
      <c r="C10" s="141" t="s">
        <v>628</v>
      </c>
      <c r="D10" s="153">
        <f>'📊 Resumen y Cotización'!E21</f>
        <v>2603.8228406767216</v>
      </c>
      <c r="E10" s="154">
        <f>'📊 Resumen y Cotización'!H21</f>
        <v>3390.6832435409833</v>
      </c>
    </row>
    <row r="11" spans="1:5" ht="169" customHeight="1" x14ac:dyDescent="0.25">
      <c r="A11" s="139"/>
      <c r="B11" s="140" t="s">
        <v>11</v>
      </c>
      <c r="C11" s="141" t="s">
        <v>141</v>
      </c>
      <c r="D11" s="153">
        <v>1623.7290957639345</v>
      </c>
      <c r="E11" s="154">
        <v>2015.9108616393444</v>
      </c>
    </row>
    <row r="12" spans="1:5" ht="169" customHeight="1" x14ac:dyDescent="0.25">
      <c r="A12" s="139"/>
      <c r="B12" s="140" t="s">
        <v>12</v>
      </c>
      <c r="C12" s="141" t="s">
        <v>148</v>
      </c>
      <c r="D12" s="153">
        <v>1771.5050537967213</v>
      </c>
      <c r="E12" s="154">
        <v>2190.5439895081968</v>
      </c>
    </row>
    <row r="13" spans="1:5" ht="169" customHeight="1" x14ac:dyDescent="0.25">
      <c r="A13" s="139"/>
      <c r="B13" s="140" t="s">
        <v>13</v>
      </c>
      <c r="C13" s="141" t="s">
        <v>153</v>
      </c>
      <c r="D13" s="153">
        <v>1919.2810118295083</v>
      </c>
      <c r="E13" s="154">
        <v>2365.1771173770489</v>
      </c>
    </row>
    <row r="14" spans="1:5" ht="169" customHeight="1" x14ac:dyDescent="0.25">
      <c r="A14" s="139"/>
      <c r="B14" s="140" t="s">
        <v>14</v>
      </c>
      <c r="C14" s="141" t="s">
        <v>156</v>
      </c>
      <c r="D14" s="153">
        <v>1332.2447108196723</v>
      </c>
      <c r="E14" s="154">
        <v>1496.2447108196723</v>
      </c>
    </row>
    <row r="15" spans="1:5" ht="169" customHeight="1" x14ac:dyDescent="0.25">
      <c r="A15" s="139"/>
      <c r="B15" s="140" t="s">
        <v>633</v>
      </c>
      <c r="C15" s="141" t="s">
        <v>632</v>
      </c>
      <c r="D15" s="153">
        <f>'📊 Resumen y Cotización'!E26</f>
        <v>2121.3042468983613</v>
      </c>
      <c r="E15" s="154">
        <f>'📊 Resumen y Cotización'!H26</f>
        <v>2389.3042468983613</v>
      </c>
    </row>
    <row r="16" spans="1:5" ht="169" customHeight="1" x14ac:dyDescent="0.25">
      <c r="A16" s="139"/>
      <c r="B16" s="140" t="s">
        <v>15</v>
      </c>
      <c r="C16" s="141" t="s">
        <v>163</v>
      </c>
      <c r="D16" s="153">
        <v>1231.2648519344261</v>
      </c>
      <c r="E16" s="154">
        <v>1395.2648519344261</v>
      </c>
    </row>
    <row r="17" spans="1:5" ht="169" customHeight="1" x14ac:dyDescent="0.25">
      <c r="A17" s="139"/>
      <c r="B17" s="140" t="s">
        <v>16</v>
      </c>
      <c r="C17" s="141" t="s">
        <v>164</v>
      </c>
      <c r="D17" s="153">
        <v>4504.9847298098366</v>
      </c>
      <c r="E17" s="154">
        <v>5557.6467472786899</v>
      </c>
    </row>
    <row r="18" spans="1:5" ht="169" customHeight="1" x14ac:dyDescent="0.25">
      <c r="A18" s="139"/>
      <c r="B18" s="140" t="s">
        <v>17</v>
      </c>
      <c r="C18" s="141" t="s">
        <v>189</v>
      </c>
      <c r="D18" s="153">
        <v>2417.6515193704922</v>
      </c>
      <c r="E18" s="154">
        <v>2991.3109613114757</v>
      </c>
    </row>
    <row r="19" spans="1:5" ht="169" customHeight="1" x14ac:dyDescent="0.25">
      <c r="A19" s="139"/>
      <c r="B19" s="140" t="s">
        <v>18</v>
      </c>
      <c r="C19" s="141" t="s">
        <v>199</v>
      </c>
      <c r="D19" s="153">
        <v>2712.0902970754105</v>
      </c>
      <c r="E19" s="154">
        <v>3338.7818596721318</v>
      </c>
    </row>
    <row r="20" spans="1:5" ht="169" customHeight="1" x14ac:dyDescent="0.25">
      <c r="A20" s="139"/>
      <c r="B20" s="140" t="s">
        <v>19</v>
      </c>
      <c r="C20" s="141" t="s">
        <v>205</v>
      </c>
      <c r="D20" s="153">
        <v>3006.5290747803283</v>
      </c>
      <c r="E20" s="154">
        <v>3686.2527580327874</v>
      </c>
    </row>
    <row r="21" spans="1:5" ht="169" customHeight="1" x14ac:dyDescent="0.25">
      <c r="A21" s="139"/>
      <c r="B21" s="140" t="s">
        <v>20</v>
      </c>
      <c r="C21" s="141" t="s">
        <v>211</v>
      </c>
      <c r="D21" s="153">
        <v>3302.8638524852463</v>
      </c>
      <c r="E21" s="154">
        <v>4036.2516563934428</v>
      </c>
    </row>
    <row r="22" spans="1:5" ht="169" customHeight="1" x14ac:dyDescent="0.25">
      <c r="A22" s="139"/>
      <c r="B22" s="140" t="s">
        <v>21</v>
      </c>
      <c r="C22" s="141" t="s">
        <v>217</v>
      </c>
      <c r="D22" s="153">
        <v>3931.0708116983615</v>
      </c>
      <c r="E22" s="154">
        <v>4655.7147362622954</v>
      </c>
    </row>
    <row r="23" spans="1:5" ht="169" customHeight="1" x14ac:dyDescent="0.25">
      <c r="A23" s="139"/>
      <c r="B23" s="140" t="s">
        <v>22</v>
      </c>
      <c r="C23" s="141" t="s">
        <v>225</v>
      </c>
      <c r="D23" s="153">
        <v>4232.7095894032791</v>
      </c>
      <c r="E23" s="154">
        <v>5012.785634622951</v>
      </c>
    </row>
    <row r="24" spans="1:5" ht="169" customHeight="1" x14ac:dyDescent="0.25">
      <c r="A24" s="139"/>
      <c r="B24" s="140" t="s">
        <v>23</v>
      </c>
      <c r="C24" s="141" t="s">
        <v>232</v>
      </c>
      <c r="D24" s="153">
        <v>4534.3483671081976</v>
      </c>
      <c r="E24" s="154">
        <v>5369.8565329836065</v>
      </c>
    </row>
    <row r="25" spans="1:5" ht="169" customHeight="1" x14ac:dyDescent="0.25">
      <c r="A25" s="139"/>
      <c r="B25" s="140" t="s">
        <v>24</v>
      </c>
      <c r="C25" s="141" t="s">
        <v>239</v>
      </c>
      <c r="D25" s="153">
        <v>5346.446698596721</v>
      </c>
      <c r="E25" s="154">
        <v>6269.8762743606558</v>
      </c>
    </row>
    <row r="26" spans="1:5" ht="169" customHeight="1" x14ac:dyDescent="0.25">
      <c r="A26" s="139"/>
      <c r="B26" s="140" t="s">
        <v>25</v>
      </c>
      <c r="C26" s="141" t="s">
        <v>258</v>
      </c>
      <c r="D26" s="153">
        <v>5818.4020874491798</v>
      </c>
      <c r="E26" s="154">
        <v>6840.7688645245898</v>
      </c>
    </row>
    <row r="27" spans="1:5" ht="169" customHeight="1" x14ac:dyDescent="0.25">
      <c r="A27" s="139"/>
      <c r="B27" s="140" t="s">
        <v>26</v>
      </c>
      <c r="C27" s="141" t="s">
        <v>267</v>
      </c>
      <c r="D27" s="153">
        <v>6290.3574763016395</v>
      </c>
      <c r="E27" s="154">
        <v>7411.6614546885239</v>
      </c>
    </row>
    <row r="28" spans="1:5" ht="169" customHeight="1" x14ac:dyDescent="0.25">
      <c r="A28" s="139"/>
      <c r="B28" s="140" t="s">
        <v>650</v>
      </c>
      <c r="C28" s="141" t="s">
        <v>649</v>
      </c>
      <c r="D28" s="153">
        <f>'📊 Resumen y Cotización'!E39</f>
        <v>3448.928428668853</v>
      </c>
      <c r="E28" s="154">
        <f>'📊 Resumen y Cotización'!H39</f>
        <v>3716.928428668853</v>
      </c>
    </row>
    <row r="29" spans="1:5" ht="169" customHeight="1" x14ac:dyDescent="0.25">
      <c r="A29" s="139"/>
      <c r="B29" s="140" t="s">
        <v>657</v>
      </c>
      <c r="C29" s="141" t="s">
        <v>648</v>
      </c>
      <c r="D29" s="153">
        <f>'📊 Resumen y Cotización'!E40</f>
        <v>5590.5652876170498</v>
      </c>
      <c r="E29" s="154">
        <f>'📊 Resumen y Cotización'!H40</f>
        <v>7212.7094222163942</v>
      </c>
    </row>
    <row r="30" spans="1:5" ht="169" customHeight="1" x14ac:dyDescent="0.25">
      <c r="A30" s="139"/>
      <c r="B30" s="140" t="s">
        <v>27</v>
      </c>
      <c r="C30" s="141" t="s">
        <v>275</v>
      </c>
      <c r="D30" s="153">
        <v>2105.7105332459018</v>
      </c>
      <c r="E30" s="154">
        <v>2162.622648655738</v>
      </c>
    </row>
    <row r="31" spans="1:5" ht="169" customHeight="1" x14ac:dyDescent="0.25">
      <c r="A31" s="139"/>
      <c r="B31" s="140" t="s">
        <v>28</v>
      </c>
      <c r="C31" s="141" t="s">
        <v>284</v>
      </c>
      <c r="D31" s="153">
        <v>2436.5498670163934</v>
      </c>
      <c r="E31" s="154">
        <v>2526.8538670163935</v>
      </c>
    </row>
    <row r="32" spans="1:5" ht="169" customHeight="1" x14ac:dyDescent="0.25">
      <c r="A32" s="139"/>
      <c r="B32" s="140" t="s">
        <v>29</v>
      </c>
      <c r="C32" s="141" t="s">
        <v>287</v>
      </c>
      <c r="D32" s="153">
        <v>2798.3182268852461</v>
      </c>
      <c r="E32" s="154">
        <v>3336.1711674754097</v>
      </c>
    </row>
    <row r="33" spans="1:5" ht="169" customHeight="1" x14ac:dyDescent="0.25">
      <c r="A33" s="139"/>
      <c r="B33" s="140" t="s">
        <v>30</v>
      </c>
      <c r="C33" s="141" t="s">
        <v>288</v>
      </c>
      <c r="D33" s="153">
        <v>3344.5709030819676</v>
      </c>
      <c r="E33" s="154">
        <v>3852.6720797377052</v>
      </c>
    </row>
    <row r="34" spans="1:5" ht="169" customHeight="1" x14ac:dyDescent="0.25">
      <c r="A34" s="139"/>
      <c r="B34" s="140" t="s">
        <v>31</v>
      </c>
      <c r="C34" s="141" t="s">
        <v>292</v>
      </c>
      <c r="D34" s="153">
        <v>3563.3247916065579</v>
      </c>
      <c r="E34" s="154">
        <v>4105.8502043278695</v>
      </c>
    </row>
    <row r="35" spans="1:5" ht="169" customHeight="1" x14ac:dyDescent="0.25">
      <c r="A35" s="139"/>
      <c r="B35" s="140" t="s">
        <v>32</v>
      </c>
      <c r="C35" s="141" t="s">
        <v>293</v>
      </c>
      <c r="D35" s="153">
        <v>3782.0786801311483</v>
      </c>
      <c r="E35" s="154">
        <v>4359.0283289180334</v>
      </c>
    </row>
    <row r="36" spans="1:5" ht="169" customHeight="1" x14ac:dyDescent="0.25">
      <c r="A36" s="139"/>
      <c r="B36" s="140" t="s">
        <v>33</v>
      </c>
      <c r="C36" s="141" t="s">
        <v>295</v>
      </c>
      <c r="D36" s="153">
        <v>6853.0481336655748</v>
      </c>
      <c r="E36" s="154">
        <v>8113.7516737049173</v>
      </c>
    </row>
    <row r="37" spans="1:5" ht="169" customHeight="1" x14ac:dyDescent="0.25">
      <c r="A37" s="139"/>
      <c r="B37" s="140" t="s">
        <v>34</v>
      </c>
      <c r="C37" s="141" t="s">
        <v>308</v>
      </c>
      <c r="D37" s="153">
        <v>8387.3513153049189</v>
      </c>
      <c r="E37" s="154">
        <v>9913.1630835409833</v>
      </c>
    </row>
    <row r="38" spans="1:5" ht="169" customHeight="1" x14ac:dyDescent="0.25">
      <c r="A38" s="139"/>
      <c r="B38" s="140" t="s">
        <v>35</v>
      </c>
      <c r="C38" s="141" t="s">
        <v>314</v>
      </c>
      <c r="D38" s="153">
        <v>10223.553127239344</v>
      </c>
      <c r="E38" s="154">
        <v>12020.521123672133</v>
      </c>
    </row>
    <row r="39" spans="1:5" ht="169" customHeight="1" x14ac:dyDescent="0.25">
      <c r="A39" s="139"/>
      <c r="B39" s="140" t="s">
        <v>36</v>
      </c>
      <c r="C39" s="140" t="s">
        <v>323</v>
      </c>
      <c r="D39" s="153">
        <v>8788.1361458360661</v>
      </c>
      <c r="E39" s="154">
        <v>9053.4827813770498</v>
      </c>
    </row>
    <row r="40" spans="1:5" ht="169" customHeight="1" x14ac:dyDescent="0.25">
      <c r="A40" s="139"/>
      <c r="B40" s="140" t="s">
        <v>37</v>
      </c>
      <c r="C40" s="140" t="s">
        <v>330</v>
      </c>
      <c r="D40" s="153">
        <v>10202.725694950821</v>
      </c>
      <c r="E40" s="154">
        <v>10312.43897285246</v>
      </c>
    </row>
    <row r="41" spans="1:5" ht="169" customHeight="1" x14ac:dyDescent="0.25">
      <c r="A41" s="139"/>
      <c r="B41" s="140" t="s">
        <v>640</v>
      </c>
      <c r="C41" s="140" t="s">
        <v>639</v>
      </c>
      <c r="D41" s="153">
        <f>D39*('📊 Resumen y Cotización'!D52/'📊 Resumen y Cotización'!D50)</f>
        <v>11871.515269717936</v>
      </c>
      <c r="E41" s="154">
        <f>E39*('📊 Resumen y Cotización'!G52/'📊 Resumen y Cotización'!G50)</f>
        <v>12766.456995633525</v>
      </c>
    </row>
    <row r="42" spans="1:5" ht="169" customHeight="1" x14ac:dyDescent="0.25">
      <c r="A42" s="139"/>
      <c r="B42" s="140" t="s">
        <v>638</v>
      </c>
      <c r="C42" s="140" t="s">
        <v>637</v>
      </c>
      <c r="D42" s="153">
        <f>D40*('📊 Resumen y Cotización'!D53/'📊 Resumen y Cotización'!D51)</f>
        <v>14146.824551040694</v>
      </c>
      <c r="E42" s="154">
        <f>E40*('📊 Resumen y Cotización'!G53/'📊 Resumen y Cotización'!G51)</f>
        <v>14203.954360475167</v>
      </c>
    </row>
    <row r="43" spans="1:5" ht="169" customHeight="1" x14ac:dyDescent="0.25">
      <c r="A43" s="139"/>
      <c r="B43" s="140" t="s">
        <v>38</v>
      </c>
      <c r="C43" s="141" t="s">
        <v>345</v>
      </c>
      <c r="D43" s="153">
        <v>6351.7242040655728</v>
      </c>
      <c r="E43" s="154">
        <v>6298.4838420983597</v>
      </c>
    </row>
    <row r="44" spans="1:5" ht="169" customHeight="1" x14ac:dyDescent="0.25">
      <c r="A44" s="139"/>
      <c r="B44" s="140" t="s">
        <v>39</v>
      </c>
      <c r="C44" s="140" t="s">
        <v>349</v>
      </c>
      <c r="D44" s="153">
        <v>183.24060327868852</v>
      </c>
      <c r="E44" s="154">
        <v>183.24060327868852</v>
      </c>
    </row>
    <row r="45" spans="1:5" ht="169" customHeight="1" x14ac:dyDescent="0.25">
      <c r="A45" s="139"/>
      <c r="B45" s="140" t="s">
        <v>40</v>
      </c>
      <c r="C45" s="140" t="s">
        <v>351</v>
      </c>
      <c r="D45" s="153">
        <v>344.72120655737706</v>
      </c>
      <c r="E45" s="154">
        <v>344.72120655737706</v>
      </c>
    </row>
    <row r="46" spans="1:5" ht="169" customHeight="1" x14ac:dyDescent="0.25">
      <c r="A46" s="139"/>
      <c r="B46" s="140" t="s">
        <v>41</v>
      </c>
      <c r="C46" s="140" t="s">
        <v>352</v>
      </c>
      <c r="D46" s="153">
        <v>615.96159999999998</v>
      </c>
      <c r="E46" s="154">
        <v>615.96159999999998</v>
      </c>
    </row>
    <row r="47" spans="1:5" ht="169" customHeight="1" x14ac:dyDescent="0.25">
      <c r="A47" s="139"/>
      <c r="B47" s="140" t="s">
        <v>42</v>
      </c>
      <c r="C47" s="140" t="s">
        <v>354</v>
      </c>
      <c r="D47" s="153">
        <v>1721.7279999999998</v>
      </c>
      <c r="E47" s="154">
        <v>1721.7279999999998</v>
      </c>
    </row>
    <row r="48" spans="1:5" ht="169" customHeight="1" x14ac:dyDescent="0.25">
      <c r="A48" s="139"/>
      <c r="B48" s="140" t="s">
        <v>357</v>
      </c>
      <c r="C48" s="140" t="s">
        <v>356</v>
      </c>
      <c r="D48" s="153">
        <f>D47*('📊 Resumen y Cotización'!D59/'📊 Resumen y Cotización'!D58)</f>
        <v>1023.2810921915969</v>
      </c>
      <c r="E48" s="154">
        <f>E47*('📊 Resumen y Cotización'!G59/'📊 Resumen y Cotización'!G58)</f>
        <v>1023.2810921915969</v>
      </c>
    </row>
    <row r="49" spans="1:5" ht="169" customHeight="1" x14ac:dyDescent="0.25">
      <c r="A49" s="139"/>
      <c r="B49" s="140" t="s">
        <v>43</v>
      </c>
      <c r="C49" s="140" t="s">
        <v>358</v>
      </c>
      <c r="D49" s="153">
        <v>598.3160655737704</v>
      </c>
      <c r="E49" s="154">
        <v>598.3160655737704</v>
      </c>
    </row>
    <row r="50" spans="1:5" ht="169" customHeight="1" x14ac:dyDescent="0.25">
      <c r="A50" s="136"/>
    </row>
  </sheetData>
  <conditionalFormatting sqref="E2:E49">
    <cfRule type="expression" dxfId="30" priority="1">
      <formula>$J2="PENDIENTE"</formula>
    </cfRule>
  </conditionalFormatting>
  <dataValidations count="1">
    <dataValidation type="list" showInputMessage="1" showErrorMessage="1" sqref="E8" xr:uid="{AF363C29-6EE2-D94E-9AA6-0B552006F4FE}">
      <formula1>"Granito,Laminado"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opLeftCell="A33" zoomScale="130" zoomScaleNormal="130" workbookViewId="0">
      <selection activeCell="A39" sqref="A39:XFD40"/>
    </sheetView>
  </sheetViews>
  <sheetFormatPr baseColWidth="10" defaultColWidth="8.83203125" defaultRowHeight="15" x14ac:dyDescent="0.2"/>
  <cols>
    <col min="1" max="1" width="7.6640625" bestFit="1" customWidth="1"/>
    <col min="2" max="2" width="15.83203125" bestFit="1" customWidth="1"/>
    <col min="3" max="3" width="32.83203125" bestFit="1" customWidth="1"/>
    <col min="4" max="4" width="7.83203125" bestFit="1" customWidth="1"/>
    <col min="5" max="5" width="8.6640625" bestFit="1" customWidth="1"/>
    <col min="6" max="6" width="8.83203125" bestFit="1" customWidth="1"/>
    <col min="7" max="7" width="8.6640625" bestFit="1" customWidth="1"/>
    <col min="8" max="8" width="9.5" bestFit="1" customWidth="1"/>
    <col min="9" max="9" width="8.83203125" bestFit="1" customWidth="1"/>
    <col min="10" max="10" width="9.5" bestFit="1" customWidth="1"/>
    <col min="11" max="11" width="19.5" bestFit="1" customWidth="1"/>
    <col min="12" max="12" width="11.1640625" bestFit="1" customWidth="1"/>
    <col min="13" max="13" width="10.5" bestFit="1" customWidth="1"/>
    <col min="14" max="14" width="22.6640625" bestFit="1" customWidth="1"/>
  </cols>
  <sheetData>
    <row r="1" spans="1:14" ht="37.25" customHeight="1" x14ac:dyDescent="0.2">
      <c r="A1" s="198" t="s">
        <v>414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26.75" customHeight="1" x14ac:dyDescent="0.2">
      <c r="A2" s="199" t="s">
        <v>415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29.25" customHeight="1" x14ac:dyDescent="0.2">
      <c r="A3" s="61" t="s">
        <v>416</v>
      </c>
      <c r="B3" s="200" t="s">
        <v>417</v>
      </c>
      <c r="C3" s="201"/>
      <c r="D3" s="201"/>
      <c r="E3" s="201"/>
      <c r="F3" s="202"/>
      <c r="G3" s="203"/>
      <c r="H3" s="61" t="s">
        <v>418</v>
      </c>
      <c r="I3" s="204">
        <v>46221</v>
      </c>
      <c r="J3" s="205"/>
      <c r="K3" s="61" t="s">
        <v>419</v>
      </c>
      <c r="L3" s="200" t="s">
        <v>420</v>
      </c>
      <c r="M3" s="201"/>
      <c r="N3" s="206"/>
    </row>
    <row r="4" spans="1:14" ht="29.25" customHeight="1" x14ac:dyDescent="0.2">
      <c r="A4" s="61" t="s">
        <v>421</v>
      </c>
      <c r="B4" s="200" t="s">
        <v>422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6"/>
    </row>
    <row r="5" spans="1:14" x14ac:dyDescent="0.2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ht="29.25" customHeight="1" x14ac:dyDescent="0.2">
      <c r="A6" s="207" t="s">
        <v>423</v>
      </c>
      <c r="B6" s="208"/>
      <c r="C6" s="209" t="s">
        <v>424</v>
      </c>
      <c r="D6" s="210"/>
      <c r="E6" s="211" t="s">
        <v>425</v>
      </c>
      <c r="F6" s="212"/>
      <c r="G6" s="213" t="s">
        <v>426</v>
      </c>
      <c r="H6" s="214"/>
      <c r="I6" s="209" t="s">
        <v>427</v>
      </c>
      <c r="J6" s="208"/>
      <c r="K6" s="215" t="s">
        <v>428</v>
      </c>
      <c r="L6" s="216"/>
      <c r="M6" s="217" t="s">
        <v>429</v>
      </c>
      <c r="N6" s="218"/>
    </row>
    <row r="7" spans="1:14" ht="41.25" customHeight="1" x14ac:dyDescent="0.2">
      <c r="A7" s="235">
        <f>SUM(A13:A60)</f>
        <v>9</v>
      </c>
      <c r="B7" s="236"/>
      <c r="C7" s="237">
        <f>L25</f>
        <v>47739.651516565253</v>
      </c>
      <c r="D7" s="238"/>
      <c r="E7" s="239">
        <f>M25</f>
        <v>59954.275768675427</v>
      </c>
      <c r="F7" s="240"/>
      <c r="G7" s="241">
        <f>'🧱 Cubiertas'!H4</f>
        <v>0</v>
      </c>
      <c r="H7" s="242"/>
      <c r="I7" s="237">
        <f>L28</f>
        <v>55377.995759215693</v>
      </c>
      <c r="J7" s="243"/>
      <c r="K7" s="219">
        <f>M28</f>
        <v>69546.9598916635</v>
      </c>
      <c r="L7" s="220"/>
      <c r="M7" s="221">
        <f>IF(ISNUMBER(M28),M28-L28,"PENDIENTE")</f>
        <v>14168.964132447807</v>
      </c>
      <c r="N7" s="222"/>
    </row>
    <row r="8" spans="1:14" ht="32" customHeight="1" x14ac:dyDescent="0.2">
      <c r="A8" s="223" t="s">
        <v>430</v>
      </c>
      <c r="B8" s="224"/>
      <c r="C8" s="225" t="s">
        <v>431</v>
      </c>
      <c r="D8" s="226"/>
      <c r="E8" s="227" t="s">
        <v>432</v>
      </c>
      <c r="F8" s="228"/>
      <c r="G8" s="229" t="s">
        <v>618</v>
      </c>
      <c r="H8" s="230"/>
      <c r="I8" s="225" t="s">
        <v>433</v>
      </c>
      <c r="J8" s="224"/>
      <c r="K8" s="231" t="s">
        <v>434</v>
      </c>
      <c r="L8" s="232"/>
      <c r="M8" s="233" t="s">
        <v>435</v>
      </c>
      <c r="N8" s="234"/>
    </row>
    <row r="9" spans="1:14" x14ac:dyDescent="0.2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 spans="1:14" ht="29.25" customHeight="1" x14ac:dyDescent="0.2">
      <c r="A10" s="244" t="s">
        <v>436</v>
      </c>
      <c r="B10" s="244"/>
      <c r="C10" s="244"/>
      <c r="D10" s="244"/>
      <c r="E10" s="244"/>
      <c r="F10" s="244"/>
      <c r="G10" s="244"/>
      <c r="H10" s="244"/>
      <c r="I10" s="244"/>
      <c r="J10" s="244"/>
      <c r="K10" s="245" t="s">
        <v>437</v>
      </c>
      <c r="L10" s="245"/>
      <c r="M10" s="245"/>
      <c r="N10" s="245"/>
    </row>
    <row r="11" spans="1:14" ht="42.75" customHeight="1" x14ac:dyDescent="0.2">
      <c r="A11" s="246" t="s">
        <v>438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7" t="str">
        <f>IF(SUM('📋 Explosión y Despiece Bla'!$V$2:$V$643)+SUM('📋 Explosión y Despiece Mad'!$V$2:$V$713)=0,"✓ COSTOS COMPLETOS","⚠ REVISAR PRECIOS FALTANTES")</f>
        <v>✓ COSTOS COMPLETOS</v>
      </c>
      <c r="L11" s="248"/>
      <c r="M11" s="248"/>
      <c r="N11" s="249"/>
    </row>
    <row r="12" spans="1:14" ht="40" customHeight="1" x14ac:dyDescent="0.2">
      <c r="A12" s="62" t="s">
        <v>0</v>
      </c>
      <c r="B12" s="62" t="s">
        <v>1</v>
      </c>
      <c r="C12" s="62" t="s">
        <v>2</v>
      </c>
      <c r="D12" s="63" t="s">
        <v>439</v>
      </c>
      <c r="E12" s="63" t="s">
        <v>440</v>
      </c>
      <c r="F12" s="63" t="s">
        <v>441</v>
      </c>
      <c r="G12" s="150" t="s">
        <v>442</v>
      </c>
      <c r="H12" s="150" t="s">
        <v>443</v>
      </c>
      <c r="I12" s="150" t="s">
        <v>444</v>
      </c>
      <c r="J12" s="150" t="s">
        <v>445</v>
      </c>
      <c r="K12" s="67" t="s">
        <v>446</v>
      </c>
      <c r="L12" s="65" t="s">
        <v>447</v>
      </c>
      <c r="M12" s="65" t="s">
        <v>448</v>
      </c>
      <c r="N12" s="66" t="s">
        <v>449</v>
      </c>
    </row>
    <row r="13" spans="1:14" ht="29.25" customHeight="1" x14ac:dyDescent="0.2">
      <c r="A13" s="68">
        <v>1</v>
      </c>
      <c r="B13" s="60" t="s">
        <v>3</v>
      </c>
      <c r="C13" s="59" t="s">
        <v>62</v>
      </c>
      <c r="D13" s="69">
        <f>SUMIF('📋 Explosión y Despiece Bla'!$K$2:$K$643,B13,'📋 Explosión y Despiece Bla'!$S$2:$S$643)</f>
        <v>703.90877007213123</v>
      </c>
      <c r="E13" s="69">
        <f>D13*$L$14+$L$15</f>
        <v>4716.1887594832797</v>
      </c>
      <c r="F13" s="69">
        <f>A13*E13</f>
        <v>4716.1887594832797</v>
      </c>
      <c r="G13" s="70">
        <f>SUMIF('📋 Explosión y Despiece Mad'!$K$2:$K$713,B13,'📋 Explosión y Despiece Mad'!$S$2:$S$713)</f>
        <v>922.07751114754114</v>
      </c>
      <c r="H13" s="70">
        <f>G13*$L$14+$L$15</f>
        <v>6177.9193246885261</v>
      </c>
      <c r="I13" s="70">
        <f t="shared" ref="I13:I60" si="0">A13*H13</f>
        <v>6177.9193246885261</v>
      </c>
      <c r="J13" s="152" t="str">
        <f>IF(SUMIF('📋 Explosión y Despiece Mad'!$K$2:$K$713,B13,'📋 Explosión y Despiece Mad'!$V$2:$V$713)&gt;0,"PENDIENTE","OK")</f>
        <v>OK</v>
      </c>
      <c r="K13" s="142" t="s">
        <v>450</v>
      </c>
      <c r="L13" s="79">
        <f>A13*D13+A14*D14+A15*D15+A16*D16+A17*D17+A18*D18+A19*D19+A20*D20+A22*D22+A23*D23+A24*D24+A25*D25+A27*D27+A28*D28+A29*D29+A30*D30+A31*D31+A32*D32+A33*D33+A34*D34+A35*D35+A36*D36+A37*D37+A38*D38+A41*D41+A42*D42+A43*D43+A44*D44+A45*D45+A46*D46+A47*D47+A48*D48+A49*D49+A50*D50+A51*D51+A54*D54+A55*D55+A56*D56+A57*D57+A58*D58+A60*D60</f>
        <v>7125.3211218754113</v>
      </c>
      <c r="M13" s="79">
        <f>A13*G13+A14*G14+A15*G15+A16*G16+A17*G17+A18*G18+A19*G19+A20*G20+A22*G22+A23*G23+A24*G24+A25*G25+A27*G27+A28*G28+A29*G29+A30*G30+A31*G31+A32*G32+A33*G33+A34*G34+A35*G35+A36*G36+A37*G37+A38*G38+A41*G41+A42*G42+A43*G43+A44*G44+A45*G45+A46*G46+A47*G47+A48*G48+A49*G49+A50*G50+A51*G51+A54*G54+A55*G55+A56*G56+A57*G57+A58*G58+A60*G60</f>
        <v>8948.3993684590168</v>
      </c>
      <c r="N13" s="77" t="s">
        <v>451</v>
      </c>
    </row>
    <row r="14" spans="1:14" ht="29.25" customHeight="1" x14ac:dyDescent="0.2">
      <c r="A14" s="68">
        <v>0</v>
      </c>
      <c r="B14" s="60" t="s">
        <v>4</v>
      </c>
      <c r="C14" s="59" t="s">
        <v>100</v>
      </c>
      <c r="D14" s="69">
        <f>SUMIF('📋 Explosión y Despiece Bla'!$K$2:$K$643,B14,'📋 Explosión y Despiece Bla'!$S$2:$S$643)</f>
        <v>423.39961390163944</v>
      </c>
      <c r="E14" s="69">
        <f t="shared" ref="E14:E60" si="1">D14*$L$14+$L$15</f>
        <v>2836.7774131409842</v>
      </c>
      <c r="F14" s="69">
        <f t="shared" ref="F14:F60" si="2">A14*E14</f>
        <v>0</v>
      </c>
      <c r="G14" s="70">
        <f>SUMIF('📋 Explosión y Despiece Mad'!$K$2:$K$713,B14,'📋 Explosión y Despiece Mad'!$S$2:$S$713)</f>
        <v>558.5543550163934</v>
      </c>
      <c r="H14" s="70">
        <f t="shared" ref="H14:H60" si="3">G14*$L$14+$L$15</f>
        <v>3742.3141786098358</v>
      </c>
      <c r="I14" s="70">
        <f t="shared" si="0"/>
        <v>0</v>
      </c>
      <c r="J14" s="152" t="str">
        <f>IF(SUMIF('📋 Explosión y Despiece Mad'!$K$2:$K$713,B14,'📋 Explosión y Despiece Mad'!$V$2:$V$713)&gt;0,"PENDIENTE","OK")</f>
        <v>OK</v>
      </c>
      <c r="K14" s="143" t="s">
        <v>452</v>
      </c>
      <c r="L14" s="81">
        <v>6.7</v>
      </c>
      <c r="M14" s="81">
        <f>L14</f>
        <v>6.7</v>
      </c>
      <c r="N14" s="78" t="s">
        <v>453</v>
      </c>
    </row>
    <row r="15" spans="1:14" ht="29.25" customHeight="1" x14ac:dyDescent="0.2">
      <c r="A15" s="68">
        <v>0</v>
      </c>
      <c r="B15" s="60" t="s">
        <v>5</v>
      </c>
      <c r="C15" s="59" t="s">
        <v>106</v>
      </c>
      <c r="D15" s="69">
        <f>SUMIF('📋 Explosión y Despiece Bla'!$K$2:$K$643,B15,'📋 Explosión y Despiece Bla'!$S$2:$S$643)</f>
        <v>487.26541062295087</v>
      </c>
      <c r="E15" s="69">
        <f t="shared" si="1"/>
        <v>3264.6782511737711</v>
      </c>
      <c r="F15" s="69">
        <f t="shared" si="2"/>
        <v>0</v>
      </c>
      <c r="G15" s="70">
        <f>SUMIF('📋 Explosión y Despiece Mad'!$K$2:$K$713,B15,'📋 Explosión y Despiece Mad'!$S$2:$S$713)</f>
        <v>642.51766386885242</v>
      </c>
      <c r="H15" s="70">
        <f t="shared" si="3"/>
        <v>4304.8683479213114</v>
      </c>
      <c r="I15" s="70">
        <f t="shared" si="0"/>
        <v>0</v>
      </c>
      <c r="J15" s="152" t="str">
        <f>IF(SUMIF('📋 Explosión y Despiece Mad'!$K$2:$K$713,B15,'📋 Explosión y Despiece Mad'!$V$2:$V$713)&gt;0,"PENDIENTE","OK")</f>
        <v>OK</v>
      </c>
      <c r="K15" s="143" t="s">
        <v>454</v>
      </c>
      <c r="L15" s="82">
        <v>0</v>
      </c>
      <c r="M15" s="81">
        <f>L15</f>
        <v>0</v>
      </c>
      <c r="N15" s="78" t="s">
        <v>453</v>
      </c>
    </row>
    <row r="16" spans="1:14" ht="29.25" customHeight="1" x14ac:dyDescent="0.2">
      <c r="A16" s="68">
        <v>0</v>
      </c>
      <c r="B16" s="60" t="s">
        <v>6</v>
      </c>
      <c r="C16" s="59" t="s">
        <v>112</v>
      </c>
      <c r="D16" s="69">
        <f>SUMIF('📋 Explosión y Despiece Bla'!$K$2:$K$643,B16,'📋 Explosión y Despiece Bla'!$S$2:$S$643)</f>
        <v>552.35520734426234</v>
      </c>
      <c r="E16" s="69">
        <f t="shared" si="1"/>
        <v>3700.779889206558</v>
      </c>
      <c r="F16" s="69">
        <f t="shared" si="2"/>
        <v>0</v>
      </c>
      <c r="G16" s="70">
        <f>SUMIF('📋 Explosión y Despiece Mad'!$K$2:$K$713,B16,'📋 Explosión y Despiece Mad'!$S$2:$S$713)</f>
        <v>724.07748026229524</v>
      </c>
      <c r="H16" s="70">
        <f t="shared" si="3"/>
        <v>4851.3191177573781</v>
      </c>
      <c r="I16" s="70">
        <f t="shared" si="0"/>
        <v>0</v>
      </c>
      <c r="J16" s="152" t="str">
        <f>IF(SUMIF('📋 Explosión y Despiece Mad'!$K$2:$K$713,B16,'📋 Explosión y Despiece Mad'!$V$2:$V$713)&gt;0,"PENDIENTE","OK")</f>
        <v>OK</v>
      </c>
      <c r="K16" s="143" t="s">
        <v>431</v>
      </c>
      <c r="L16" s="80">
        <f>SUM(F13:F60)</f>
        <v>47739.651516565253</v>
      </c>
      <c r="M16" s="80">
        <f>SUM(I13:I60)</f>
        <v>59954.275768675427</v>
      </c>
      <c r="N16" s="78" t="s">
        <v>609</v>
      </c>
    </row>
    <row r="17" spans="1:14" ht="29.25" customHeight="1" x14ac:dyDescent="0.2">
      <c r="A17" s="68">
        <v>0</v>
      </c>
      <c r="B17" s="60" t="s">
        <v>7</v>
      </c>
      <c r="C17" s="59" t="s">
        <v>118</v>
      </c>
      <c r="D17" s="69">
        <f>SUMIF('📋 Explosión y Despiece Bla'!$K$2:$K$643,B17,'📋 Explosión y Despiece Bla'!$S$2:$S$643)</f>
        <v>617.44500406557381</v>
      </c>
      <c r="E17" s="69">
        <f t="shared" si="1"/>
        <v>4136.8815272393449</v>
      </c>
      <c r="F17" s="69">
        <f t="shared" si="2"/>
        <v>0</v>
      </c>
      <c r="G17" s="70">
        <f>SUMIF('📋 Explosión y Despiece Mad'!$K$2:$K$713,B17,'📋 Explosión y Despiece Mad'!$S$2:$S$713)</f>
        <v>805.63729665573783</v>
      </c>
      <c r="H17" s="70">
        <f t="shared" si="3"/>
        <v>5397.7698875934439</v>
      </c>
      <c r="I17" s="70">
        <f t="shared" si="0"/>
        <v>0</v>
      </c>
      <c r="J17" s="152" t="str">
        <f>IF(SUMIF('📋 Explosión y Despiece Mad'!$K$2:$K$713,B17,'📋 Explosión y Despiece Mad'!$V$2:$V$713)&gt;0,"PENDIENTE","OK")</f>
        <v>OK</v>
      </c>
      <c r="K17" s="143"/>
      <c r="L17" s="57"/>
      <c r="M17" s="57"/>
      <c r="N17" s="78"/>
    </row>
    <row r="18" spans="1:14" ht="29.25" customHeight="1" x14ac:dyDescent="0.2">
      <c r="A18" s="68">
        <v>0</v>
      </c>
      <c r="B18" s="60" t="s">
        <v>8</v>
      </c>
      <c r="C18" s="59" t="s">
        <v>124</v>
      </c>
      <c r="D18" s="69">
        <f>SUMIF('📋 Explosión y Despiece Bla'!$K$2:$K$643,B18,'📋 Explosión y Despiece Bla'!$S$2:$S$643)</f>
        <v>773.66477744262306</v>
      </c>
      <c r="E18" s="69">
        <f t="shared" si="1"/>
        <v>5183.5540088655744</v>
      </c>
      <c r="F18" s="69">
        <f t="shared" si="2"/>
        <v>0</v>
      </c>
      <c r="G18" s="70">
        <f>SUMIF('📋 Explosión y Despiece Mad'!$K$2:$K$713,B18,'📋 Explosión y Despiece Mad'!$S$2:$S$713)</f>
        <v>954.32708970491808</v>
      </c>
      <c r="H18" s="70">
        <f t="shared" si="3"/>
        <v>6393.9915010229515</v>
      </c>
      <c r="I18" s="70">
        <f t="shared" si="0"/>
        <v>0</v>
      </c>
      <c r="J18" s="152" t="str">
        <f>IF(SUMIF('📋 Explosión y Despiece Mad'!$K$2:$K$713,B18,'📋 Explosión y Despiece Mad'!$V$2:$V$713)&gt;0,"PENDIENTE","OK")</f>
        <v>OK</v>
      </c>
      <c r="K18" s="250" t="s">
        <v>610</v>
      </c>
      <c r="L18" s="250"/>
      <c r="M18" s="250"/>
      <c r="N18" s="251"/>
    </row>
    <row r="19" spans="1:14" ht="29.25" customHeight="1" x14ac:dyDescent="0.2">
      <c r="A19" s="68">
        <v>2</v>
      </c>
      <c r="B19" s="60" t="s">
        <v>9</v>
      </c>
      <c r="C19" s="59" t="s">
        <v>133</v>
      </c>
      <c r="D19" s="69">
        <f>SUMIF('📋 Explosión y Despiece Bla'!$K$2:$K$643,B19,'📋 Explosión y Despiece Bla'!$S$2:$S$643)</f>
        <v>838.75457416393454</v>
      </c>
      <c r="E19" s="69">
        <f t="shared" si="1"/>
        <v>5619.6556468983617</v>
      </c>
      <c r="F19" s="69">
        <f t="shared" si="2"/>
        <v>11239.311293796723</v>
      </c>
      <c r="G19" s="70">
        <f>SUMIF('📋 Explosión y Despiece Mad'!$K$2:$K$713,B19,'📋 Explosión y Despiece Mad'!$S$2:$S$713)</f>
        <v>1035.8869060983607</v>
      </c>
      <c r="H19" s="70">
        <f t="shared" si="3"/>
        <v>6940.4422708590164</v>
      </c>
      <c r="I19" s="151">
        <f t="shared" si="0"/>
        <v>13880.884541718033</v>
      </c>
      <c r="J19" s="152" t="str">
        <f>IF(SUMIF('📋 Explosión y Despiece Mad'!$K$2:$K$713,B19,'📋 Explosión y Despiece Mad'!$V$2:$V$713)&gt;0,"PENDIENTE","OK")</f>
        <v>OK</v>
      </c>
      <c r="K19" s="143" t="s">
        <v>577</v>
      </c>
      <c r="L19" s="167" t="s">
        <v>583</v>
      </c>
      <c r="M19" s="81" t="str">
        <f>L19</f>
        <v>SIN CUBIERTA</v>
      </c>
      <c r="N19" s="78" t="s">
        <v>592</v>
      </c>
    </row>
    <row r="20" spans="1:14" ht="29.25" customHeight="1" x14ac:dyDescent="0.2">
      <c r="A20" s="68">
        <v>0</v>
      </c>
      <c r="B20" s="60" t="s">
        <v>10</v>
      </c>
      <c r="C20" s="59" t="s">
        <v>134</v>
      </c>
      <c r="D20" s="69">
        <f>SUMIF('📋 Explosión y Despiece Bla'!$K$2:$K$643,B20,'📋 Explosión y Despiece Bla'!$S$2:$S$643)</f>
        <v>903.50880078688533</v>
      </c>
      <c r="E20" s="69">
        <f t="shared" si="1"/>
        <v>6053.5089652721317</v>
      </c>
      <c r="F20" s="69">
        <f t="shared" si="2"/>
        <v>0</v>
      </c>
      <c r="G20" s="70">
        <f>SUMIF('📋 Explosión y Despiece Mad'!$K$2:$K$713,B20,'📋 Explosión y Despiece Mad'!$S$2:$S$713)</f>
        <v>1117.1111523934426</v>
      </c>
      <c r="H20" s="70">
        <f t="shared" si="3"/>
        <v>7484.6447210360657</v>
      </c>
      <c r="I20" s="151">
        <f t="shared" si="0"/>
        <v>0</v>
      </c>
      <c r="J20" s="152" t="str">
        <f>IF(SUMIF('📋 Explosión y Despiece Mad'!$K$2:$K$713,B20,'📋 Explosión y Despiece Mad'!$V$2:$V$713)&gt;0,"PENDIENTE","OK")</f>
        <v>OK</v>
      </c>
      <c r="K20" s="143" t="s">
        <v>585</v>
      </c>
      <c r="L20" s="81">
        <f>'🧱 Cubiertas'!E3</f>
        <v>4</v>
      </c>
      <c r="M20" s="81">
        <f>L20</f>
        <v>4</v>
      </c>
      <c r="N20" s="78" t="s">
        <v>589</v>
      </c>
    </row>
    <row r="21" spans="1:14" ht="29.25" customHeight="1" x14ac:dyDescent="0.2">
      <c r="A21" s="68">
        <v>0</v>
      </c>
      <c r="B21" s="60" t="s">
        <v>629</v>
      </c>
      <c r="C21" s="59" t="s">
        <v>628</v>
      </c>
      <c r="D21" s="69">
        <f>SUMIF('📋 Explosión y Despiece Bla'!$K$2:$K$643,B21,'📋 Explosión y Despiece Bla'!$S$2:$S$643)</f>
        <v>388.63027472786888</v>
      </c>
      <c r="E21" s="69">
        <f t="shared" ref="E21" si="4">D21*$L$14+$L$15</f>
        <v>2603.8228406767216</v>
      </c>
      <c r="F21" s="69">
        <f t="shared" ref="F21" si="5">A21*E21</f>
        <v>0</v>
      </c>
      <c r="G21" s="70">
        <f>SUMIF('📋 Explosión y Despiece Mad'!$K$2:$K$713,B21,'📋 Explosión y Despiece Mad'!$S$2:$S$713)</f>
        <v>506.07212590163931</v>
      </c>
      <c r="H21" s="70">
        <f t="shared" ref="H21" si="6">G21*$L$14+$L$15</f>
        <v>3390.6832435409833</v>
      </c>
      <c r="I21" s="151">
        <f t="shared" ref="I21" si="7">A21*H21</f>
        <v>0</v>
      </c>
      <c r="J21" s="152" t="str">
        <f>IF(SUMIF('📋 Explosión y Despiece Mad'!$K$2:$K$713,B21,'📋 Explosión y Despiece Mad'!$V$2:$V$713)&gt;0,"PENDIENTE","OK")</f>
        <v>OK</v>
      </c>
      <c r="K21" s="143" t="s">
        <v>587</v>
      </c>
      <c r="L21" s="82">
        <f>'🧱 Cubiertas'!H5</f>
        <v>0</v>
      </c>
      <c r="M21" s="82">
        <f>L21</f>
        <v>0</v>
      </c>
      <c r="N21" s="78" t="s">
        <v>611</v>
      </c>
    </row>
    <row r="22" spans="1:14" ht="29.25" customHeight="1" x14ac:dyDescent="0.2">
      <c r="A22" s="68">
        <v>1</v>
      </c>
      <c r="B22" s="60" t="s">
        <v>11</v>
      </c>
      <c r="C22" s="59" t="s">
        <v>141</v>
      </c>
      <c r="D22" s="69">
        <f>SUMIF('📋 Explosión y Despiece Bla'!$K$2:$K$643,B22,'📋 Explosión y Despiece Bla'!$S$2:$S$643)</f>
        <v>426.90846751475414</v>
      </c>
      <c r="E22" s="69">
        <f t="shared" si="1"/>
        <v>2860.2867323488526</v>
      </c>
      <c r="F22" s="69">
        <f t="shared" si="2"/>
        <v>2860.2867323488526</v>
      </c>
      <c r="G22" s="70">
        <f>SUMIF('📋 Explosión y Despiece Mad'!$K$2:$K$713,B22,'📋 Explosión y Despiece Mad'!$S$2:$S$713)</f>
        <v>554.57695213114766</v>
      </c>
      <c r="H22" s="70">
        <f t="shared" si="3"/>
        <v>3715.6655792786896</v>
      </c>
      <c r="I22" s="151">
        <f t="shared" si="0"/>
        <v>3715.6655792786896</v>
      </c>
      <c r="J22" s="152" t="str">
        <f>IF(SUMIF('📋 Explosión y Despiece Mad'!$K$2:$K$713,B22,'📋 Explosión y Despiece Mad'!$V$2:$V$713)&gt;0,"PENDIENTE","OK")</f>
        <v>OK</v>
      </c>
      <c r="K22" s="143" t="s">
        <v>581</v>
      </c>
      <c r="L22" s="80">
        <f>'🧱 Cubiertas'!H4</f>
        <v>0</v>
      </c>
      <c r="M22" s="80">
        <f>L22</f>
        <v>0</v>
      </c>
      <c r="N22" s="78" t="s">
        <v>612</v>
      </c>
    </row>
    <row r="23" spans="1:14" ht="29.25" customHeight="1" x14ac:dyDescent="0.2">
      <c r="A23" s="68">
        <v>1</v>
      </c>
      <c r="B23" s="60" t="s">
        <v>12</v>
      </c>
      <c r="C23" s="59" t="s">
        <v>148</v>
      </c>
      <c r="D23" s="69">
        <f>SUMIF('📋 Explosión y Despiece Bla'!$K$2:$K$643,B23,'📋 Explosión y Despiece Bla'!$S$2:$S$643)</f>
        <v>465.18666030163939</v>
      </c>
      <c r="E23" s="69">
        <f t="shared" si="1"/>
        <v>3116.7506240209841</v>
      </c>
      <c r="F23" s="69">
        <f t="shared" si="2"/>
        <v>3116.7506240209841</v>
      </c>
      <c r="G23" s="70">
        <f>SUMIF('📋 Explosión y Despiece Mad'!$K$2:$K$713,B23,'📋 Explosión y Despiece Mad'!$S$2:$S$713)</f>
        <v>603.08177836065579</v>
      </c>
      <c r="H23" s="70">
        <f t="shared" si="3"/>
        <v>4040.6479150163941</v>
      </c>
      <c r="I23" s="151">
        <f t="shared" si="0"/>
        <v>4040.6479150163941</v>
      </c>
      <c r="J23" s="152" t="str">
        <f>IF(SUMIF('📋 Explosión y Despiece Mad'!$K$2:$K$713,B23,'📋 Explosión y Despiece Mad'!$V$2:$V$713)&gt;0,"PENDIENTE","OK")</f>
        <v>OK</v>
      </c>
      <c r="K23" s="143"/>
      <c r="L23" s="80"/>
      <c r="M23" s="80"/>
      <c r="N23" s="78"/>
    </row>
    <row r="24" spans="1:14" ht="29.25" customHeight="1" x14ac:dyDescent="0.2">
      <c r="A24" s="68">
        <v>0</v>
      </c>
      <c r="B24" s="60" t="s">
        <v>13</v>
      </c>
      <c r="C24" s="59" t="s">
        <v>153</v>
      </c>
      <c r="D24" s="69">
        <f>SUMIF('📋 Explosión y Despiece Bla'!$K$2:$K$643,B24,'📋 Explosión y Despiece Bla'!$S$2:$S$643)</f>
        <v>503.46485308852465</v>
      </c>
      <c r="E24" s="69">
        <f t="shared" si="1"/>
        <v>3373.2145156931151</v>
      </c>
      <c r="F24" s="69">
        <f t="shared" si="2"/>
        <v>0</v>
      </c>
      <c r="G24" s="70">
        <f>SUMIF('📋 Explosión y Despiece Mad'!$K$2:$K$713,B24,'📋 Explosión y Despiece Mad'!$S$2:$S$713)</f>
        <v>651.58660459016392</v>
      </c>
      <c r="H24" s="70">
        <f t="shared" si="3"/>
        <v>4365.6302507540986</v>
      </c>
      <c r="I24" s="151">
        <f t="shared" si="0"/>
        <v>0</v>
      </c>
      <c r="J24" s="152" t="str">
        <f>IF(SUMIF('📋 Explosión y Despiece Mad'!$K$2:$K$713,B24,'📋 Explosión y Despiece Mad'!$V$2:$V$713)&gt;0,"PENDIENTE","OK")</f>
        <v>OK</v>
      </c>
      <c r="K24" s="67" t="s">
        <v>455</v>
      </c>
      <c r="L24" s="65"/>
      <c r="M24" s="65"/>
      <c r="N24" s="155"/>
    </row>
    <row r="25" spans="1:14" ht="29.25" customHeight="1" x14ac:dyDescent="0.2">
      <c r="A25" s="68">
        <v>1</v>
      </c>
      <c r="B25" s="60" t="s">
        <v>14</v>
      </c>
      <c r="C25" s="59" t="s">
        <v>156</v>
      </c>
      <c r="D25" s="69">
        <f>SUMIF('📋 Explosión y Despiece Bla'!$K$2:$K$643,B25,'📋 Explosión y Despiece Bla'!$S$2:$S$643)</f>
        <v>379.54201606557382</v>
      </c>
      <c r="E25" s="69">
        <f t="shared" si="1"/>
        <v>2542.9315076393445</v>
      </c>
      <c r="F25" s="69">
        <f t="shared" si="2"/>
        <v>2542.9315076393445</v>
      </c>
      <c r="G25" s="70">
        <f>SUMIF('📋 Explosión y Despiece Mad'!$K$2:$K$713,B25,'📋 Explosión y Despiece Mad'!$S$2:$S$713)</f>
        <v>419.54201606557382</v>
      </c>
      <c r="H25" s="70">
        <f t="shared" si="3"/>
        <v>2810.9315076393445</v>
      </c>
      <c r="I25" s="70">
        <f t="shared" si="0"/>
        <v>2810.9315076393445</v>
      </c>
      <c r="J25" s="152" t="str">
        <f>IF(SUMIF('📋 Explosión y Despiece Mad'!$K$2:$K$713,B25,'📋 Explosión y Despiece Mad'!$V$2:$V$713)&gt;0,"PENDIENTE","OK")</f>
        <v>OK</v>
      </c>
      <c r="K25" s="143" t="s">
        <v>456</v>
      </c>
      <c r="L25" s="80">
        <f>L16</f>
        <v>47739.651516565253</v>
      </c>
      <c r="M25" s="80">
        <f>M16</f>
        <v>59954.275768675427</v>
      </c>
      <c r="N25" s="78" t="s">
        <v>613</v>
      </c>
    </row>
    <row r="26" spans="1:14" ht="29.25" customHeight="1" x14ac:dyDescent="0.2">
      <c r="A26" s="68">
        <v>0</v>
      </c>
      <c r="B26" s="60" t="s">
        <v>633</v>
      </c>
      <c r="C26" s="59" t="s">
        <v>632</v>
      </c>
      <c r="D26" s="69">
        <f>SUMIF('📋 Explosión y Despiece Bla'!$K$2:$K$643,B26,'📋 Explosión y Despiece Bla'!$S$2:$S$643)</f>
        <v>316.61257416393448</v>
      </c>
      <c r="E26" s="69">
        <f t="shared" ref="E26" si="8">D26*$L$14+$L$15</f>
        <v>2121.3042468983613</v>
      </c>
      <c r="F26" s="69">
        <f t="shared" ref="F26" si="9">A26*E26</f>
        <v>0</v>
      </c>
      <c r="G26" s="70">
        <f>SUMIF('📋 Explosión y Despiece Mad'!$K$2:$K$713,B26,'📋 Explosión y Despiece Mad'!$S$2:$S$713)</f>
        <v>356.61257416393448</v>
      </c>
      <c r="H26" s="70">
        <f t="shared" ref="H26" si="10">G26*$L$14+$L$15</f>
        <v>2389.3042468983613</v>
      </c>
      <c r="I26" s="151">
        <f t="shared" ref="I26" si="11">A26*H26</f>
        <v>0</v>
      </c>
      <c r="J26" s="152" t="str">
        <f>IF(SUMIF('📋 Explosión y Despiece Mad'!$K$2:$K$713,B26,'📋 Explosión y Despiece Mad'!$V$2:$V$713)&gt;0,"PENDIENTE","OK")</f>
        <v>OK</v>
      </c>
      <c r="K26" s="143" t="s">
        <v>614</v>
      </c>
      <c r="L26" s="80">
        <f>'🧱 Cubiertas'!H4</f>
        <v>0</v>
      </c>
      <c r="M26" s="80">
        <f>'🧱 Cubiertas'!H4</f>
        <v>0</v>
      </c>
      <c r="N26" s="78" t="s">
        <v>615</v>
      </c>
    </row>
    <row r="27" spans="1:14" ht="29.25" customHeight="1" x14ac:dyDescent="0.2">
      <c r="A27" s="68">
        <v>0</v>
      </c>
      <c r="B27" s="60" t="s">
        <v>15</v>
      </c>
      <c r="C27" s="59" t="s">
        <v>163</v>
      </c>
      <c r="D27" s="69">
        <f>SUMIF('📋 Explosión y Despiece Bla'!$K$2:$K$643,B27,'📋 Explosión y Despiece Bla'!$S$2:$S$643)</f>
        <v>351.52879711475413</v>
      </c>
      <c r="E27" s="69">
        <f t="shared" si="1"/>
        <v>2355.2429406688525</v>
      </c>
      <c r="F27" s="69">
        <f t="shared" si="2"/>
        <v>0</v>
      </c>
      <c r="G27" s="70">
        <f>SUMIF('📋 Explosión y Despiece Mad'!$K$2:$K$713,B27,'📋 Explosión y Despiece Mad'!$S$2:$S$713)</f>
        <v>391.52879711475413</v>
      </c>
      <c r="H27" s="70">
        <f t="shared" si="3"/>
        <v>2623.2429406688525</v>
      </c>
      <c r="I27" s="151">
        <f t="shared" si="0"/>
        <v>0</v>
      </c>
      <c r="J27" s="152" t="str">
        <f>IF(SUMIF('📋 Explosión y Despiece Mad'!$K$2:$K$713,B27,'📋 Explosión y Despiece Mad'!$V$2:$V$713)&gt;0,"PENDIENTE","OK")</f>
        <v>OK</v>
      </c>
      <c r="K27" s="143" t="s">
        <v>457</v>
      </c>
      <c r="L27" s="80">
        <f>SUM(L25:L26)*16%</f>
        <v>7638.3442426504407</v>
      </c>
      <c r="M27" s="80">
        <f>SUM(M25:M26)*16%</f>
        <v>9592.6841229880683</v>
      </c>
      <c r="N27" s="78" t="s">
        <v>616</v>
      </c>
    </row>
    <row r="28" spans="1:14" ht="29.25" customHeight="1" x14ac:dyDescent="0.2">
      <c r="A28" s="68">
        <v>1</v>
      </c>
      <c r="B28" s="60" t="s">
        <v>16</v>
      </c>
      <c r="C28" s="59" t="s">
        <v>164</v>
      </c>
      <c r="D28" s="69">
        <f>SUMIF('📋 Explosión y Despiece Bla'!$K$2:$K$643,B28,'📋 Explosión y Despiece Bla'!$S$2:$S$643)</f>
        <v>1161.376191108197</v>
      </c>
      <c r="E28" s="69">
        <f t="shared" si="1"/>
        <v>7781.2204804249195</v>
      </c>
      <c r="F28" s="69">
        <f t="shared" si="2"/>
        <v>7781.2204804249195</v>
      </c>
      <c r="G28" s="70">
        <f>SUMIF('📋 Explosión y Despiece Mad'!$K$2:$K$713,B28,'📋 Explosión y Despiece Mad'!$S$2:$S$713)</f>
        <v>1540.2864362622952</v>
      </c>
      <c r="H28" s="70">
        <f t="shared" si="3"/>
        <v>10319.919122957377</v>
      </c>
      <c r="I28" s="70">
        <f t="shared" si="0"/>
        <v>10319.919122957377</v>
      </c>
      <c r="J28" s="152" t="str">
        <f>IF(SUMIF('📋 Explosión y Despiece Mad'!$K$2:$K$713,B28,'📋 Explosión y Despiece Mad'!$V$2:$V$713)&gt;0,"PENDIENTE","OK")</f>
        <v>OK</v>
      </c>
      <c r="K28" s="144" t="s">
        <v>458</v>
      </c>
      <c r="L28" s="83">
        <f>SUM(L25:L27)</f>
        <v>55377.995759215693</v>
      </c>
      <c r="M28" s="83">
        <f>IF(SUM('📋 Explosión y Despiece Mad'!$V$2:$V$713)&gt;0,"PENDIENTE",SUM(M25:M27))</f>
        <v>69546.9598916635</v>
      </c>
      <c r="N28" s="84" t="s">
        <v>617</v>
      </c>
    </row>
    <row r="29" spans="1:14" ht="29.25" customHeight="1" x14ac:dyDescent="0.2">
      <c r="A29" s="68">
        <v>0</v>
      </c>
      <c r="B29" s="60" t="s">
        <v>17</v>
      </c>
      <c r="C29" s="59" t="s">
        <v>189</v>
      </c>
      <c r="D29" s="69">
        <f>SUMIF('📋 Explosión y Despiece Bla'!$K$2:$K$643,B29,'📋 Explosión y Despiece Bla'!$S$2:$S$643)</f>
        <v>625.98997046557383</v>
      </c>
      <c r="E29" s="69">
        <f t="shared" si="1"/>
        <v>4194.1328021193449</v>
      </c>
      <c r="F29" s="69">
        <f t="shared" si="2"/>
        <v>0</v>
      </c>
      <c r="G29" s="70">
        <f>SUMIF('📋 Explosión y Despiece Mad'!$K$2:$K$713,B29,'📋 Explosión y Despiece Mad'!$S$2:$S$713)</f>
        <v>823.42705770491807</v>
      </c>
      <c r="H29" s="70">
        <f t="shared" si="3"/>
        <v>5516.9612866229509</v>
      </c>
      <c r="I29" s="151">
        <f t="shared" si="0"/>
        <v>0</v>
      </c>
      <c r="J29" s="152" t="str">
        <f>IF(SUMIF('📋 Explosión y Despiece Mad'!$K$2:$K$713,B29,'📋 Explosión y Despiece Mad'!$V$2:$V$713)&gt;0,"PENDIENTE","OK")</f>
        <v>OK</v>
      </c>
      <c r="K29" s="145" t="s">
        <v>459</v>
      </c>
      <c r="L29" s="85"/>
      <c r="M29" s="85">
        <f>IF(ISNUMBER(M28),M28-L28,"PENDIENTE")</f>
        <v>14168.964132447807</v>
      </c>
      <c r="N29" s="86" t="s">
        <v>460</v>
      </c>
    </row>
    <row r="30" spans="1:14" ht="29.25" customHeight="1" x14ac:dyDescent="0.2">
      <c r="A30" s="68">
        <v>0</v>
      </c>
      <c r="B30" s="60" t="s">
        <v>18</v>
      </c>
      <c r="C30" s="59" t="s">
        <v>199</v>
      </c>
      <c r="D30" s="69">
        <f>SUMIF('📋 Explosión y Despiece Bla'!$K$2:$K$643,B30,'📋 Explosión y Despiece Bla'!$S$2:$S$643)</f>
        <v>702.10003210491823</v>
      </c>
      <c r="E30" s="69">
        <f t="shared" si="1"/>
        <v>4704.0702151029518</v>
      </c>
      <c r="F30" s="69">
        <f t="shared" si="2"/>
        <v>0</v>
      </c>
      <c r="G30" s="70">
        <f>SUMIF('📋 Explosión y Despiece Mad'!$K$2:$K$713,B30,'📋 Explosión y Despiece Mad'!$S$2:$S$713)</f>
        <v>919.5297855737706</v>
      </c>
      <c r="H30" s="70">
        <f t="shared" si="3"/>
        <v>6160.8495633442635</v>
      </c>
      <c r="I30" s="151">
        <f t="shared" si="0"/>
        <v>0</v>
      </c>
      <c r="J30" s="152" t="str">
        <f>IF(SUMIF('📋 Explosión y Despiece Mad'!$K$2:$K$713,B30,'📋 Explosión y Despiece Mad'!$V$2:$V$713)&gt;0,"PENDIENTE","OK")</f>
        <v>OK</v>
      </c>
      <c r="K30" s="58"/>
      <c r="L30" s="57"/>
      <c r="M30" s="57"/>
      <c r="N30" s="57"/>
    </row>
    <row r="31" spans="1:14" ht="29.25" customHeight="1" x14ac:dyDescent="0.2">
      <c r="A31" s="68">
        <v>0</v>
      </c>
      <c r="B31" s="60" t="s">
        <v>19</v>
      </c>
      <c r="C31" s="59" t="s">
        <v>205</v>
      </c>
      <c r="D31" s="69">
        <f>SUMIF('📋 Explosión y Despiece Bla'!$K$2:$K$643,B31,'📋 Explosión y Despiece Bla'!$S$2:$S$643)</f>
        <v>778.21009374426239</v>
      </c>
      <c r="E31" s="69">
        <f t="shared" si="1"/>
        <v>5214.0076280865578</v>
      </c>
      <c r="F31" s="69">
        <f t="shared" si="2"/>
        <v>0</v>
      </c>
      <c r="G31" s="70">
        <f>SUMIF('📋 Explosión y Despiece Mad'!$K$2:$K$713,B31,'📋 Explosión y Despiece Mad'!$S$2:$S$713)</f>
        <v>1015.6325134426229</v>
      </c>
      <c r="H31" s="70">
        <f t="shared" si="3"/>
        <v>6804.7378400655734</v>
      </c>
      <c r="I31" s="151">
        <f t="shared" si="0"/>
        <v>0</v>
      </c>
      <c r="J31" s="152" t="str">
        <f>IF(SUMIF('📋 Explosión y Despiece Mad'!$K$2:$K$713,B31,'📋 Explosión y Despiece Mad'!$V$2:$V$713)&gt;0,"PENDIENTE","OK")</f>
        <v>OK</v>
      </c>
      <c r="K31" s="67" t="s">
        <v>619</v>
      </c>
      <c r="L31" s="65"/>
      <c r="M31" s="65"/>
      <c r="N31" s="155"/>
    </row>
    <row r="32" spans="1:14" ht="29.25" customHeight="1" x14ac:dyDescent="0.2">
      <c r="A32" s="68">
        <v>0</v>
      </c>
      <c r="B32" s="60" t="s">
        <v>20</v>
      </c>
      <c r="C32" s="59" t="s">
        <v>211</v>
      </c>
      <c r="D32" s="69">
        <f>SUMIF('📋 Explosión y Despiece Bla'!$K$2:$K$643,B32,'📋 Explosión y Despiece Bla'!$S$2:$S$643)</f>
        <v>854.79415538360672</v>
      </c>
      <c r="E32" s="69">
        <f t="shared" si="1"/>
        <v>5727.1208410701656</v>
      </c>
      <c r="F32" s="69">
        <f t="shared" si="2"/>
        <v>0</v>
      </c>
      <c r="G32" s="70">
        <f>SUMIF('📋 Explosión y Despiece Mad'!$K$2:$K$713,B32,'📋 Explosión y Despiece Mad'!$S$2:$S$713)</f>
        <v>1112.4857413114755</v>
      </c>
      <c r="H32" s="70">
        <f t="shared" si="3"/>
        <v>7453.6544667868866</v>
      </c>
      <c r="I32" s="151">
        <f t="shared" si="0"/>
        <v>0</v>
      </c>
      <c r="J32" s="152" t="str">
        <f>IF(SUMIF('📋 Explosión y Despiece Mad'!$K$2:$K$713,B32,'📋 Explosión y Despiece Mad'!$V$2:$V$713)&gt;0,"PENDIENTE","OK")</f>
        <v>OK</v>
      </c>
      <c r="K32" s="143" t="s">
        <v>456</v>
      </c>
      <c r="L32" s="170">
        <f>L25*65%</f>
        <v>31030.773485767415</v>
      </c>
      <c r="M32" s="170">
        <f>IF(ISNUMBER(M25),M25*65%,"PENDIENTE")</f>
        <v>38970.279249639032</v>
      </c>
      <c r="N32" s="78" t="s">
        <v>620</v>
      </c>
    </row>
    <row r="33" spans="1:14" ht="29.25" customHeight="1" x14ac:dyDescent="0.2">
      <c r="A33" s="68">
        <v>0</v>
      </c>
      <c r="B33" s="60" t="s">
        <v>21</v>
      </c>
      <c r="C33" s="59" t="s">
        <v>217</v>
      </c>
      <c r="D33" s="69">
        <f>SUMIF('📋 Explosión y Despiece Bla'!$K$2:$K$643,B33,'📋 Explosión y Despiece Bla'!$S$2:$S$643)</f>
        <v>1024.4222513836066</v>
      </c>
      <c r="E33" s="69">
        <f t="shared" si="1"/>
        <v>6863.6290842701646</v>
      </c>
      <c r="F33" s="69">
        <f t="shared" si="2"/>
        <v>0</v>
      </c>
      <c r="G33" s="70">
        <f>SUMIF('📋 Explosión y Despiece Mad'!$K$2:$K$713,B33,'📋 Explosión y Despiece Mad'!$S$2:$S$713)</f>
        <v>1279.0795035409838</v>
      </c>
      <c r="H33" s="70">
        <f t="shared" si="3"/>
        <v>8569.8326737245916</v>
      </c>
      <c r="I33" s="70">
        <f t="shared" si="0"/>
        <v>0</v>
      </c>
      <c r="J33" s="152" t="str">
        <f>IF(SUMIF('📋 Explosión y Despiece Mad'!$K$2:$K$713,B33,'📋 Explosión y Despiece Mad'!$V$2:$V$713)&gt;0,"PENDIENTE","OK")</f>
        <v>OK</v>
      </c>
      <c r="K33" s="143" t="s">
        <v>614</v>
      </c>
      <c r="L33" s="170">
        <f>L26*65%</f>
        <v>0</v>
      </c>
      <c r="M33" s="170">
        <f>IF(ISNUMBER(M26),M26*65%,"PENDIENTE")</f>
        <v>0</v>
      </c>
      <c r="N33" s="78" t="s">
        <v>621</v>
      </c>
    </row>
    <row r="34" spans="1:14" ht="29.25" customHeight="1" x14ac:dyDescent="0.2">
      <c r="A34" s="68">
        <v>0</v>
      </c>
      <c r="B34" s="60" t="s">
        <v>22</v>
      </c>
      <c r="C34" s="59" t="s">
        <v>225</v>
      </c>
      <c r="D34" s="69">
        <f>SUMIF('📋 Explosión y Despiece Bla'!$K$2:$K$643,B34,'📋 Explosión y Despiece Bla'!$S$2:$S$643)</f>
        <v>1102.3323130229508</v>
      </c>
      <c r="E34" s="69">
        <f t="shared" si="1"/>
        <v>7385.6264972537701</v>
      </c>
      <c r="F34" s="69">
        <f t="shared" si="2"/>
        <v>0</v>
      </c>
      <c r="G34" s="70">
        <f>SUMIF('📋 Explosión y Despiece Mad'!$K$2:$K$713,B34,'📋 Explosión y Despiece Mad'!$S$2:$S$713)</f>
        <v>1378.0322314098362</v>
      </c>
      <c r="H34" s="70">
        <f t="shared" si="3"/>
        <v>9232.8159504459036</v>
      </c>
      <c r="I34" s="70">
        <f t="shared" si="0"/>
        <v>0</v>
      </c>
      <c r="J34" s="152" t="str">
        <f>IF(SUMIF('📋 Explosión y Despiece Mad'!$K$2:$K$713,B34,'📋 Explosión y Despiece Mad'!$V$2:$V$713)&gt;0,"PENDIENTE","OK")</f>
        <v>OK</v>
      </c>
      <c r="K34" s="143" t="s">
        <v>457</v>
      </c>
      <c r="L34" s="170">
        <f>SUM(L32:L33)*16%</f>
        <v>4964.9237577227868</v>
      </c>
      <c r="M34" s="170">
        <f>IF(OR(NOT(ISNUMBER(M32)),NOT(ISNUMBER(M33))),"PENDIENTE",SUM(M32:M33)*16%)</f>
        <v>6235.2446799422451</v>
      </c>
      <c r="N34" s="78" t="s">
        <v>622</v>
      </c>
    </row>
    <row r="35" spans="1:14" ht="29.25" customHeight="1" x14ac:dyDescent="0.2">
      <c r="A35" s="68">
        <v>0</v>
      </c>
      <c r="B35" s="60" t="s">
        <v>23</v>
      </c>
      <c r="C35" s="59" t="s">
        <v>232</v>
      </c>
      <c r="D35" s="69">
        <f>SUMIF('📋 Explosión y Despiece Bla'!$K$2:$K$643,B35,'📋 Explosión y Despiece Bla'!$S$2:$S$643)</f>
        <v>1180.2423746622953</v>
      </c>
      <c r="E35" s="69">
        <f t="shared" si="1"/>
        <v>7907.6239102373793</v>
      </c>
      <c r="F35" s="69">
        <f t="shared" si="2"/>
        <v>0</v>
      </c>
      <c r="G35" s="70">
        <f>SUMIF('📋 Explosión y Despiece Mad'!$K$2:$K$713,B35,'📋 Explosión y Despiece Mad'!$S$2:$S$713)</f>
        <v>1476.9849592786884</v>
      </c>
      <c r="H35" s="70">
        <f t="shared" si="3"/>
        <v>9895.7992271672119</v>
      </c>
      <c r="I35" s="70">
        <f t="shared" si="0"/>
        <v>0</v>
      </c>
      <c r="J35" s="152" t="str">
        <f>IF(SUMIF('📋 Explosión y Despiece Mad'!$K$2:$K$713,B35,'📋 Explosión y Despiece Mad'!$V$2:$V$713)&gt;0,"PENDIENTE","OK")</f>
        <v>OK</v>
      </c>
      <c r="K35" s="144" t="s">
        <v>623</v>
      </c>
      <c r="L35" s="171">
        <f>SUM(L32:L34)</f>
        <v>35995.697243490198</v>
      </c>
      <c r="M35" s="171">
        <f>IF(OR(NOT(ISNUMBER(M32)),NOT(ISNUMBER(M33)),NOT(ISNUMBER(M34))),"PENDIENTE",SUM(M32:M34))</f>
        <v>45205.523929581279</v>
      </c>
      <c r="N35" s="84" t="s">
        <v>624</v>
      </c>
    </row>
    <row r="36" spans="1:14" ht="29.25" customHeight="1" x14ac:dyDescent="0.2">
      <c r="A36" s="68">
        <v>1</v>
      </c>
      <c r="B36" s="60" t="s">
        <v>24</v>
      </c>
      <c r="C36" s="59" t="s">
        <v>239</v>
      </c>
      <c r="D36" s="69">
        <f>SUMIF('📋 Explosión y Despiece Bla'!$K$2:$K$643,B36,'📋 Explosión y Despiece Bla'!$S$2:$S$643)</f>
        <v>1375.9037549114755</v>
      </c>
      <c r="E36" s="69">
        <f t="shared" si="1"/>
        <v>9218.555157906887</v>
      </c>
      <c r="F36" s="69">
        <f t="shared" si="2"/>
        <v>9218.555157906887</v>
      </c>
      <c r="G36" s="70">
        <f>SUMIF('📋 Explosión y Despiece Mad'!$K$2:$K$713,B36,'📋 Explosión y Despiece Mad'!$S$2:$S$713)</f>
        <v>1705.4618958688527</v>
      </c>
      <c r="H36" s="70">
        <f t="shared" si="3"/>
        <v>11426.594702321314</v>
      </c>
      <c r="I36" s="70">
        <f t="shared" si="0"/>
        <v>11426.594702321314</v>
      </c>
      <c r="J36" s="152" t="str">
        <f>IF(SUMIF('📋 Explosión y Despiece Mad'!$K$2:$K$713,B36,'📋 Explosión y Despiece Mad'!$V$2:$V$713)&gt;0,"PENDIENTE","OK")</f>
        <v>OK</v>
      </c>
      <c r="K36" s="174" t="s">
        <v>459</v>
      </c>
      <c r="L36" s="172"/>
      <c r="M36" s="172">
        <f>IF(AND(ISNUMBER(L35),ISNUMBER(M35)),M35-L35,"PENDIENTE")</f>
        <v>9209.8266860910808</v>
      </c>
      <c r="N36" s="173" t="s">
        <v>460</v>
      </c>
    </row>
    <row r="37" spans="1:14" ht="29.25" customHeight="1" x14ac:dyDescent="0.2">
      <c r="A37" s="68">
        <v>0</v>
      </c>
      <c r="B37" s="60" t="s">
        <v>25</v>
      </c>
      <c r="C37" s="59" t="s">
        <v>258</v>
      </c>
      <c r="D37" s="69">
        <f>SUMIF('📋 Explosión y Despiece Bla'!$K$2:$K$643,B37,'📋 Explosión y Despiece Bla'!$S$2:$S$643)</f>
        <v>1496.9653496655737</v>
      </c>
      <c r="E37" s="69">
        <f t="shared" si="1"/>
        <v>10029.667842759345</v>
      </c>
      <c r="F37" s="69">
        <f t="shared" si="2"/>
        <v>0</v>
      </c>
      <c r="G37" s="70">
        <f>SUMIF('📋 Explosión y Despiece Mad'!$K$2:$K$713,B37,'📋 Explosión y Despiece Mad'!$S$2:$S$713)</f>
        <v>1864.4678630819674</v>
      </c>
      <c r="H37" s="70">
        <f t="shared" si="3"/>
        <v>12491.934682649182</v>
      </c>
      <c r="I37" s="70">
        <f t="shared" si="0"/>
        <v>0</v>
      </c>
      <c r="J37" s="152" t="str">
        <f>IF(SUMIF('📋 Explosión y Despiece Mad'!$K$2:$K$713,B37,'📋 Explosión y Despiece Mad'!$V$2:$V$713)&gt;0,"PENDIENTE","OK")</f>
        <v>OK</v>
      </c>
      <c r="K37" s="175"/>
    </row>
    <row r="38" spans="1:14" ht="29.25" customHeight="1" x14ac:dyDescent="0.2">
      <c r="A38" s="68">
        <v>0</v>
      </c>
      <c r="B38" s="60" t="s">
        <v>26</v>
      </c>
      <c r="C38" s="59" t="s">
        <v>267</v>
      </c>
      <c r="D38" s="69">
        <f>SUMIF('📋 Explosión y Despiece Bla'!$K$2:$K$643,B38,'📋 Explosión y Despiece Bla'!$S$2:$S$643)</f>
        <v>1618.0269444196722</v>
      </c>
      <c r="E38" s="69">
        <f t="shared" si="1"/>
        <v>10840.780527611803</v>
      </c>
      <c r="F38" s="69">
        <f t="shared" si="2"/>
        <v>0</v>
      </c>
      <c r="G38" s="70">
        <f>SUMIF('📋 Explosión y Despiece Mad'!$K$2:$K$713,B38,'📋 Explosión y Despiece Mad'!$S$2:$S$713)</f>
        <v>2023.4738302950818</v>
      </c>
      <c r="H38" s="70">
        <f t="shared" si="3"/>
        <v>13557.274662977048</v>
      </c>
      <c r="I38" s="70">
        <f t="shared" si="0"/>
        <v>0</v>
      </c>
      <c r="J38" s="152" t="str">
        <f>IF(SUMIF('📋 Explosión y Despiece Mad'!$K$2:$K$713,B38,'📋 Explosión y Despiece Mad'!$V$2:$V$713)&gt;0,"PENDIENTE","OK")</f>
        <v>OK</v>
      </c>
      <c r="K38" s="175"/>
    </row>
    <row r="39" spans="1:14" ht="29.25" customHeight="1" x14ac:dyDescent="0.2">
      <c r="A39" s="68">
        <v>0</v>
      </c>
      <c r="B39" s="60" t="s">
        <v>650</v>
      </c>
      <c r="C39" s="59" t="s">
        <v>649</v>
      </c>
      <c r="D39" s="69">
        <f>SUMIF('📋 Explosión y Despiece Bla'!$K$2:$K$643,B39,'📋 Explosión y Despiece Bla'!$S$2:$S$643)</f>
        <v>514.76543711475415</v>
      </c>
      <c r="E39" s="69">
        <f t="shared" ref="E39:E40" si="12">D39*$L$14+$L$15</f>
        <v>3448.928428668853</v>
      </c>
      <c r="F39" s="69">
        <f t="shared" ref="F39:F40" si="13">A39*E39</f>
        <v>0</v>
      </c>
      <c r="G39" s="70">
        <f>SUMIF('📋 Explosión y Despiece Mad'!$K$2:$K$713,B39,'📋 Explosión y Despiece Mad'!$S$2:$S$713)</f>
        <v>554.76543711475415</v>
      </c>
      <c r="H39" s="70">
        <f t="shared" ref="H39:H40" si="14">G39*$L$14+$L$15</f>
        <v>3716.928428668853</v>
      </c>
      <c r="I39" s="70">
        <f t="shared" ref="I39:I40" si="15">A39*H39</f>
        <v>0</v>
      </c>
      <c r="J39" s="152" t="str">
        <f>IF(SUMIF('📋 Explosión y Despiece Mad'!$K$2:$K$713,B39,'📋 Explosión y Despiece Mad'!$V$2:$V$713)&gt;0,"PENDIENTE","OK")</f>
        <v>OK</v>
      </c>
      <c r="K39" s="175"/>
    </row>
    <row r="40" spans="1:14" ht="29.25" customHeight="1" x14ac:dyDescent="0.2">
      <c r="A40" s="68">
        <v>0</v>
      </c>
      <c r="B40" s="60" t="s">
        <v>657</v>
      </c>
      <c r="C40" s="59" t="s">
        <v>648</v>
      </c>
      <c r="D40" s="69">
        <f>SUMIF('📋 Explosión y Despiece Bla'!$K$2:$K$643,B40,'📋 Explosión y Despiece Bla'!$S$2:$S$643)</f>
        <v>834.41272949508198</v>
      </c>
      <c r="E40" s="69">
        <f t="shared" si="12"/>
        <v>5590.5652876170498</v>
      </c>
      <c r="F40" s="69">
        <f t="shared" si="13"/>
        <v>0</v>
      </c>
      <c r="G40" s="70">
        <f>SUMIF('📋 Explosión y Despiece Mad'!$K$2:$K$713,B40,'📋 Explosión y Despiece Mad'!$S$2:$S$713)</f>
        <v>1076.5237943606558</v>
      </c>
      <c r="H40" s="70">
        <f t="shared" si="14"/>
        <v>7212.7094222163942</v>
      </c>
      <c r="I40" s="70">
        <f t="shared" si="15"/>
        <v>0</v>
      </c>
      <c r="J40" s="152" t="str">
        <f>IF(SUMIF('📋 Explosión y Despiece Mad'!$K$2:$K$713,B40,'📋 Explosión y Despiece Mad'!$V$2:$V$713)&gt;0,"PENDIENTE","OK")</f>
        <v>OK</v>
      </c>
      <c r="K40" s="175"/>
    </row>
    <row r="41" spans="1:14" ht="29.25" customHeight="1" x14ac:dyDescent="0.2">
      <c r="A41" s="68">
        <v>0</v>
      </c>
      <c r="B41" s="60" t="s">
        <v>27</v>
      </c>
      <c r="C41" s="59" t="s">
        <v>275</v>
      </c>
      <c r="D41" s="69">
        <f>SUMIF('📋 Explosión y Despiece Bla'!$K$2:$K$643,B41,'📋 Explosión y Despiece Bla'!$S$2:$S$643)</f>
        <v>598.91581481967216</v>
      </c>
      <c r="E41" s="69">
        <f t="shared" si="1"/>
        <v>4012.7359592918037</v>
      </c>
      <c r="F41" s="69">
        <f t="shared" si="2"/>
        <v>0</v>
      </c>
      <c r="G41" s="70">
        <f>SUMIF('📋 Explosión y Despiece Mad'!$K$2:$K$713,B41,'📋 Explosión y Despiece Mad'!$S$2:$S$713)</f>
        <v>599.94325285245895</v>
      </c>
      <c r="H41" s="70">
        <f t="shared" si="3"/>
        <v>4019.6197941114751</v>
      </c>
      <c r="I41" s="70">
        <f t="shared" si="0"/>
        <v>0</v>
      </c>
      <c r="J41" s="152" t="str">
        <f>IF(SUMIF('📋 Explosión y Despiece Mad'!$K$2:$K$713,B41,'📋 Explosión y Despiece Mad'!$V$2:$V$713)&gt;0,"PENDIENTE","OK")</f>
        <v>OK</v>
      </c>
      <c r="K41" s="175"/>
    </row>
    <row r="42" spans="1:14" ht="29.25" customHeight="1" x14ac:dyDescent="0.2">
      <c r="A42" s="68">
        <v>0</v>
      </c>
      <c r="B42" s="60" t="s">
        <v>28</v>
      </c>
      <c r="C42" s="59" t="s">
        <v>284</v>
      </c>
      <c r="D42" s="69">
        <f>SUMIF('📋 Explosión y Despiece Bla'!$K$2:$K$643,B42,'📋 Explosión y Despiece Bla'!$S$2:$S$643)</f>
        <v>676.91574072131152</v>
      </c>
      <c r="E42" s="69">
        <f t="shared" si="1"/>
        <v>4535.335462832787</v>
      </c>
      <c r="F42" s="69">
        <f t="shared" si="2"/>
        <v>0</v>
      </c>
      <c r="G42" s="70">
        <f>SUMIF('📋 Explosión y Despiece Mad'!$K$2:$K$713,B42,'📋 Explosión y Despiece Mad'!$S$2:$S$713)</f>
        <v>687.72474072131149</v>
      </c>
      <c r="H42" s="70">
        <f t="shared" si="3"/>
        <v>4607.7557628327868</v>
      </c>
      <c r="I42" s="70">
        <f t="shared" si="0"/>
        <v>0</v>
      </c>
      <c r="J42" s="152" t="str">
        <f>IF(SUMIF('📋 Explosión y Despiece Mad'!$K$2:$K$713,B42,'📋 Explosión y Despiece Mad'!$V$2:$V$713)&gt;0,"PENDIENTE","OK")</f>
        <v>OK</v>
      </c>
      <c r="K42" s="175"/>
    </row>
    <row r="43" spans="1:14" ht="29.25" customHeight="1" x14ac:dyDescent="0.2">
      <c r="A43" s="68">
        <v>0</v>
      </c>
      <c r="B43" s="60" t="s">
        <v>29</v>
      </c>
      <c r="C43" s="59" t="s">
        <v>287</v>
      </c>
      <c r="D43" s="69">
        <f>SUMIF('📋 Explosión y Despiece Bla'!$K$2:$K$643,B43,'📋 Explosión y Despiece Bla'!$S$2:$S$643)</f>
        <v>728.63274531147556</v>
      </c>
      <c r="E43" s="69">
        <f t="shared" si="1"/>
        <v>4881.8393935868862</v>
      </c>
      <c r="F43" s="69">
        <f t="shared" si="2"/>
        <v>0</v>
      </c>
      <c r="G43" s="70">
        <f>SUMIF('📋 Explosión y Despiece Mad'!$K$2:$K$713,B43,'📋 Explosión y Despiece Mad'!$S$2:$S$713)</f>
        <v>922.60451291803281</v>
      </c>
      <c r="H43" s="70">
        <f t="shared" si="3"/>
        <v>6181.4502365508197</v>
      </c>
      <c r="I43" s="70">
        <f t="shared" si="0"/>
        <v>0</v>
      </c>
      <c r="J43" s="152" t="str">
        <f>IF(SUMIF('📋 Explosión y Despiece Mad'!$K$2:$K$713,B43,'📋 Explosión y Despiece Mad'!$V$2:$V$713)&gt;0,"PENDIENTE","OK")</f>
        <v>OK</v>
      </c>
      <c r="K43" s="175"/>
    </row>
    <row r="44" spans="1:14" ht="29.25" customHeight="1" x14ac:dyDescent="0.2">
      <c r="A44" s="68">
        <v>0</v>
      </c>
      <c r="B44" s="60" t="s">
        <v>30</v>
      </c>
      <c r="C44" s="59" t="s">
        <v>288</v>
      </c>
      <c r="D44" s="69">
        <f>SUMIF('📋 Explosión y Despiece Bla'!$K$2:$K$643,B44,'📋 Explosión y Despiece Bla'!$S$2:$S$643)</f>
        <v>877.79727422950816</v>
      </c>
      <c r="E44" s="69">
        <f t="shared" si="1"/>
        <v>5881.2417373377048</v>
      </c>
      <c r="F44" s="69">
        <f t="shared" si="2"/>
        <v>0</v>
      </c>
      <c r="G44" s="70">
        <f>SUMIF('📋 Explosión y Despiece Mad'!$K$2:$K$713,B44,'📋 Explosión y Despiece Mad'!$S$2:$S$713)</f>
        <v>1061.0510844590165</v>
      </c>
      <c r="H44" s="70">
        <f t="shared" si="3"/>
        <v>7109.0422658754105</v>
      </c>
      <c r="I44" s="70">
        <f t="shared" si="0"/>
        <v>0</v>
      </c>
      <c r="J44" s="152" t="str">
        <f>IF(SUMIF('📋 Explosión y Despiece Mad'!$K$2:$K$713,B44,'📋 Explosión y Despiece Mad'!$V$2:$V$713)&gt;0,"PENDIENTE","OK")</f>
        <v>OK</v>
      </c>
      <c r="K44" s="175"/>
    </row>
    <row r="45" spans="1:14" ht="29.25" customHeight="1" x14ac:dyDescent="0.2">
      <c r="A45" s="68">
        <v>1</v>
      </c>
      <c r="B45" s="60" t="s">
        <v>31</v>
      </c>
      <c r="C45" s="59" t="s">
        <v>292</v>
      </c>
      <c r="D45" s="69">
        <f>SUMIF('📋 Explosión y Despiece Bla'!$K$2:$K$643,B45,'📋 Explosión y Despiece Bla'!$S$2:$S$643)</f>
        <v>934.98611357377058</v>
      </c>
      <c r="E45" s="69">
        <f t="shared" si="1"/>
        <v>6264.4069609442631</v>
      </c>
      <c r="F45" s="69">
        <f t="shared" si="2"/>
        <v>6264.4069609442631</v>
      </c>
      <c r="G45" s="70">
        <f>SUMIF('📋 Explosión y Despiece Mad'!$K$2:$K$713,B45,'📋 Explosión y Despiece Mad'!$S$2:$S$713)</f>
        <v>1131.5989664262295</v>
      </c>
      <c r="H45" s="70">
        <f t="shared" si="3"/>
        <v>7581.713075055738</v>
      </c>
      <c r="I45" s="70">
        <f t="shared" si="0"/>
        <v>7581.713075055738</v>
      </c>
      <c r="J45" s="152" t="str">
        <f>IF(SUMIF('📋 Explosión y Despiece Mad'!$K$2:$K$713,B45,'📋 Explosión y Despiece Mad'!$V$2:$V$713)&gt;0,"PENDIENTE","OK")</f>
        <v>OK</v>
      </c>
      <c r="K45" s="175"/>
    </row>
    <row r="46" spans="1:14" ht="29.25" customHeight="1" x14ac:dyDescent="0.2">
      <c r="A46" s="68">
        <v>0</v>
      </c>
      <c r="B46" s="60" t="s">
        <v>32</v>
      </c>
      <c r="C46" s="59" t="s">
        <v>293</v>
      </c>
      <c r="D46" s="69">
        <f>SUMIF('📋 Explosión y Despiece Bla'!$K$2:$K$643,B46,'📋 Explosión y Despiece Bla'!$S$2:$S$643)</f>
        <v>992.17495291803289</v>
      </c>
      <c r="E46" s="69">
        <f t="shared" si="1"/>
        <v>6647.5721845508206</v>
      </c>
      <c r="F46" s="69">
        <f t="shared" si="2"/>
        <v>0</v>
      </c>
      <c r="G46" s="70">
        <f>SUMIF('📋 Explosión y Despiece Mad'!$K$2:$K$713,B46,'📋 Explosión y Despiece Mad'!$S$2:$S$713)</f>
        <v>1202.1468483934425</v>
      </c>
      <c r="H46" s="70">
        <f t="shared" si="3"/>
        <v>8054.3838842360647</v>
      </c>
      <c r="I46" s="70">
        <f t="shared" si="0"/>
        <v>0</v>
      </c>
      <c r="J46" s="152" t="str">
        <f>IF(SUMIF('📋 Explosión y Despiece Mad'!$K$2:$K$713,B46,'📋 Explosión y Despiece Mad'!$V$2:$V$713)&gt;0,"PENDIENTE","OK")</f>
        <v>OK</v>
      </c>
      <c r="K46" s="175"/>
    </row>
    <row r="47" spans="1:14" ht="29.25" customHeight="1" x14ac:dyDescent="0.2">
      <c r="A47" s="68">
        <v>0</v>
      </c>
      <c r="B47" s="60" t="s">
        <v>33</v>
      </c>
      <c r="C47" s="59" t="s">
        <v>295</v>
      </c>
      <c r="D47" s="69">
        <f>SUMIF('📋 Explosión y Despiece Bla'!$K$2:$K$643,B47,'📋 Explosión y Despiece Bla'!$S$2:$S$643)</f>
        <v>1771.2099998426233</v>
      </c>
      <c r="E47" s="69">
        <f t="shared" si="1"/>
        <v>11867.106998945577</v>
      </c>
      <c r="F47" s="69">
        <f t="shared" si="2"/>
        <v>0</v>
      </c>
      <c r="G47" s="70">
        <f>SUMIF('📋 Explosión y Despiece Mad'!$K$2:$K$713,B47,'📋 Explosión y Despiece Mad'!$S$2:$S$713)</f>
        <v>2227.6777070163935</v>
      </c>
      <c r="H47" s="70">
        <f t="shared" si="3"/>
        <v>14925.440637009837</v>
      </c>
      <c r="I47" s="70">
        <f t="shared" si="0"/>
        <v>0</v>
      </c>
      <c r="J47" s="152" t="str">
        <f>IF(SUMIF('📋 Explosión y Despiece Mad'!$K$2:$K$713,B47,'📋 Explosión y Despiece Mad'!$V$2:$V$713)&gt;0,"PENDIENTE","OK")</f>
        <v>OK</v>
      </c>
      <c r="K47" s="58"/>
      <c r="L47" s="57"/>
      <c r="M47" s="57"/>
      <c r="N47" s="57"/>
    </row>
    <row r="48" spans="1:14" ht="29.25" customHeight="1" x14ac:dyDescent="0.2">
      <c r="A48" s="68">
        <v>0</v>
      </c>
      <c r="B48" s="60" t="s">
        <v>34</v>
      </c>
      <c r="C48" s="59" t="s">
        <v>308</v>
      </c>
      <c r="D48" s="69">
        <f>SUMIF('📋 Explosión y Despiece Bla'!$K$2:$K$643,B48,'📋 Explosión y Despiece Bla'!$S$2:$S$643)</f>
        <v>2168.2504247606557</v>
      </c>
      <c r="E48" s="69">
        <f t="shared" si="1"/>
        <v>14527.277845896393</v>
      </c>
      <c r="F48" s="69">
        <f t="shared" si="2"/>
        <v>0</v>
      </c>
      <c r="G48" s="70">
        <f>SUMIF('📋 Explosión y Despiece Mad'!$K$2:$K$713,B48,'📋 Explosión y Despiece Mad'!$S$2:$S$713)</f>
        <v>2724.0437398032791</v>
      </c>
      <c r="H48" s="70">
        <f t="shared" si="3"/>
        <v>18251.09305668197</v>
      </c>
      <c r="I48" s="70">
        <f t="shared" si="0"/>
        <v>0</v>
      </c>
      <c r="J48" s="152" t="str">
        <f>IF(SUMIF('📋 Explosión y Despiece Mad'!$K$2:$K$713,B48,'📋 Explosión y Despiece Mad'!$V$2:$V$713)&gt;0,"PENDIENTE","OK")</f>
        <v>OK</v>
      </c>
      <c r="K48" s="58"/>
      <c r="L48" s="57"/>
      <c r="M48" s="57"/>
      <c r="N48" s="57"/>
    </row>
    <row r="49" spans="1:14" ht="29.25" customHeight="1" x14ac:dyDescent="0.2">
      <c r="A49" s="68">
        <v>0</v>
      </c>
      <c r="B49" s="60" t="s">
        <v>35</v>
      </c>
      <c r="C49" s="59" t="s">
        <v>314</v>
      </c>
      <c r="D49" s="69">
        <f>SUMIF('📋 Explosión y Despiece Bla'!$K$2:$K$643,B49,'📋 Explosión y Despiece Bla'!$S$2:$S$643)</f>
        <v>2646.7842146622952</v>
      </c>
      <c r="E49" s="69">
        <f t="shared" si="1"/>
        <v>17733.454238237377</v>
      </c>
      <c r="F49" s="69">
        <f t="shared" si="2"/>
        <v>0</v>
      </c>
      <c r="G49" s="70">
        <f>SUMIF('📋 Explosión y Despiece Mad'!$K$2:$K$713,B49,'📋 Explosión y Despiece Mad'!$S$2:$S$713)</f>
        <v>3304.5491375737711</v>
      </c>
      <c r="H49" s="70">
        <f t="shared" si="3"/>
        <v>22140.479221744266</v>
      </c>
      <c r="I49" s="70">
        <f t="shared" si="0"/>
        <v>0</v>
      </c>
      <c r="J49" s="152" t="str">
        <f>IF(SUMIF('📋 Explosión y Despiece Mad'!$K$2:$K$713,B49,'📋 Explosión y Despiece Mad'!$V$2:$V$713)&gt;0,"PENDIENTE","OK")</f>
        <v>OK</v>
      </c>
      <c r="K49" s="58"/>
      <c r="L49" s="57"/>
      <c r="M49" s="57"/>
      <c r="N49" s="57"/>
    </row>
    <row r="50" spans="1:14" ht="29.25" customHeight="1" x14ac:dyDescent="0.2">
      <c r="A50" s="68">
        <v>0</v>
      </c>
      <c r="B50" s="60" t="s">
        <v>36</v>
      </c>
      <c r="C50" s="59" t="s">
        <v>323</v>
      </c>
      <c r="D50" s="69">
        <f>SUMIF('📋 Explosión y Despiece Bla'!$K$2:$K$643,B50,'📋 Explosión y Despiece Bla'!$S$2:$S$643)</f>
        <v>2437.5446807868852</v>
      </c>
      <c r="E50" s="69">
        <f t="shared" si="1"/>
        <v>16331.549361272131</v>
      </c>
      <c r="F50" s="69">
        <f t="shared" si="2"/>
        <v>0</v>
      </c>
      <c r="G50" s="70">
        <f>SUMIF('📋 Explosión y Despiece Mad'!$K$2:$K$713,B50,'📋 Explosión y Despiece Mad'!$S$2:$S$713)</f>
        <v>2500.6811565901639</v>
      </c>
      <c r="H50" s="70">
        <f t="shared" si="3"/>
        <v>16754.563749154098</v>
      </c>
      <c r="I50" s="70">
        <f t="shared" si="0"/>
        <v>0</v>
      </c>
      <c r="J50" s="152" t="str">
        <f>IF(SUMIF('📋 Explosión y Despiece Mad'!$K$2:$K$713,B50,'📋 Explosión y Despiece Mad'!$V$2:$V$713)&gt;0,"PENDIENTE","OK")</f>
        <v>OK</v>
      </c>
      <c r="K50" s="58"/>
      <c r="L50" s="57"/>
      <c r="M50" s="57"/>
      <c r="N50" s="57"/>
    </row>
    <row r="51" spans="1:14" ht="29.25" customHeight="1" x14ac:dyDescent="0.2">
      <c r="A51" s="68">
        <v>0</v>
      </c>
      <c r="B51" s="60" t="s">
        <v>37</v>
      </c>
      <c r="C51" s="59" t="s">
        <v>330</v>
      </c>
      <c r="D51" s="69">
        <f>SUMIF('📋 Explosión y Despiece Bla'!$K$2:$K$643,B51,'📋 Explosión y Despiece Bla'!$S$2:$S$643)</f>
        <v>2815.680505836066</v>
      </c>
      <c r="E51" s="69">
        <f t="shared" si="1"/>
        <v>18865.059389101643</v>
      </c>
      <c r="F51" s="69">
        <f t="shared" si="2"/>
        <v>0</v>
      </c>
      <c r="G51" s="70">
        <f>SUMIF('📋 Explosión y Despiece Mad'!$K$2:$K$713,B51,'📋 Explosión y Despiece Mad'!$S$2:$S$713)</f>
        <v>2834.5117015081969</v>
      </c>
      <c r="H51" s="70">
        <f t="shared" si="3"/>
        <v>18991.228400104919</v>
      </c>
      <c r="I51" s="70">
        <f t="shared" si="0"/>
        <v>0</v>
      </c>
      <c r="J51" s="152" t="str">
        <f>IF(SUMIF('📋 Explosión y Despiece Mad'!$K$2:$K$713,B51,'📋 Explosión y Despiece Mad'!$V$2:$V$713)&gt;0,"PENDIENTE","OK")</f>
        <v>OK</v>
      </c>
      <c r="K51" s="58"/>
      <c r="L51" s="57"/>
      <c r="M51" s="57"/>
      <c r="N51" s="57"/>
    </row>
    <row r="52" spans="1:14" ht="29.25" customHeight="1" x14ac:dyDescent="0.2">
      <c r="A52" s="176">
        <v>0</v>
      </c>
      <c r="B52" s="60" t="s">
        <v>640</v>
      </c>
      <c r="C52" s="59" t="s">
        <v>639</v>
      </c>
      <c r="D52" s="69">
        <f>SUMIF('📋 Explosión y Despiece Bla'!$K$2:$K$643,B52,'📋 Explosión y Despiece Bla'!$S$2:$S$643)</f>
        <v>3292.7743059934428</v>
      </c>
      <c r="E52" s="69">
        <f>D52*$L$14+$L$15</f>
        <v>22061.587850156066</v>
      </c>
      <c r="F52" s="69">
        <f>A52*E52</f>
        <v>0</v>
      </c>
      <c r="G52" s="70">
        <f>SUMIF('📋 Explosión y Despiece Mad'!$K$2:$K$713,B52,'📋 Explosión y Despiece Mad'!$S$2:$S$713)</f>
        <v>3526.2494242622961</v>
      </c>
      <c r="H52" s="70">
        <f>G52*$L$14+$L$15</f>
        <v>23625.871142557386</v>
      </c>
      <c r="I52" s="70">
        <f>A52*H52</f>
        <v>0</v>
      </c>
      <c r="J52" s="152" t="str">
        <f>IF(SUMIF('📋 Explosión y Despiece Mad'!$K$2:$K$713,B52,'📋 Explosión y Despiece Mad'!$V$2:$V$713)&gt;0,"PENDIENTE","OK")</f>
        <v>OK</v>
      </c>
      <c r="K52" s="58"/>
      <c r="L52" s="57"/>
      <c r="M52" s="57"/>
      <c r="N52" s="57"/>
    </row>
    <row r="53" spans="1:14" ht="29.25" customHeight="1" x14ac:dyDescent="0.2">
      <c r="A53" s="176">
        <v>0</v>
      </c>
      <c r="B53" s="60" t="s">
        <v>638</v>
      </c>
      <c r="C53" s="59" t="s">
        <v>637</v>
      </c>
      <c r="D53" s="69">
        <f>SUMIF('📋 Explosión y Despiece Bla'!$K$2:$K$643,B53,'📋 Explosión y Despiece Bla'!$S$2:$S$643)</f>
        <v>3904.1467249836064</v>
      </c>
      <c r="E53" s="69">
        <f>D53*$L$14+$L$15</f>
        <v>26157.783057390163</v>
      </c>
      <c r="F53" s="69">
        <f>A53*E53</f>
        <v>0</v>
      </c>
      <c r="G53" s="70">
        <f>SUMIF('📋 Explosión y Despiece Mad'!$K$2:$K$713,B53,'📋 Explosión y Despiece Mad'!$S$2:$S$713)</f>
        <v>3904.1467249836064</v>
      </c>
      <c r="H53" s="70">
        <f>G53*$L$14+$L$15</f>
        <v>26157.783057390163</v>
      </c>
      <c r="I53" s="70">
        <f>A53*H53</f>
        <v>0</v>
      </c>
      <c r="J53" s="152" t="str">
        <f>IF(SUMIF('📋 Explosión y Despiece Mad'!$K$2:$K$713,B53,'📋 Explosión y Despiece Mad'!$V$2:$V$713)&gt;0,"PENDIENTE","OK")</f>
        <v>OK</v>
      </c>
      <c r="K53" s="58"/>
      <c r="L53" s="57"/>
      <c r="M53" s="57"/>
      <c r="N53" s="57"/>
    </row>
    <row r="54" spans="1:14" ht="29.25" customHeight="1" x14ac:dyDescent="0.2">
      <c r="A54" s="68">
        <v>0</v>
      </c>
      <c r="B54" s="60" t="s">
        <v>38</v>
      </c>
      <c r="C54" s="59" t="s">
        <v>345</v>
      </c>
      <c r="D54" s="69">
        <f>SUMIF('📋 Explosión y Despiece Bla'!$K$2:$K$643,B54,'📋 Explosión y Despiece Bla'!$S$2:$S$643)</f>
        <v>1769.0651108852462</v>
      </c>
      <c r="E54" s="69">
        <f t="shared" si="1"/>
        <v>11852.736242931151</v>
      </c>
      <c r="F54" s="69">
        <f t="shared" si="2"/>
        <v>0</v>
      </c>
      <c r="G54" s="70">
        <f>SUMIF('📋 Explosión y Despiece Mad'!$K$2:$K$713,B54,'📋 Explosión y Despiece Mad'!$S$2:$S$713)</f>
        <v>1737.4344643278691</v>
      </c>
      <c r="H54" s="70">
        <f t="shared" si="3"/>
        <v>11640.810910996723</v>
      </c>
      <c r="I54" s="70">
        <f t="shared" si="0"/>
        <v>0</v>
      </c>
      <c r="J54" s="152" t="str">
        <f>IF(SUMIF('📋 Explosión y Despiece Mad'!$K$2:$K$713,B54,'📋 Explosión y Despiece Mad'!$V$2:$V$713)&gt;0,"PENDIENTE","OK")</f>
        <v>OK</v>
      </c>
      <c r="K54" s="58"/>
      <c r="L54" s="57"/>
      <c r="M54" s="57"/>
      <c r="N54" s="57"/>
    </row>
    <row r="55" spans="1:14" ht="29.25" customHeight="1" x14ac:dyDescent="0.2">
      <c r="A55" s="68">
        <v>0</v>
      </c>
      <c r="B55" s="60" t="s">
        <v>39</v>
      </c>
      <c r="C55" s="59" t="s">
        <v>349</v>
      </c>
      <c r="D55" s="69">
        <f>SUMIF('📋 Explosión y Despiece Bla'!$K$2:$K$643,B55,'📋 Explosión y Despiece Bla'!$S$2:$S$643)</f>
        <v>51.397744262295085</v>
      </c>
      <c r="E55" s="69">
        <f t="shared" si="1"/>
        <v>344.36488655737708</v>
      </c>
      <c r="F55" s="69">
        <f t="shared" si="2"/>
        <v>0</v>
      </c>
      <c r="G55" s="70">
        <f>SUMIF('📋 Explosión y Despiece Mad'!$K$2:$K$713,B55,'📋 Explosión y Despiece Mad'!$S$2:$S$713)</f>
        <v>51.397744262295085</v>
      </c>
      <c r="H55" s="70">
        <f t="shared" si="3"/>
        <v>344.36488655737708</v>
      </c>
      <c r="I55" s="70">
        <f t="shared" si="0"/>
        <v>0</v>
      </c>
      <c r="J55" s="152" t="str">
        <f>IF(SUMIF('📋 Explosión y Despiece Mad'!$K$2:$K$713,B55,'📋 Explosión y Despiece Mad'!$V$2:$V$713)&gt;0,"PENDIENTE","OK")</f>
        <v>OK</v>
      </c>
      <c r="K55" s="58"/>
      <c r="L55" s="57"/>
      <c r="M55" s="57"/>
      <c r="N55" s="57"/>
    </row>
    <row r="56" spans="1:14" ht="29.25" customHeight="1" x14ac:dyDescent="0.2">
      <c r="A56" s="68">
        <v>0</v>
      </c>
      <c r="B56" s="60" t="s">
        <v>40</v>
      </c>
      <c r="C56" s="59" t="s">
        <v>351</v>
      </c>
      <c r="D56" s="69">
        <f>SUMIF('📋 Explosión y Despiece Bla'!$K$2:$K$643,B56,'📋 Explosión y Despiece Bla'!$S$2:$S$643)</f>
        <v>96.335488524590161</v>
      </c>
      <c r="E56" s="69">
        <f t="shared" si="1"/>
        <v>645.44777311475411</v>
      </c>
      <c r="F56" s="69">
        <f t="shared" si="2"/>
        <v>0</v>
      </c>
      <c r="G56" s="70">
        <f>SUMIF('📋 Explosión y Despiece Mad'!$K$2:$K$713,B56,'📋 Explosión y Despiece Mad'!$S$2:$S$713)</f>
        <v>96.335488524590161</v>
      </c>
      <c r="H56" s="70">
        <f t="shared" si="3"/>
        <v>645.44777311475411</v>
      </c>
      <c r="I56" s="70">
        <f t="shared" si="0"/>
        <v>0</v>
      </c>
      <c r="J56" s="152" t="str">
        <f>IF(SUMIF('📋 Explosión y Despiece Mad'!$K$2:$K$713,B56,'📋 Explosión y Despiece Mad'!$V$2:$V$713)&gt;0,"PENDIENTE","OK")</f>
        <v>OK</v>
      </c>
      <c r="K56" s="58"/>
      <c r="L56" s="57"/>
      <c r="M56" s="57"/>
      <c r="N56" s="57"/>
    </row>
    <row r="57" spans="1:14" x14ac:dyDescent="0.2">
      <c r="A57" s="68">
        <v>0</v>
      </c>
      <c r="B57" s="60" t="s">
        <v>41</v>
      </c>
      <c r="C57" s="59" t="s">
        <v>352</v>
      </c>
      <c r="D57" s="69">
        <f>SUMIF('📋 Explosión y Despiece Bla'!$K$2:$K$643,B57,'📋 Explosión y Despiece Bla'!$S$2:$S$643)</f>
        <v>171.45880000000002</v>
      </c>
      <c r="E57" s="69">
        <f t="shared" si="1"/>
        <v>1148.7739600000002</v>
      </c>
      <c r="F57" s="69">
        <f t="shared" si="2"/>
        <v>0</v>
      </c>
      <c r="G57" s="70">
        <f>SUMIF('📋 Explosión y Despiece Mad'!$K$2:$K$713,B57,'📋 Explosión y Despiece Mad'!$S$2:$S$713)</f>
        <v>171.45880000000002</v>
      </c>
      <c r="H57" s="70">
        <f t="shared" si="3"/>
        <v>1148.7739600000002</v>
      </c>
      <c r="I57" s="70">
        <f t="shared" si="0"/>
        <v>0</v>
      </c>
      <c r="J57" s="152" t="str">
        <f>IF(SUMIF('📋 Explosión y Despiece Mad'!$K$2:$K$713,B57,'📋 Explosión y Despiece Mad'!$V$2:$V$713)&gt;0,"PENDIENTE","OK")</f>
        <v>OK</v>
      </c>
      <c r="K57" s="175"/>
    </row>
    <row r="58" spans="1:14" x14ac:dyDescent="0.2">
      <c r="A58" s="68">
        <v>0</v>
      </c>
      <c r="B58" s="60" t="s">
        <v>42</v>
      </c>
      <c r="C58" s="59" t="s">
        <v>354</v>
      </c>
      <c r="D58" s="69">
        <f>SUMIF('📋 Explosión y Despiece Bla'!$K$2:$K$643,B58,'📋 Explosión y Despiece Bla'!$S$2:$S$643)</f>
        <v>477.87400000000002</v>
      </c>
      <c r="E58" s="69">
        <f t="shared" si="1"/>
        <v>3201.7558000000004</v>
      </c>
      <c r="F58" s="69">
        <f t="shared" si="2"/>
        <v>0</v>
      </c>
      <c r="G58" s="70">
        <f>SUMIF('📋 Explosión y Despiece Mad'!$K$2:$K$713,B58,'📋 Explosión y Despiece Mad'!$S$2:$S$713)</f>
        <v>477.87400000000002</v>
      </c>
      <c r="H58" s="70">
        <f t="shared" si="3"/>
        <v>3201.7558000000004</v>
      </c>
      <c r="I58" s="70">
        <f t="shared" si="0"/>
        <v>0</v>
      </c>
      <c r="J58" s="152" t="str">
        <f>IF(SUMIF('📋 Explosión y Despiece Mad'!$K$2:$K$713,B58,'📋 Explosión y Despiece Mad'!$V$2:$V$713)&gt;0,"PENDIENTE","OK")</f>
        <v>OK</v>
      </c>
    </row>
    <row r="59" spans="1:14" x14ac:dyDescent="0.2">
      <c r="A59" s="176">
        <v>0</v>
      </c>
      <c r="B59" s="60" t="s">
        <v>357</v>
      </c>
      <c r="C59" s="59" t="s">
        <v>356</v>
      </c>
      <c r="D59" s="69">
        <f>SUMIF('📋 Explosión y Despiece Bla'!$K$2:$K$643,B59,'📋 Explosión y Despiece Bla'!$S$2:$S$643)</f>
        <v>284.01665573770492</v>
      </c>
      <c r="E59" s="69">
        <f>D59*$L$14+$L$15</f>
        <v>1902.9115934426231</v>
      </c>
      <c r="F59" s="69">
        <f>A59*E59</f>
        <v>0</v>
      </c>
      <c r="G59" s="70">
        <f>SUMIF('📋 Explosión y Despiece Mad'!$K$2:$K$713,B59,'📋 Explosión y Despiece Mad'!$S$2:$S$713)</f>
        <v>284.01665573770492</v>
      </c>
      <c r="H59" s="70">
        <f>G59*$L$14+$L$15</f>
        <v>1902.9115934426231</v>
      </c>
      <c r="I59" s="70">
        <f>A59*H59</f>
        <v>0</v>
      </c>
      <c r="J59" s="152" t="str">
        <f>IF(SUMIF('📋 Explosión y Despiece Mad'!$K$2:$K$713,B59,'📋 Explosión y Despiece Mad'!$V$2:$V$713)&gt;0,"PENDIENTE","OK")</f>
        <v>OK</v>
      </c>
    </row>
    <row r="60" spans="1:14" x14ac:dyDescent="0.2">
      <c r="A60" s="68">
        <v>0</v>
      </c>
      <c r="B60" s="60" t="s">
        <v>43</v>
      </c>
      <c r="C60" s="59" t="s">
        <v>358</v>
      </c>
      <c r="D60" s="69">
        <f>SUMIF('📋 Explosión y Despiece Bla'!$K$2:$K$643,B60,'📋 Explosión y Despiece Bla'!$S$2:$S$643)</f>
        <v>168.27688524590164</v>
      </c>
      <c r="E60" s="69">
        <f t="shared" si="1"/>
        <v>1127.4551311475409</v>
      </c>
      <c r="F60" s="69">
        <f t="shared" si="2"/>
        <v>0</v>
      </c>
      <c r="G60" s="70">
        <f>SUMIF('📋 Explosión y Despiece Mad'!$K$2:$K$713,B60,'📋 Explosión y Despiece Mad'!$S$2:$S$713)</f>
        <v>168.27688524590164</v>
      </c>
      <c r="H60" s="70">
        <f t="shared" si="3"/>
        <v>1127.4551311475409</v>
      </c>
      <c r="I60" s="70">
        <f t="shared" si="0"/>
        <v>0</v>
      </c>
      <c r="J60" s="152" t="str">
        <f>IF(SUMIF('📋 Explosión y Despiece Mad'!$K$2:$K$713,B60,'📋 Explosión y Despiece Mad'!$V$2:$V$713)&gt;0,"PENDIENTE","OK")</f>
        <v>OK</v>
      </c>
    </row>
    <row r="61" spans="1:14" x14ac:dyDescent="0.2">
      <c r="A61" s="74"/>
      <c r="B61" s="75"/>
      <c r="C61" s="75"/>
      <c r="D61" s="75"/>
      <c r="E61" s="146" t="s">
        <v>461</v>
      </c>
      <c r="F61" s="147">
        <f>SUM(F13:F60)</f>
        <v>47739.651516565253</v>
      </c>
      <c r="G61" s="75"/>
      <c r="H61" s="148" t="s">
        <v>462</v>
      </c>
      <c r="I61" s="149">
        <f>SUM(I13:I60)</f>
        <v>59954.275768675427</v>
      </c>
      <c r="J61" s="76"/>
    </row>
  </sheetData>
  <mergeCells count="32">
    <mergeCell ref="A10:J10"/>
    <mergeCell ref="K10:N10"/>
    <mergeCell ref="A11:J11"/>
    <mergeCell ref="K11:N11"/>
    <mergeCell ref="K18:N18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B4:N4"/>
    <mergeCell ref="A6:B6"/>
    <mergeCell ref="C6:D6"/>
    <mergeCell ref="E6:F6"/>
    <mergeCell ref="G6:H6"/>
    <mergeCell ref="I6:J6"/>
    <mergeCell ref="K6:L6"/>
    <mergeCell ref="M6:N6"/>
    <mergeCell ref="A1:N1"/>
    <mergeCell ref="A2:N2"/>
    <mergeCell ref="B3:G3"/>
    <mergeCell ref="I3:J3"/>
    <mergeCell ref="L3:N3"/>
  </mergeCells>
  <conditionalFormatting sqref="A13:A60">
    <cfRule type="cellIs" dxfId="29" priority="10" operator="lessThan">
      <formula>0</formula>
    </cfRule>
  </conditionalFormatting>
  <conditionalFormatting sqref="G13:I60">
    <cfRule type="expression" dxfId="28" priority="4">
      <formula>$J13="PENDIENTE"</formula>
    </cfRule>
  </conditionalFormatting>
  <conditionalFormatting sqref="J13:J60">
    <cfRule type="expression" dxfId="27" priority="2">
      <formula>J13="PENDIENTE"</formula>
    </cfRule>
    <cfRule type="expression" dxfId="26" priority="3">
      <formula>J13="OK"</formula>
    </cfRule>
  </conditionalFormatting>
  <conditionalFormatting sqref="K7:L7">
    <cfRule type="expression" dxfId="25" priority="7">
      <formula>NOT(ISNUMBER($K$7))</formula>
    </cfRule>
  </conditionalFormatting>
  <conditionalFormatting sqref="K11:N11">
    <cfRule type="expression" dxfId="24" priority="5">
      <formula>ISNUMBER(SEARCH("COSTOS COMPLETOS",$K$11))</formula>
    </cfRule>
    <cfRule type="expression" dxfId="23" priority="6">
      <formula>ISNUMBER(SEARCH("REVISAR",$K$11))</formula>
    </cfRule>
  </conditionalFormatting>
  <conditionalFormatting sqref="M28">
    <cfRule type="expression" dxfId="22" priority="9">
      <formula>NOT(ISNUMBER(M28))</formula>
    </cfRule>
  </conditionalFormatting>
  <conditionalFormatting sqref="M35">
    <cfRule type="expression" dxfId="21" priority="1">
      <formula>NOT(ISNUMBER(M35))</formula>
    </cfRule>
  </conditionalFormatting>
  <conditionalFormatting sqref="M7:N7">
    <cfRule type="expression" dxfId="20" priority="8">
      <formula>NOT(ISNUMBER($M$7))</formula>
    </cfRule>
  </conditionalFormatting>
  <dataValidations disablePrompts="1" count="2">
    <dataValidation type="list" showInputMessage="1" showErrorMessage="1" sqref="H19" xr:uid="{00000000-0002-0000-0100-000000000000}">
      <formula1>"Granito,Laminado"</formula1>
    </dataValidation>
    <dataValidation type="list" allowBlank="1" sqref="L19" xr:uid="{00000000-0002-0000-0100-000001000000}">
      <formula1>"SIN CUBIERTA,GRANITO,MELAMINA"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D090-A03C-774F-B677-F4E5AE0868E4}">
  <dimension ref="A1:J54"/>
  <sheetViews>
    <sheetView topLeftCell="A48" zoomScale="160" zoomScaleNormal="160" workbookViewId="0">
      <selection activeCell="E4" sqref="E4"/>
    </sheetView>
  </sheetViews>
  <sheetFormatPr baseColWidth="10" defaultRowHeight="15" x14ac:dyDescent="0.2"/>
  <cols>
    <col min="1" max="1" width="18.33203125" customWidth="1"/>
    <col min="2" max="2" width="36.6640625" customWidth="1"/>
    <col min="3" max="3" width="10" customWidth="1"/>
    <col min="4" max="4" width="12.5" customWidth="1"/>
    <col min="5" max="5" width="15" customWidth="1"/>
    <col min="6" max="6" width="15.83203125" customWidth="1"/>
    <col min="7" max="7" width="16.6640625" customWidth="1"/>
    <col min="8" max="8" width="17.5" customWidth="1"/>
    <col min="9" max="10" width="3.33203125" customWidth="1"/>
  </cols>
  <sheetData>
    <row r="1" spans="1:10" ht="24" x14ac:dyDescent="0.3">
      <c r="A1" s="252" t="s">
        <v>576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 x14ac:dyDescent="0.2">
      <c r="A2" s="253" t="s">
        <v>606</v>
      </c>
      <c r="B2" s="253"/>
      <c r="C2" s="253"/>
      <c r="D2" s="253"/>
      <c r="E2" s="253"/>
      <c r="F2" s="253"/>
      <c r="G2" s="253"/>
      <c r="H2" s="253"/>
      <c r="I2" s="253"/>
      <c r="J2" s="253"/>
    </row>
    <row r="3" spans="1:10" x14ac:dyDescent="0.2">
      <c r="A3" s="161" t="s">
        <v>577</v>
      </c>
      <c r="B3" s="160" t="str">
        <f>'📊 Resumen y Cotización'!L19</f>
        <v>SIN CUBIERTA</v>
      </c>
      <c r="C3" s="160"/>
      <c r="D3" s="161" t="s">
        <v>585</v>
      </c>
      <c r="E3" s="163">
        <v>4</v>
      </c>
      <c r="F3" s="160"/>
      <c r="G3" s="161" t="s">
        <v>578</v>
      </c>
      <c r="H3" s="160">
        <f>COUNTIF(C7:C54,"SÍ")</f>
        <v>19</v>
      </c>
    </row>
    <row r="4" spans="1:10" x14ac:dyDescent="0.2">
      <c r="A4" s="161" t="s">
        <v>579</v>
      </c>
      <c r="B4" s="164">
        <f>IFERROR(_xlfn.XLOOKUP(B3,'⚙️ Configuración Costos'!$A$23:$A$25,'⚙️ Configuración Costos'!$B$23:$B$25),0)</f>
        <v>0</v>
      </c>
      <c r="C4" s="160"/>
      <c r="D4" s="161" t="s">
        <v>607</v>
      </c>
      <c r="E4" s="169" cm="1">
        <f t="array" ref="E4">SUMPRODUCT('📊 Resumen y Cotización'!$A$13:$A$60,$D$7:$D$54,--($C$7:$C$54="SÍ"))</f>
        <v>2.25</v>
      </c>
      <c r="F4" s="160"/>
      <c r="G4" s="161" t="s">
        <v>590</v>
      </c>
      <c r="H4" s="164">
        <f>SUMPRODUCT('📊 Resumen y Cotización'!$A$13:$A$60,$F$7:$F$54)</f>
        <v>0</v>
      </c>
    </row>
    <row r="5" spans="1:10" x14ac:dyDescent="0.2">
      <c r="A5" s="161" t="s">
        <v>522</v>
      </c>
      <c r="B5" s="160" t="str">
        <f>IF(B3="SIN CUBIERTA","○ SIN CUBIERTA",IF(B4&gt;0,"✓ PRECIO CONFIGURADO","⚠ REVISAR CONFIGURACIÓN"))</f>
        <v>○ SIN CUBIERTA</v>
      </c>
      <c r="C5" s="160"/>
      <c r="D5" s="161" t="s">
        <v>608</v>
      </c>
      <c r="E5" s="169">
        <f>IF(E4=0,0,ROUNDUP(E4/1.2,0)*1.2)</f>
        <v>2.4</v>
      </c>
      <c r="F5" s="160"/>
      <c r="G5" s="161" t="s">
        <v>591</v>
      </c>
      <c r="H5" s="164">
        <f>SUMPRODUCT('📊 Resumen y Cotización'!$A$13:$A$60,$E$7:$E$54)</f>
        <v>0</v>
      </c>
    </row>
    <row r="6" spans="1:10" x14ac:dyDescent="0.2">
      <c r="A6" s="162" t="s">
        <v>1</v>
      </c>
      <c r="B6" s="162" t="s">
        <v>2</v>
      </c>
      <c r="C6" s="162" t="s">
        <v>580</v>
      </c>
      <c r="D6" s="162" t="s">
        <v>586</v>
      </c>
      <c r="E6" s="162" t="s">
        <v>587</v>
      </c>
      <c r="F6" s="162" t="s">
        <v>588</v>
      </c>
    </row>
    <row r="7" spans="1:10" ht="16" x14ac:dyDescent="0.2">
      <c r="A7" t="str">
        <f>'📊 Resumen y Cotización'!B13</f>
        <v>ALA-RIN-656832</v>
      </c>
      <c r="B7" s="4" t="str">
        <f>'📊 Resumen y Cotización'!C13</f>
        <v>Alacena Rinconera 650 x 680 x 320 mm</v>
      </c>
      <c r="C7" s="44" t="str">
        <f>IF(OR(LEFT(A7,4)="GAB-",LEFT(A7,4)="TAR-"),"SÍ","NO")</f>
        <v>NO</v>
      </c>
      <c r="D7" s="165">
        <v>0</v>
      </c>
      <c r="E7" s="166">
        <f>IF(AND(C7="SÍ",$B$3&lt;&gt;"SIN CUBIERTA",$E$4&gt;0),D7*$B$4*($E$5/$E$4),0)</f>
        <v>0</v>
      </c>
      <c r="F7" s="166">
        <f>E7*$E$3</f>
        <v>0</v>
      </c>
    </row>
    <row r="8" spans="1:10" ht="16" x14ac:dyDescent="0.2">
      <c r="A8" t="str">
        <f>'📊 Resumen y Cotización'!B14</f>
        <v>ALA-1PU-306832</v>
      </c>
      <c r="B8" s="4" t="str">
        <f>'📊 Resumen y Cotización'!C14</f>
        <v>Alacena 1 Puerta 300 x 680 x 320 mm</v>
      </c>
      <c r="C8" s="44" t="str">
        <f t="shared" ref="C8:C54" si="0">IF(OR(LEFT(A8,4)="GAB-",LEFT(A8,4)="TAR-"),"SÍ","NO")</f>
        <v>NO</v>
      </c>
      <c r="D8" s="165">
        <v>0</v>
      </c>
      <c r="E8" s="166">
        <f t="shared" ref="E8:E54" si="1">IF(AND(C8="SÍ",$B$3&lt;&gt;"SIN CUBIERTA",$E$4&gt;0),D8*$B$4*($E$5/$E$4),0)</f>
        <v>0</v>
      </c>
      <c r="F8" s="166">
        <f t="shared" ref="F8:F54" si="2">E8*$E$3</f>
        <v>0</v>
      </c>
    </row>
    <row r="9" spans="1:10" ht="16" x14ac:dyDescent="0.2">
      <c r="A9" t="str">
        <f>'📊 Resumen y Cotización'!B15</f>
        <v>ALA-1PU-406832</v>
      </c>
      <c r="B9" s="4" t="str">
        <f>'📊 Resumen y Cotización'!C15</f>
        <v>Alacena 1 Puerta 400 x 680 x 320 mm</v>
      </c>
      <c r="C9" s="44" t="str">
        <f t="shared" si="0"/>
        <v>NO</v>
      </c>
      <c r="D9" s="165">
        <v>0</v>
      </c>
      <c r="E9" s="166">
        <f t="shared" si="1"/>
        <v>0</v>
      </c>
      <c r="F9" s="166">
        <f t="shared" si="2"/>
        <v>0</v>
      </c>
    </row>
    <row r="10" spans="1:10" ht="16" x14ac:dyDescent="0.2">
      <c r="A10" t="str">
        <f>'📊 Resumen y Cotización'!B16</f>
        <v>ALA-1PU-506832</v>
      </c>
      <c r="B10" s="4" t="str">
        <f>'📊 Resumen y Cotización'!C16</f>
        <v>Alacena 1 Puerta 500 x 680 x 320 mm</v>
      </c>
      <c r="C10" s="44" t="str">
        <f t="shared" si="0"/>
        <v>NO</v>
      </c>
      <c r="D10" s="165">
        <v>0</v>
      </c>
      <c r="E10" s="166">
        <f t="shared" si="1"/>
        <v>0</v>
      </c>
      <c r="F10" s="166">
        <f t="shared" si="2"/>
        <v>0</v>
      </c>
    </row>
    <row r="11" spans="1:10" ht="16" x14ac:dyDescent="0.2">
      <c r="A11" t="str">
        <f>'📊 Resumen y Cotización'!B17</f>
        <v>ALA-1PU-606832</v>
      </c>
      <c r="B11" s="4" t="str">
        <f>'📊 Resumen y Cotización'!C17</f>
        <v>Alacena 1 Puerta 600 x 680 x 320 mm</v>
      </c>
      <c r="C11" s="44" t="str">
        <f t="shared" si="0"/>
        <v>NO</v>
      </c>
      <c r="D11" s="165">
        <v>0</v>
      </c>
      <c r="E11" s="166">
        <f t="shared" si="1"/>
        <v>0</v>
      </c>
      <c r="F11" s="166">
        <f t="shared" si="2"/>
        <v>0</v>
      </c>
    </row>
    <row r="12" spans="1:10" ht="16" x14ac:dyDescent="0.2">
      <c r="A12" t="str">
        <f>'📊 Resumen y Cotización'!B18</f>
        <v>ALA-2PU-706832</v>
      </c>
      <c r="B12" s="4" t="str">
        <f>'📊 Resumen y Cotización'!C18</f>
        <v>Alacena 2 Puertas 700 x 680 x 320 mm</v>
      </c>
      <c r="C12" s="44" t="str">
        <f t="shared" si="0"/>
        <v>NO</v>
      </c>
      <c r="D12" s="165">
        <v>0</v>
      </c>
      <c r="E12" s="166">
        <f t="shared" si="1"/>
        <v>0</v>
      </c>
      <c r="F12" s="166">
        <f t="shared" si="2"/>
        <v>0</v>
      </c>
    </row>
    <row r="13" spans="1:10" ht="16" x14ac:dyDescent="0.2">
      <c r="A13" t="str">
        <f>'📊 Resumen y Cotización'!B19</f>
        <v>ALA-2PU-806832</v>
      </c>
      <c r="B13" s="4" t="str">
        <f>'📊 Resumen y Cotización'!C19</f>
        <v>Alacena 2 Puertas 800 x 680 x 320 mm</v>
      </c>
      <c r="C13" s="44" t="str">
        <f t="shared" si="0"/>
        <v>NO</v>
      </c>
      <c r="D13" s="165">
        <v>0</v>
      </c>
      <c r="E13" s="166">
        <f t="shared" si="1"/>
        <v>0</v>
      </c>
      <c r="F13" s="166">
        <f t="shared" si="2"/>
        <v>0</v>
      </c>
    </row>
    <row r="14" spans="1:10" ht="16" x14ac:dyDescent="0.2">
      <c r="A14" t="str">
        <f>'📊 Resumen y Cotización'!B20</f>
        <v>ALA-2PU-906832</v>
      </c>
      <c r="B14" s="4" t="str">
        <f>'📊 Resumen y Cotización'!C20</f>
        <v>Alacena 2 Puertas 900 x 680 x 320 mm</v>
      </c>
      <c r="C14" s="44" t="str">
        <f t="shared" si="0"/>
        <v>NO</v>
      </c>
      <c r="D14" s="165">
        <v>0</v>
      </c>
      <c r="E14" s="166">
        <f t="shared" si="1"/>
        <v>0</v>
      </c>
      <c r="F14" s="166">
        <f t="shared" si="2"/>
        <v>0</v>
      </c>
    </row>
    <row r="15" spans="1:10" ht="16" x14ac:dyDescent="0.2">
      <c r="A15" t="str">
        <f>'📊 Resumen y Cotización'!B21</f>
        <v>ALA-BAS-503432</v>
      </c>
      <c r="B15" s="4" t="str">
        <f>'📊 Resumen y Cotización'!C21</f>
        <v>Alacena Basculante 500 x 340 x 320 mm</v>
      </c>
      <c r="C15" s="44" t="str">
        <f t="shared" ref="C15" si="3">IF(OR(LEFT(A15,4)="GAB-",LEFT(A15,4)="TAR-"),"SÍ","NO")</f>
        <v>NO</v>
      </c>
      <c r="D15" s="165">
        <v>0</v>
      </c>
      <c r="E15" s="166">
        <f t="shared" ref="E15" si="4">IF(AND(C15="SÍ",$B$3&lt;&gt;"SIN CUBIERTA",$E$4&gt;0),D15*$B$4*($E$5/$E$4),0)</f>
        <v>0</v>
      </c>
      <c r="F15" s="166">
        <f t="shared" ref="F15" si="5">E15*$E$3</f>
        <v>0</v>
      </c>
    </row>
    <row r="16" spans="1:10" ht="16" x14ac:dyDescent="0.2">
      <c r="A16" t="str">
        <f>'📊 Resumen y Cotización'!B22</f>
        <v>ALA-BAS-603432</v>
      </c>
      <c r="B16" s="4" t="str">
        <f>'📊 Resumen y Cotización'!C22</f>
        <v>Alacena Basculante 600 x 340 x 320 mm</v>
      </c>
      <c r="C16" s="44" t="str">
        <f t="shared" si="0"/>
        <v>NO</v>
      </c>
      <c r="D16" s="165">
        <v>0</v>
      </c>
      <c r="E16" s="166">
        <f t="shared" si="1"/>
        <v>0</v>
      </c>
      <c r="F16" s="166">
        <f t="shared" si="2"/>
        <v>0</v>
      </c>
    </row>
    <row r="17" spans="1:6" ht="16" x14ac:dyDescent="0.2">
      <c r="A17" t="str">
        <f>'📊 Resumen y Cotización'!B23</f>
        <v>ALA-BAS-703432</v>
      </c>
      <c r="B17" s="4" t="str">
        <f>'📊 Resumen y Cotización'!C23</f>
        <v>Alacena Basculante 700 x 340 x 320 mm</v>
      </c>
      <c r="C17" s="44" t="str">
        <f t="shared" si="0"/>
        <v>NO</v>
      </c>
      <c r="D17" s="165">
        <v>0</v>
      </c>
      <c r="E17" s="166">
        <f t="shared" si="1"/>
        <v>0</v>
      </c>
      <c r="F17" s="166">
        <f t="shared" si="2"/>
        <v>0</v>
      </c>
    </row>
    <row r="18" spans="1:6" ht="16" x14ac:dyDescent="0.2">
      <c r="A18" t="str">
        <f>'📊 Resumen y Cotización'!B24</f>
        <v>ALA-BAS-803432</v>
      </c>
      <c r="B18" s="4" t="str">
        <f>'📊 Resumen y Cotización'!C24</f>
        <v>Alacena Basculante 800 x 340 x 320 mm</v>
      </c>
      <c r="C18" s="44" t="str">
        <f t="shared" si="0"/>
        <v>NO</v>
      </c>
      <c r="D18" s="165">
        <v>0</v>
      </c>
      <c r="E18" s="166">
        <f t="shared" si="1"/>
        <v>0</v>
      </c>
      <c r="F18" s="166">
        <f t="shared" si="2"/>
        <v>0</v>
      </c>
    </row>
    <row r="19" spans="1:6" ht="16" x14ac:dyDescent="0.2">
      <c r="A19" t="str">
        <f>'📊 Resumen y Cotización'!B25</f>
        <v>ALA-NIC-276832</v>
      </c>
      <c r="B19" s="4" t="str">
        <f>'📊 Resumen y Cotización'!C25</f>
        <v>Alacena Nicho Abierto 270 x 680 x 320 mm</v>
      </c>
      <c r="C19" s="44" t="str">
        <f t="shared" si="0"/>
        <v>NO</v>
      </c>
      <c r="D19" s="165">
        <v>0</v>
      </c>
      <c r="E19" s="166">
        <f t="shared" si="1"/>
        <v>0</v>
      </c>
      <c r="F19" s="166">
        <f t="shared" si="2"/>
        <v>0</v>
      </c>
    </row>
    <row r="20" spans="1:6" ht="32" x14ac:dyDescent="0.2">
      <c r="A20" t="str">
        <f>'📊 Resumen y Cotización'!B26</f>
        <v>ALA-MIC-503432</v>
      </c>
      <c r="B20" s="4" t="str">
        <f>'📊 Resumen y Cotización'!C26</f>
        <v>Alacena Nicho Microondas 500 x 340 x 320 mm</v>
      </c>
      <c r="C20" s="44" t="str">
        <f t="shared" ref="C20" si="6">IF(OR(LEFT(A20,4)="GAB-",LEFT(A20,4)="TAR-"),"SÍ","NO")</f>
        <v>NO</v>
      </c>
      <c r="D20" s="165">
        <v>0</v>
      </c>
      <c r="E20" s="166">
        <f t="shared" ref="E20" si="7">IF(AND(C20="SÍ",$B$3&lt;&gt;"SIN CUBIERTA",$E$4&gt;0),D20*$B$4*($E$5/$E$4),0)</f>
        <v>0</v>
      </c>
      <c r="F20" s="166">
        <f t="shared" ref="F20" si="8">E20*$E$3</f>
        <v>0</v>
      </c>
    </row>
    <row r="21" spans="1:6" ht="32" x14ac:dyDescent="0.2">
      <c r="A21" t="str">
        <f>'📊 Resumen y Cotización'!B27</f>
        <v>ALA-MIC-603432</v>
      </c>
      <c r="B21" s="4" t="str">
        <f>'📊 Resumen y Cotización'!C27</f>
        <v>Alacena Nicho Microondas 600 x 340 x 320 mm</v>
      </c>
      <c r="C21" s="44" t="str">
        <f t="shared" si="0"/>
        <v>NO</v>
      </c>
      <c r="D21" s="165">
        <v>0</v>
      </c>
      <c r="E21" s="166">
        <f t="shared" si="1"/>
        <v>0</v>
      </c>
      <c r="F21" s="166">
        <f t="shared" si="2"/>
        <v>0</v>
      </c>
    </row>
    <row r="22" spans="1:6" ht="16" x14ac:dyDescent="0.2">
      <c r="A22" t="str">
        <f>'📊 Resumen y Cotización'!B28</f>
        <v>GAB-RIN-1057258</v>
      </c>
      <c r="B22" s="4" t="str">
        <f>'📊 Resumen y Cotización'!C28</f>
        <v>Gabinete Rinconero 1050 x 720 x 580 mm</v>
      </c>
      <c r="C22" s="44" t="str">
        <f t="shared" si="0"/>
        <v>SÍ</v>
      </c>
      <c r="D22" s="165">
        <v>1.05</v>
      </c>
      <c r="E22" s="166">
        <f t="shared" si="1"/>
        <v>0</v>
      </c>
      <c r="F22" s="166">
        <f t="shared" si="2"/>
        <v>0</v>
      </c>
    </row>
    <row r="23" spans="1:6" ht="16" x14ac:dyDescent="0.2">
      <c r="A23" t="str">
        <f>'📊 Resumen y Cotización'!B29</f>
        <v>GAB-1PU-307258</v>
      </c>
      <c r="B23" s="4" t="str">
        <f>'📊 Resumen y Cotización'!C29</f>
        <v>Gabinete 1 Puerta 300 x 720 x 580 mm</v>
      </c>
      <c r="C23" s="44" t="str">
        <f t="shared" si="0"/>
        <v>SÍ</v>
      </c>
      <c r="D23" s="165">
        <v>0.3</v>
      </c>
      <c r="E23" s="166">
        <f t="shared" si="1"/>
        <v>0</v>
      </c>
      <c r="F23" s="166">
        <f t="shared" si="2"/>
        <v>0</v>
      </c>
    </row>
    <row r="24" spans="1:6" ht="16" x14ac:dyDescent="0.2">
      <c r="A24" t="str">
        <f>'📊 Resumen y Cotización'!B30</f>
        <v>GAB-1PU-407258</v>
      </c>
      <c r="B24" s="4" t="str">
        <f>'📊 Resumen y Cotización'!C30</f>
        <v>Gabinete 1 Puerta 400 x 720 x 580 mm</v>
      </c>
      <c r="C24" s="44" t="str">
        <f t="shared" si="0"/>
        <v>SÍ</v>
      </c>
      <c r="D24" s="165">
        <v>0.4</v>
      </c>
      <c r="E24" s="166">
        <f t="shared" si="1"/>
        <v>0</v>
      </c>
      <c r="F24" s="166">
        <f t="shared" si="2"/>
        <v>0</v>
      </c>
    </row>
    <row r="25" spans="1:6" ht="16" x14ac:dyDescent="0.2">
      <c r="A25" t="str">
        <f>'📊 Resumen y Cotización'!B31</f>
        <v>GAB-1PU-507258</v>
      </c>
      <c r="B25" s="4" t="str">
        <f>'📊 Resumen y Cotización'!C31</f>
        <v>Gabinete 1 Puerta 500 x 720 x 580 mm</v>
      </c>
      <c r="C25" s="44" t="str">
        <f t="shared" si="0"/>
        <v>SÍ</v>
      </c>
      <c r="D25" s="165">
        <v>0.5</v>
      </c>
      <c r="E25" s="166">
        <f t="shared" si="1"/>
        <v>0</v>
      </c>
      <c r="F25" s="166">
        <f t="shared" si="2"/>
        <v>0</v>
      </c>
    </row>
    <row r="26" spans="1:6" ht="16" x14ac:dyDescent="0.2">
      <c r="A26" t="str">
        <f>'📊 Resumen y Cotización'!B32</f>
        <v>GAB-1PU-607258</v>
      </c>
      <c r="B26" s="4" t="str">
        <f>'📊 Resumen y Cotización'!C32</f>
        <v>Gabinete 1 Puerta 600 x 720 x 580 mm</v>
      </c>
      <c r="C26" s="44" t="str">
        <f t="shared" si="0"/>
        <v>SÍ</v>
      </c>
      <c r="D26" s="165">
        <v>0.6</v>
      </c>
      <c r="E26" s="166">
        <f t="shared" si="1"/>
        <v>0</v>
      </c>
      <c r="F26" s="166">
        <f t="shared" si="2"/>
        <v>0</v>
      </c>
    </row>
    <row r="27" spans="1:6" ht="16" x14ac:dyDescent="0.2">
      <c r="A27" t="str">
        <f>'📊 Resumen y Cotización'!B33</f>
        <v>GAB-2PU-707258</v>
      </c>
      <c r="B27" s="4" t="str">
        <f>'📊 Resumen y Cotización'!C33</f>
        <v>Gabinete 2 Puertas 700 x 720 x 580 mm</v>
      </c>
      <c r="C27" s="44" t="str">
        <f t="shared" si="0"/>
        <v>SÍ</v>
      </c>
      <c r="D27" s="165">
        <v>0.7</v>
      </c>
      <c r="E27" s="166">
        <f t="shared" si="1"/>
        <v>0</v>
      </c>
      <c r="F27" s="166">
        <f t="shared" si="2"/>
        <v>0</v>
      </c>
    </row>
    <row r="28" spans="1:6" ht="16" x14ac:dyDescent="0.2">
      <c r="A28" t="str">
        <f>'📊 Resumen y Cotización'!B34</f>
        <v>GAB-2PU-807258</v>
      </c>
      <c r="B28" s="4" t="str">
        <f>'📊 Resumen y Cotización'!C34</f>
        <v>Gabinete 2 Puertas 800 x 720 x 580 mm</v>
      </c>
      <c r="C28" s="44" t="str">
        <f t="shared" si="0"/>
        <v>SÍ</v>
      </c>
      <c r="D28" s="165">
        <v>0.8</v>
      </c>
      <c r="E28" s="166">
        <f t="shared" si="1"/>
        <v>0</v>
      </c>
      <c r="F28" s="166">
        <f t="shared" si="2"/>
        <v>0</v>
      </c>
    </row>
    <row r="29" spans="1:6" ht="16" x14ac:dyDescent="0.2">
      <c r="A29" t="str">
        <f>'📊 Resumen y Cotización'!B35</f>
        <v>GAB-2PU-907258</v>
      </c>
      <c r="B29" s="4" t="str">
        <f>'📊 Resumen y Cotización'!C35</f>
        <v>Gabinete 2 Puertas 900 x 720 x 580 mm</v>
      </c>
      <c r="C29" s="44" t="str">
        <f t="shared" si="0"/>
        <v>SÍ</v>
      </c>
      <c r="D29" s="165">
        <v>0.9</v>
      </c>
      <c r="E29" s="166">
        <f t="shared" si="1"/>
        <v>0</v>
      </c>
      <c r="F29" s="166">
        <f t="shared" si="2"/>
        <v>0</v>
      </c>
    </row>
    <row r="30" spans="1:6" ht="16" x14ac:dyDescent="0.2">
      <c r="A30" t="str">
        <f>'📊 Resumen y Cotización'!B36</f>
        <v>GAB-3CA-407258</v>
      </c>
      <c r="B30" s="4" t="str">
        <f>'📊 Resumen y Cotización'!C36</f>
        <v>Gabinete 3 Cajones 400 x 720 x 580 mm</v>
      </c>
      <c r="C30" s="44" t="str">
        <f t="shared" si="0"/>
        <v>SÍ</v>
      </c>
      <c r="D30" s="165">
        <v>0.4</v>
      </c>
      <c r="E30" s="166">
        <f t="shared" si="1"/>
        <v>0</v>
      </c>
      <c r="F30" s="166">
        <f t="shared" si="2"/>
        <v>0</v>
      </c>
    </row>
    <row r="31" spans="1:6" ht="16" x14ac:dyDescent="0.2">
      <c r="A31" t="str">
        <f>'📊 Resumen y Cotización'!B37</f>
        <v>GAB-3CA-507258</v>
      </c>
      <c r="B31" s="4" t="str">
        <f>'📊 Resumen y Cotización'!C37</f>
        <v>Gabinete 3 Cajones 500 x 720 x 580 mm</v>
      </c>
      <c r="C31" s="44" t="str">
        <f t="shared" si="0"/>
        <v>SÍ</v>
      </c>
      <c r="D31" s="165">
        <v>0.5</v>
      </c>
      <c r="E31" s="166">
        <f t="shared" si="1"/>
        <v>0</v>
      </c>
      <c r="F31" s="166">
        <f t="shared" si="2"/>
        <v>0</v>
      </c>
    </row>
    <row r="32" spans="1:6" ht="16" x14ac:dyDescent="0.2">
      <c r="A32" t="str">
        <f>'📊 Resumen y Cotización'!B38</f>
        <v>GAB-3CA-607258</v>
      </c>
      <c r="B32" s="4" t="str">
        <f>'📊 Resumen y Cotización'!C38</f>
        <v>Gabinete 3 Cajones 600 x 720 x 580 mm</v>
      </c>
      <c r="C32" s="44" t="str">
        <f t="shared" si="0"/>
        <v>SÍ</v>
      </c>
      <c r="D32" s="165">
        <v>0.6</v>
      </c>
      <c r="E32" s="166">
        <f t="shared" si="1"/>
        <v>0</v>
      </c>
      <c r="F32" s="166">
        <f t="shared" si="2"/>
        <v>0</v>
      </c>
    </row>
    <row r="33" spans="1:6" ht="16" x14ac:dyDescent="0.2">
      <c r="A33" t="str">
        <f>'📊 Resumen y Cotización'!B39</f>
        <v>GAB-MIC-603658</v>
      </c>
      <c r="B33" s="4" t="str">
        <f>'📊 Resumen y Cotización'!C39</f>
        <v>Gabinete Nicho Microondas 600 x 360 x 580 mm</v>
      </c>
      <c r="C33" s="44" t="str">
        <f t="shared" ref="C33:C34" si="9">IF(OR(LEFT(A33,4)="GAB-",LEFT(A33,4)="TAR-"),"SÍ","NO")</f>
        <v>SÍ</v>
      </c>
      <c r="D33" s="165">
        <v>0.6</v>
      </c>
      <c r="E33" s="166">
        <f t="shared" ref="E33:E34" si="10">IF(AND(C33="SÍ",$B$3&lt;&gt;"SIN CUBIERTA",$E$4&gt;0),D33*$B$4*($E$5/$E$4),0)</f>
        <v>0</v>
      </c>
      <c r="F33" s="166">
        <f t="shared" ref="F33:F34" si="11">E33*$E$3</f>
        <v>0</v>
      </c>
    </row>
    <row r="34" spans="1:6" ht="16" x14ac:dyDescent="0.2">
      <c r="A34" t="str">
        <f>'📊 Resumen y Cotización'!B40</f>
        <v>GAB-1CA-603658</v>
      </c>
      <c r="B34" s="4" t="str">
        <f>'📊 Resumen y Cotización'!C40</f>
        <v>Gabinete 1 Cajon 600 x 360 x 580 mm</v>
      </c>
      <c r="C34" s="44" t="str">
        <f t="shared" si="9"/>
        <v>SÍ</v>
      </c>
      <c r="D34" s="165">
        <v>0.6</v>
      </c>
      <c r="E34" s="166">
        <f t="shared" si="10"/>
        <v>0</v>
      </c>
      <c r="F34" s="166">
        <f t="shared" si="11"/>
        <v>0</v>
      </c>
    </row>
    <row r="35" spans="1:6" ht="16" x14ac:dyDescent="0.2">
      <c r="A35" t="str">
        <f>'📊 Resumen y Cotización'!B41</f>
        <v>GAB-NIC-207258</v>
      </c>
      <c r="B35" s="4" t="str">
        <f>'📊 Resumen y Cotización'!C41</f>
        <v>Gabinete Nicho 200 x 720 x 580 mm</v>
      </c>
      <c r="C35" s="44" t="str">
        <f t="shared" si="0"/>
        <v>SÍ</v>
      </c>
      <c r="D35" s="165">
        <v>0.2</v>
      </c>
      <c r="E35" s="166">
        <f t="shared" si="1"/>
        <v>0</v>
      </c>
      <c r="F35" s="166">
        <f t="shared" si="2"/>
        <v>0</v>
      </c>
    </row>
    <row r="36" spans="1:6" ht="16" x14ac:dyDescent="0.2">
      <c r="A36" t="str">
        <f>'📊 Resumen y Cotización'!B42</f>
        <v>GAB-NIC-TOA-207258</v>
      </c>
      <c r="B36" s="4" t="str">
        <f>'📊 Resumen y Cotización'!C42</f>
        <v>Gabinete Nicho Toallero 200 x 720 x 580 mm</v>
      </c>
      <c r="C36" s="44" t="str">
        <f t="shared" si="0"/>
        <v>SÍ</v>
      </c>
      <c r="D36" s="165">
        <v>0.2</v>
      </c>
      <c r="E36" s="166">
        <f t="shared" si="1"/>
        <v>0</v>
      </c>
      <c r="F36" s="166">
        <f t="shared" si="2"/>
        <v>0</v>
      </c>
    </row>
    <row r="37" spans="1:6" ht="16" x14ac:dyDescent="0.2">
      <c r="A37" t="str">
        <f>'📊 Resumen y Cotización'!B43</f>
        <v>TAR-1PU-607258</v>
      </c>
      <c r="B37" s="4" t="str">
        <f>'📊 Resumen y Cotización'!C43</f>
        <v>Gabinete Tarja 1 Puerta 600 x 720 x 580 mm</v>
      </c>
      <c r="C37" s="44" t="str">
        <f t="shared" si="0"/>
        <v>SÍ</v>
      </c>
      <c r="D37" s="165">
        <v>0.6</v>
      </c>
      <c r="E37" s="166">
        <f t="shared" si="1"/>
        <v>0</v>
      </c>
      <c r="F37" s="166">
        <f t="shared" si="2"/>
        <v>0</v>
      </c>
    </row>
    <row r="38" spans="1:6" ht="16" x14ac:dyDescent="0.2">
      <c r="A38" t="str">
        <f>'📊 Resumen y Cotización'!B44</f>
        <v>TAR-2PU-707258</v>
      </c>
      <c r="B38" s="4" t="str">
        <f>'📊 Resumen y Cotización'!C44</f>
        <v>Gabinete Tarja 2 Puertas 700 x 720 x 580 mm</v>
      </c>
      <c r="C38" s="44" t="str">
        <f t="shared" si="0"/>
        <v>SÍ</v>
      </c>
      <c r="D38" s="165">
        <v>0.7</v>
      </c>
      <c r="E38" s="166">
        <f t="shared" si="1"/>
        <v>0</v>
      </c>
      <c r="F38" s="166">
        <f t="shared" si="2"/>
        <v>0</v>
      </c>
    </row>
    <row r="39" spans="1:6" ht="16" x14ac:dyDescent="0.2">
      <c r="A39" t="str">
        <f>'📊 Resumen y Cotización'!B45</f>
        <v>TAR-2PU-807258</v>
      </c>
      <c r="B39" s="4" t="str">
        <f>'📊 Resumen y Cotización'!C45</f>
        <v>Gabinete Tarja 2 Puertas 800 x 720 x 580 mm</v>
      </c>
      <c r="C39" s="44" t="str">
        <f t="shared" si="0"/>
        <v>SÍ</v>
      </c>
      <c r="D39" s="165">
        <v>0.8</v>
      </c>
      <c r="E39" s="166">
        <f t="shared" si="1"/>
        <v>0</v>
      </c>
      <c r="F39" s="166">
        <f t="shared" si="2"/>
        <v>0</v>
      </c>
    </row>
    <row r="40" spans="1:6" ht="16" x14ac:dyDescent="0.2">
      <c r="A40" t="str">
        <f>'📊 Resumen y Cotización'!B46</f>
        <v>TAR-2PU-907258</v>
      </c>
      <c r="B40" s="4" t="str">
        <f>'📊 Resumen y Cotización'!C46</f>
        <v>Gabinete Tarja 2 Puertas 900 x 720 x 580 mm</v>
      </c>
      <c r="C40" s="44" t="str">
        <f t="shared" si="0"/>
        <v>SÍ</v>
      </c>
      <c r="D40" s="165">
        <v>0.9</v>
      </c>
      <c r="E40" s="166">
        <f t="shared" si="1"/>
        <v>0</v>
      </c>
      <c r="F40" s="166">
        <f t="shared" si="2"/>
        <v>0</v>
      </c>
    </row>
    <row r="41" spans="1:6" ht="16" x14ac:dyDescent="0.2">
      <c r="A41" t="str">
        <f>'📊 Resumen y Cotización'!B47</f>
        <v>DES-1PU-4021058</v>
      </c>
      <c r="B41" s="4" t="str">
        <f>'📊 Resumen y Cotización'!C47</f>
        <v>Despensa 1 Puerta 400 x 2100 x 580 mm</v>
      </c>
      <c r="C41" s="44" t="str">
        <f t="shared" si="0"/>
        <v>NO</v>
      </c>
      <c r="D41" s="165">
        <v>0</v>
      </c>
      <c r="E41" s="166">
        <f t="shared" si="1"/>
        <v>0</v>
      </c>
      <c r="F41" s="166">
        <f t="shared" si="2"/>
        <v>0</v>
      </c>
    </row>
    <row r="42" spans="1:6" ht="16" x14ac:dyDescent="0.2">
      <c r="A42" t="str">
        <f>'📊 Resumen y Cotización'!B48</f>
        <v>DES-1PU-6021058</v>
      </c>
      <c r="B42" s="4" t="str">
        <f>'📊 Resumen y Cotización'!C48</f>
        <v>Despensa 1 Puerta 600 x 2100 x 580 mm</v>
      </c>
      <c r="C42" s="44" t="str">
        <f t="shared" si="0"/>
        <v>NO</v>
      </c>
      <c r="D42" s="165">
        <v>0</v>
      </c>
      <c r="E42" s="166">
        <f t="shared" si="1"/>
        <v>0</v>
      </c>
      <c r="F42" s="166">
        <f t="shared" si="2"/>
        <v>0</v>
      </c>
    </row>
    <row r="43" spans="1:6" ht="16" x14ac:dyDescent="0.2">
      <c r="A43" t="str">
        <f>'📊 Resumen y Cotización'!B49</f>
        <v>DES-2PU-8021058</v>
      </c>
      <c r="B43" s="4" t="str">
        <f>'📊 Resumen y Cotización'!C49</f>
        <v>Despensa 2 Puertas 800 x 2100 x 580 mm</v>
      </c>
      <c r="C43" s="44" t="str">
        <f t="shared" si="0"/>
        <v>NO</v>
      </c>
      <c r="D43" s="165">
        <v>0</v>
      </c>
      <c r="E43" s="166">
        <f t="shared" si="1"/>
        <v>0</v>
      </c>
      <c r="F43" s="166">
        <f t="shared" si="2"/>
        <v>0</v>
      </c>
    </row>
    <row r="44" spans="1:6" ht="16" x14ac:dyDescent="0.2">
      <c r="A44" t="str">
        <f>'📊 Resumen y Cotización'!B50</f>
        <v>DES-HOR-6021058</v>
      </c>
      <c r="B44" s="4" t="str">
        <f>'📊 Resumen y Cotización'!C50</f>
        <v>Torre Horno y Micro  600 x 2100 x 580 mm</v>
      </c>
      <c r="C44" s="44" t="str">
        <f t="shared" si="0"/>
        <v>NO</v>
      </c>
      <c r="D44" s="165">
        <v>0</v>
      </c>
      <c r="E44" s="166">
        <f t="shared" si="1"/>
        <v>0</v>
      </c>
      <c r="F44" s="166">
        <f t="shared" si="2"/>
        <v>0</v>
      </c>
    </row>
    <row r="45" spans="1:6" ht="16" x14ac:dyDescent="0.2">
      <c r="A45" t="str">
        <f>'📊 Resumen y Cotización'!B51</f>
        <v>DES-HOR-7021058</v>
      </c>
      <c r="B45" s="4" t="str">
        <f>'📊 Resumen y Cotización'!C51</f>
        <v>Torre Horno y Micro  700 x 2100 x 580 mm</v>
      </c>
      <c r="C45" s="44" t="str">
        <f t="shared" si="0"/>
        <v>NO</v>
      </c>
      <c r="D45" s="165">
        <v>0</v>
      </c>
      <c r="E45" s="166">
        <f t="shared" si="1"/>
        <v>0</v>
      </c>
      <c r="F45" s="166">
        <f t="shared" si="2"/>
        <v>0</v>
      </c>
    </row>
    <row r="46" spans="1:6" ht="32" x14ac:dyDescent="0.2">
      <c r="A46" t="s">
        <v>640</v>
      </c>
      <c r="B46" s="4" t="s">
        <v>639</v>
      </c>
      <c r="C46" s="44" t="s">
        <v>647</v>
      </c>
      <c r="D46" s="165">
        <v>0</v>
      </c>
      <c r="E46" s="166">
        <f>IF(C46="SÍ",D46*$B$4,0)</f>
        <v>0</v>
      </c>
      <c r="F46" s="166">
        <f>E46*$E$3</f>
        <v>0</v>
      </c>
    </row>
    <row r="47" spans="1:6" ht="32" x14ac:dyDescent="0.2">
      <c r="A47" t="s">
        <v>638</v>
      </c>
      <c r="B47" s="4" t="s">
        <v>637</v>
      </c>
      <c r="C47" s="44" t="s">
        <v>647</v>
      </c>
      <c r="D47" s="165">
        <v>0</v>
      </c>
      <c r="E47" s="166">
        <f>IF(C47="SÍ",D47*$B$4,0)</f>
        <v>0</v>
      </c>
      <c r="F47" s="166">
        <f>E47*$E$3</f>
        <v>0</v>
      </c>
    </row>
    <row r="48" spans="1:6" ht="16" x14ac:dyDescent="0.2">
      <c r="A48" t="str">
        <f>'📊 Resumen y Cotización'!B54</f>
        <v>DES-NIC-4021061</v>
      </c>
      <c r="B48" s="4" t="str">
        <f>'📊 Resumen y Cotización'!C54</f>
        <v>Despensa Nicho 400 x 2100 x 610 mm</v>
      </c>
      <c r="C48" s="44" t="str">
        <f t="shared" si="0"/>
        <v>NO</v>
      </c>
      <c r="D48" s="165">
        <v>0</v>
      </c>
      <c r="E48" s="166">
        <f t="shared" si="1"/>
        <v>0</v>
      </c>
      <c r="F48" s="166">
        <f t="shared" si="2"/>
        <v>0</v>
      </c>
    </row>
    <row r="49" spans="1:6" ht="16" x14ac:dyDescent="0.2">
      <c r="A49" t="str">
        <f>'📊 Resumen y Cotización'!B55</f>
        <v>PAN-ALA-3434</v>
      </c>
      <c r="B49" s="4" t="str">
        <f>'📊 Resumen y Cotización'!C55</f>
        <v>Panel Alacena 340 x 340 mm</v>
      </c>
      <c r="C49" s="44" t="str">
        <f t="shared" si="0"/>
        <v>NO</v>
      </c>
      <c r="D49" s="165">
        <v>0</v>
      </c>
      <c r="E49" s="166">
        <f t="shared" si="1"/>
        <v>0</v>
      </c>
      <c r="F49" s="166">
        <f t="shared" si="2"/>
        <v>0</v>
      </c>
    </row>
    <row r="50" spans="1:6" ht="16" x14ac:dyDescent="0.2">
      <c r="A50" t="str">
        <f>'📊 Resumen y Cotización'!B56</f>
        <v>PAN-ALA-6834</v>
      </c>
      <c r="B50" s="4" t="str">
        <f>'📊 Resumen y Cotización'!C56</f>
        <v>Panel Alacena 680 x 340 mm</v>
      </c>
      <c r="C50" s="44" t="str">
        <f t="shared" si="0"/>
        <v>NO</v>
      </c>
      <c r="D50" s="165">
        <v>0</v>
      </c>
      <c r="E50" s="166">
        <f t="shared" si="1"/>
        <v>0</v>
      </c>
      <c r="F50" s="166">
        <f t="shared" si="2"/>
        <v>0</v>
      </c>
    </row>
    <row r="51" spans="1:6" ht="16" x14ac:dyDescent="0.2">
      <c r="A51" t="str">
        <f>'📊 Resumen y Cotización'!B57</f>
        <v>PAN-GAB-7261</v>
      </c>
      <c r="B51" s="4" t="str">
        <f>'📊 Resumen y Cotización'!C57</f>
        <v>Panel Gabinete 720 x 610 mm</v>
      </c>
      <c r="C51" s="44" t="str">
        <f t="shared" si="0"/>
        <v>NO</v>
      </c>
      <c r="D51" s="165">
        <v>0</v>
      </c>
      <c r="E51" s="166">
        <f t="shared" si="1"/>
        <v>0</v>
      </c>
      <c r="F51" s="166">
        <f t="shared" si="2"/>
        <v>0</v>
      </c>
    </row>
    <row r="52" spans="1:6" ht="16" x14ac:dyDescent="0.2">
      <c r="A52" t="str">
        <f>'📊 Resumen y Cotización'!B58</f>
        <v>PAN-DES-21061</v>
      </c>
      <c r="B52" s="4" t="str">
        <f>'📊 Resumen y Cotización'!C58</f>
        <v>Panel Despensa 2100 x 610 mm</v>
      </c>
      <c r="C52" s="44" t="str">
        <f t="shared" si="0"/>
        <v>NO</v>
      </c>
      <c r="D52" s="165">
        <v>0</v>
      </c>
      <c r="E52" s="166">
        <f t="shared" si="1"/>
        <v>0</v>
      </c>
      <c r="F52" s="166">
        <f t="shared" si="2"/>
        <v>0</v>
      </c>
    </row>
    <row r="53" spans="1:6" ht="16" x14ac:dyDescent="0.2">
      <c r="A53" t="s">
        <v>357</v>
      </c>
      <c r="B53" s="4" t="s">
        <v>356</v>
      </c>
      <c r="C53" s="44" t="s">
        <v>647</v>
      </c>
      <c r="D53" s="165">
        <v>0</v>
      </c>
      <c r="E53" s="166">
        <f>IF(C53="SÍ",D53*$B$4,0)</f>
        <v>0</v>
      </c>
      <c r="F53" s="166">
        <f>E53*$E$3</f>
        <v>0</v>
      </c>
    </row>
    <row r="54" spans="1:6" ht="16" x14ac:dyDescent="0.2">
      <c r="A54" t="str">
        <f>'📊 Resumen y Cotización'!B60</f>
        <v>ZOC-24015</v>
      </c>
      <c r="B54" s="4" t="str">
        <f>'📊 Resumen y Cotización'!C60</f>
        <v>Zoclo 2400 x 150 mm</v>
      </c>
      <c r="C54" s="44" t="str">
        <f t="shared" si="0"/>
        <v>NO</v>
      </c>
      <c r="D54" s="165">
        <v>0</v>
      </c>
      <c r="E54" s="166">
        <f t="shared" si="1"/>
        <v>0</v>
      </c>
      <c r="F54" s="166">
        <f t="shared" si="2"/>
        <v>0</v>
      </c>
    </row>
  </sheetData>
  <mergeCells count="2">
    <mergeCell ref="A1:J1"/>
    <mergeCell ref="A2:J2"/>
  </mergeCells>
  <dataValidations count="2">
    <dataValidation type="decimal" allowBlank="1" showInputMessage="1" showErrorMessage="1" sqref="E3" xr:uid="{246B80F2-D675-CF44-B4FE-C19D670414A5}">
      <formula1>0</formula1>
      <formula2>20</formula2>
    </dataValidation>
    <dataValidation type="decimal" allowBlank="1" showInputMessage="1" showErrorMessage="1" sqref="D7:D54" xr:uid="{22E577E9-A8D8-4B4C-A098-F86357E8E6B5}">
      <formula1>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43"/>
  <sheetViews>
    <sheetView tabSelected="1" topLeftCell="A368" zoomScale="150" zoomScaleNormal="150" workbookViewId="0">
      <selection activeCell="E470" sqref="E470"/>
    </sheetView>
  </sheetViews>
  <sheetFormatPr baseColWidth="10" defaultColWidth="8.83203125" defaultRowHeight="15" x14ac:dyDescent="0.2"/>
  <cols>
    <col min="1" max="1" width="8.5" bestFit="1" customWidth="1"/>
    <col min="2" max="2" width="9.83203125" bestFit="1" customWidth="1"/>
    <col min="3" max="3" width="10.33203125" bestFit="1" customWidth="1"/>
    <col min="4" max="4" width="26.1640625" style="4" bestFit="1" customWidth="1"/>
    <col min="5" max="5" width="14.33203125" style="4" bestFit="1" customWidth="1"/>
    <col min="6" max="6" width="4.83203125" bestFit="1" customWidth="1"/>
    <col min="7" max="8" width="6.6640625" bestFit="1" customWidth="1"/>
    <col min="9" max="10" width="7.1640625" bestFit="1" customWidth="1"/>
    <col min="11" max="11" width="16.83203125" bestFit="1" customWidth="1"/>
    <col min="12" max="12" width="19" bestFit="1" customWidth="1"/>
    <col min="13" max="13" width="9" bestFit="1" customWidth="1"/>
    <col min="14" max="14" width="9.5" bestFit="1" customWidth="1"/>
    <col min="15" max="15" width="10" bestFit="1" customWidth="1"/>
    <col min="16" max="16" width="9.1640625" bestFit="1" customWidth="1"/>
    <col min="17" max="17" width="10" bestFit="1" customWidth="1"/>
    <col min="18" max="18" width="15.33203125" bestFit="1" customWidth="1"/>
    <col min="19" max="19" width="10.1640625" bestFit="1" customWidth="1"/>
    <col min="20" max="20" width="7.6640625" bestFit="1" customWidth="1"/>
    <col min="21" max="21" width="11.5" bestFit="1" customWidth="1"/>
    <col min="22" max="22" width="4.83203125" bestFit="1" customWidth="1"/>
  </cols>
  <sheetData>
    <row r="1" spans="1:22" s="4" customFormat="1" ht="30" x14ac:dyDescent="0.2">
      <c r="A1" s="5" t="s">
        <v>0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4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91" t="s">
        <v>463</v>
      </c>
      <c r="U1" s="92" t="s">
        <v>464</v>
      </c>
      <c r="V1" s="93" t="s">
        <v>465</v>
      </c>
    </row>
    <row r="2" spans="1:22" x14ac:dyDescent="0.2">
      <c r="A2" s="192" t="s">
        <v>62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4"/>
      <c r="T2" s="97"/>
      <c r="U2" s="98"/>
      <c r="V2" s="99"/>
    </row>
    <row r="3" spans="1:22" s="4" customFormat="1" x14ac:dyDescent="0.2">
      <c r="A3" s="34">
        <v>1</v>
      </c>
      <c r="B3" s="44">
        <v>680</v>
      </c>
      <c r="C3" s="44">
        <v>320</v>
      </c>
      <c r="D3" s="14" t="s">
        <v>63</v>
      </c>
      <c r="E3" s="43" t="s">
        <v>64</v>
      </c>
      <c r="F3" s="44">
        <v>0</v>
      </c>
      <c r="G3" s="44">
        <v>1</v>
      </c>
      <c r="H3" s="44">
        <v>1</v>
      </c>
      <c r="I3" s="44">
        <v>1</v>
      </c>
      <c r="J3" s="44">
        <v>1</v>
      </c>
      <c r="K3" s="16" t="s">
        <v>3</v>
      </c>
      <c r="L3" s="46" t="s">
        <v>65</v>
      </c>
      <c r="M3" s="17">
        <f t="shared" ref="M3:M19" si="0">IF(AND(ISNUMBER(B3),ISNUMBER(C3),B3&gt;0,C3&gt;0),A3*(B3*C3/1000000),0)</f>
        <v>0.21759999999999999</v>
      </c>
      <c r="N3" s="18">
        <f t="shared" ref="N3:N19" si="1">IF(AND(ISNUMBER(B3),B3&gt;0),A3*(((G3+H3)*B3+(I3+J3)*C3)/1000),0)</f>
        <v>2</v>
      </c>
      <c r="O3" s="19">
        <f>IF(E3="HERRAJE",IFERROR(_xlfn.XLOOKUP(D3,'⚙️ Configuración Costos'!$A$11:$A$20,'⚙️ Configuración Costos'!$B$11:$B$20),""),IFERROR(_xlfn.XLOOKUP(E3,'⚙️ Configuración Costos'!$A$5:$A$6,'⚙️ Configuración Costos'!$B$5:$B$6),""))</f>
        <v>239.8426229508197</v>
      </c>
      <c r="P3" s="19">
        <f t="shared" ref="P3:P19" si="2">IF(E3="HERRAJE",A3*O3,M3*O3)</f>
        <v>52.189754754098367</v>
      </c>
      <c r="Q3" s="19">
        <f>IF(E3="HERRAJE",0,IFERROR(_xlfn.XLOOKUP(E3,'⚙️ Configuración Costos'!$E$5:$E$6,'⚙️ Configuración Costos'!$F$5:$F$6),""))</f>
        <v>6</v>
      </c>
      <c r="R3" s="19">
        <f t="shared" ref="R3:R19" si="3">N3*Q3</f>
        <v>12</v>
      </c>
      <c r="S3" s="37">
        <f t="shared" ref="S3:S19" si="4">P3+R3</f>
        <v>64.189754754098374</v>
      </c>
      <c r="T3" s="94" t="str">
        <f t="shared" ref="T3:T19" si="5">IF(K3="","SIN ID MÓDULO",IF(E3="HERRAJE",IF(OR(O3="",O3&lt;=0),"SIN PRECIO HERRAJE","OK"),IF(OR(O3="",O3&lt;=0),"SIN PRECIO MATERIAL",IF(AND(N3&gt;0,OR(Q3="",Q3&lt;=0)),"SIN PRECIO CINTILLA","OK"))))</f>
        <v>OK</v>
      </c>
      <c r="U3" s="95" t="str">
        <f t="shared" ref="U3:U19" si="6">IF(T3="OK","",IF(T3="SIN PRECIO HERRAJE","Capturar precio: "&amp;D3,IF(T3="SIN PRECIO MATERIAL","Configurar material: "&amp;E3,IF(T3="SIN PRECIO CINTILLA","Configurar cintilla: "&amp;E3,IF(T3="SIN ID MÓDULO","Revisar ID del módulo","")))))</f>
        <v/>
      </c>
      <c r="V3" s="96">
        <f t="shared" ref="V3:V19" si="7">IF(T3="OK",0,IF(T3="",0,1))</f>
        <v>0</v>
      </c>
    </row>
    <row r="4" spans="1:22" s="4" customFormat="1" x14ac:dyDescent="0.2">
      <c r="A4" s="34">
        <v>1</v>
      </c>
      <c r="B4" s="44">
        <v>680</v>
      </c>
      <c r="C4" s="44">
        <v>320</v>
      </c>
      <c r="D4" s="7" t="s">
        <v>66</v>
      </c>
      <c r="E4" s="43" t="s">
        <v>64</v>
      </c>
      <c r="F4" s="44">
        <v>0</v>
      </c>
      <c r="G4" s="44">
        <v>1</v>
      </c>
      <c r="H4" s="44">
        <v>1</v>
      </c>
      <c r="I4" s="44">
        <v>1</v>
      </c>
      <c r="J4" s="44">
        <v>1</v>
      </c>
      <c r="K4" s="16" t="s">
        <v>3</v>
      </c>
      <c r="L4" s="46" t="s">
        <v>67</v>
      </c>
      <c r="M4" s="17">
        <f t="shared" si="0"/>
        <v>0.21759999999999999</v>
      </c>
      <c r="N4" s="18">
        <f t="shared" si="1"/>
        <v>2</v>
      </c>
      <c r="O4" s="19">
        <f>IF(E4="HERRAJE",IFERROR(_xlfn.XLOOKUP(D4,'⚙️ Configuración Costos'!$A$11:$A$20,'⚙️ Configuración Costos'!$B$11:$B$20),""),IFERROR(_xlfn.XLOOKUP(E4,'⚙️ Configuración Costos'!$A$5:$A$6,'⚙️ Configuración Costos'!$B$5:$B$6),""))</f>
        <v>239.8426229508197</v>
      </c>
      <c r="P4" s="19">
        <f t="shared" si="2"/>
        <v>52.189754754098367</v>
      </c>
      <c r="Q4" s="19">
        <f>IF(E4="HERRAJE",0,IFERROR(_xlfn.XLOOKUP(E4,'⚙️ Configuración Costos'!$E$5:$E$6,'⚙️ Configuración Costos'!$F$5:$F$6),""))</f>
        <v>6</v>
      </c>
      <c r="R4" s="19">
        <f t="shared" si="3"/>
        <v>12</v>
      </c>
      <c r="S4" s="37">
        <f t="shared" si="4"/>
        <v>64.189754754098374</v>
      </c>
      <c r="T4" s="94" t="str">
        <f t="shared" si="5"/>
        <v>OK</v>
      </c>
      <c r="U4" s="95" t="str">
        <f t="shared" si="6"/>
        <v/>
      </c>
      <c r="V4" s="96">
        <f t="shared" si="7"/>
        <v>0</v>
      </c>
    </row>
    <row r="5" spans="1:22" s="4" customFormat="1" x14ac:dyDescent="0.2">
      <c r="A5" s="34">
        <v>1</v>
      </c>
      <c r="B5" s="44">
        <v>649</v>
      </c>
      <c r="C5" s="44">
        <v>619</v>
      </c>
      <c r="D5" s="43" t="s">
        <v>68</v>
      </c>
      <c r="E5" s="43" t="s">
        <v>64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16" t="s">
        <v>3</v>
      </c>
      <c r="L5" s="46" t="s">
        <v>69</v>
      </c>
      <c r="M5" s="17">
        <f t="shared" si="0"/>
        <v>0.401731</v>
      </c>
      <c r="N5" s="18">
        <f t="shared" si="1"/>
        <v>0</v>
      </c>
      <c r="O5" s="19">
        <f>IF(E5="HERRAJE",IFERROR(_xlfn.XLOOKUP(D5,'⚙️ Configuración Costos'!$A$11:$A$20,'⚙️ Configuración Costos'!$B$11:$B$20),""),IFERROR(_xlfn.XLOOKUP(E5,'⚙️ Configuración Costos'!$A$5:$A$6,'⚙️ Configuración Costos'!$B$5:$B$6),""))</f>
        <v>239.8426229508197</v>
      </c>
      <c r="P5" s="19">
        <f t="shared" si="2"/>
        <v>96.35221676065575</v>
      </c>
      <c r="Q5" s="19">
        <f>IF(E5="HERRAJE",0,IFERROR(_xlfn.XLOOKUP(E5,'⚙️ Configuración Costos'!$E$5:$E$6,'⚙️ Configuración Costos'!$F$5:$F$6),""))</f>
        <v>6</v>
      </c>
      <c r="R5" s="19">
        <f t="shared" si="3"/>
        <v>0</v>
      </c>
      <c r="S5" s="37">
        <f t="shared" si="4"/>
        <v>96.35221676065575</v>
      </c>
      <c r="T5" s="94" t="str">
        <f t="shared" si="5"/>
        <v>OK</v>
      </c>
      <c r="U5" s="95" t="str">
        <f t="shared" si="6"/>
        <v/>
      </c>
      <c r="V5" s="96">
        <f t="shared" si="7"/>
        <v>0</v>
      </c>
    </row>
    <row r="6" spans="1:22" s="4" customFormat="1" x14ac:dyDescent="0.2">
      <c r="A6" s="34">
        <v>1</v>
      </c>
      <c r="B6" s="44">
        <v>619</v>
      </c>
      <c r="C6" s="44">
        <v>320</v>
      </c>
      <c r="D6" s="43" t="s">
        <v>70</v>
      </c>
      <c r="E6" s="43" t="s">
        <v>64</v>
      </c>
      <c r="F6" s="44">
        <v>0</v>
      </c>
      <c r="G6" s="44">
        <v>1</v>
      </c>
      <c r="H6" s="44">
        <v>1</v>
      </c>
      <c r="I6" s="44">
        <v>0</v>
      </c>
      <c r="J6" s="44">
        <v>0</v>
      </c>
      <c r="K6" s="16" t="s">
        <v>3</v>
      </c>
      <c r="L6" s="46" t="s">
        <v>71</v>
      </c>
      <c r="M6" s="17">
        <f t="shared" si="0"/>
        <v>0.19808000000000001</v>
      </c>
      <c r="N6" s="18">
        <f t="shared" si="1"/>
        <v>1.238</v>
      </c>
      <c r="O6" s="19">
        <f>IF(E6="HERRAJE",IFERROR(_xlfn.XLOOKUP(D6,'⚙️ Configuración Costos'!$A$11:$A$20,'⚙️ Configuración Costos'!$B$11:$B$20),""),IFERROR(_xlfn.XLOOKUP(E6,'⚙️ Configuración Costos'!$A$5:$A$6,'⚙️ Configuración Costos'!$B$5:$B$6),""))</f>
        <v>239.8426229508197</v>
      </c>
      <c r="P6" s="19">
        <f t="shared" si="2"/>
        <v>47.508026754098367</v>
      </c>
      <c r="Q6" s="19">
        <f>IF(E6="HERRAJE",0,IFERROR(_xlfn.XLOOKUP(E6,'⚙️ Configuración Costos'!$E$5:$E$6,'⚙️ Configuración Costos'!$F$5:$F$6),""))</f>
        <v>6</v>
      </c>
      <c r="R6" s="19">
        <f t="shared" si="3"/>
        <v>7.4279999999999999</v>
      </c>
      <c r="S6" s="37">
        <f t="shared" si="4"/>
        <v>54.936026754098364</v>
      </c>
      <c r="T6" s="94" t="str">
        <f t="shared" si="5"/>
        <v>OK</v>
      </c>
      <c r="U6" s="95" t="str">
        <f t="shared" si="6"/>
        <v/>
      </c>
      <c r="V6" s="96">
        <f t="shared" si="7"/>
        <v>0</v>
      </c>
    </row>
    <row r="7" spans="1:22" s="4" customFormat="1" x14ac:dyDescent="0.2">
      <c r="A7" s="34">
        <v>1</v>
      </c>
      <c r="B7" s="44">
        <v>619</v>
      </c>
      <c r="C7" s="44">
        <v>320</v>
      </c>
      <c r="D7" s="43" t="s">
        <v>72</v>
      </c>
      <c r="E7" s="43" t="s">
        <v>64</v>
      </c>
      <c r="F7" s="44">
        <v>0</v>
      </c>
      <c r="G7" s="44">
        <v>1</v>
      </c>
      <c r="H7" s="44">
        <v>1</v>
      </c>
      <c r="I7" s="44">
        <v>0</v>
      </c>
      <c r="J7" s="44">
        <v>0</v>
      </c>
      <c r="K7" s="16" t="s">
        <v>3</v>
      </c>
      <c r="L7" s="46" t="s">
        <v>73</v>
      </c>
      <c r="M7" s="17">
        <f t="shared" si="0"/>
        <v>0.19808000000000001</v>
      </c>
      <c r="N7" s="18">
        <f t="shared" si="1"/>
        <v>1.238</v>
      </c>
      <c r="O7" s="19">
        <f>IF(E7="HERRAJE",IFERROR(_xlfn.XLOOKUP(D7,'⚙️ Configuración Costos'!$A$11:$A$20,'⚙️ Configuración Costos'!$B$11:$B$20),""),IFERROR(_xlfn.XLOOKUP(E7,'⚙️ Configuración Costos'!$A$5:$A$6,'⚙️ Configuración Costos'!$B$5:$B$6),""))</f>
        <v>239.8426229508197</v>
      </c>
      <c r="P7" s="19">
        <f t="shared" si="2"/>
        <v>47.508026754098367</v>
      </c>
      <c r="Q7" s="19">
        <f>IF(E7="HERRAJE",0,IFERROR(_xlfn.XLOOKUP(E7,'⚙️ Configuración Costos'!$E$5:$E$6,'⚙️ Configuración Costos'!$F$5:$F$6),""))</f>
        <v>6</v>
      </c>
      <c r="R7" s="19">
        <f t="shared" si="3"/>
        <v>7.4279999999999999</v>
      </c>
      <c r="S7" s="37">
        <f t="shared" si="4"/>
        <v>54.936026754098364</v>
      </c>
      <c r="T7" s="94" t="str">
        <f t="shared" si="5"/>
        <v>OK</v>
      </c>
      <c r="U7" s="95" t="str">
        <f t="shared" si="6"/>
        <v/>
      </c>
      <c r="V7" s="96">
        <f t="shared" si="7"/>
        <v>0</v>
      </c>
    </row>
    <row r="8" spans="1:22" s="4" customFormat="1" x14ac:dyDescent="0.2">
      <c r="A8" s="34">
        <v>1</v>
      </c>
      <c r="B8" s="44">
        <v>649</v>
      </c>
      <c r="C8" s="44">
        <v>339</v>
      </c>
      <c r="D8" s="43" t="s">
        <v>74</v>
      </c>
      <c r="E8" s="43" t="s">
        <v>64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16" t="s">
        <v>3</v>
      </c>
      <c r="L8" s="46" t="s">
        <v>75</v>
      </c>
      <c r="M8" s="17">
        <f t="shared" si="0"/>
        <v>0.22001100000000001</v>
      </c>
      <c r="N8" s="18">
        <f t="shared" si="1"/>
        <v>0</v>
      </c>
      <c r="O8" s="19">
        <f>IF(E8="HERRAJE",IFERROR(_xlfn.XLOOKUP(D8,'⚙️ Configuración Costos'!$A$11:$A$20,'⚙️ Configuración Costos'!$B$11:$B$20),""),IFERROR(_xlfn.XLOOKUP(E8,'⚙️ Configuración Costos'!$A$5:$A$6,'⚙️ Configuración Costos'!$B$5:$B$6),""))</f>
        <v>239.8426229508197</v>
      </c>
      <c r="P8" s="19">
        <f t="shared" si="2"/>
        <v>52.768015318032795</v>
      </c>
      <c r="Q8" s="19">
        <f>IF(E8="HERRAJE",0,IFERROR(_xlfn.XLOOKUP(E8,'⚙️ Configuración Costos'!$E$5:$E$6,'⚙️ Configuración Costos'!$F$5:$F$6),""))</f>
        <v>6</v>
      </c>
      <c r="R8" s="19">
        <f t="shared" si="3"/>
        <v>0</v>
      </c>
      <c r="S8" s="37">
        <f t="shared" si="4"/>
        <v>52.768015318032795</v>
      </c>
      <c r="T8" s="94" t="str">
        <f t="shared" si="5"/>
        <v>OK</v>
      </c>
      <c r="U8" s="95" t="str">
        <f t="shared" si="6"/>
        <v/>
      </c>
      <c r="V8" s="96">
        <f t="shared" si="7"/>
        <v>0</v>
      </c>
    </row>
    <row r="9" spans="1:22" s="4" customFormat="1" x14ac:dyDescent="0.2">
      <c r="A9" s="34">
        <v>1</v>
      </c>
      <c r="B9" s="44">
        <v>619</v>
      </c>
      <c r="C9" s="44">
        <v>256</v>
      </c>
      <c r="D9" s="43" t="s">
        <v>76</v>
      </c>
      <c r="E9" s="43" t="s">
        <v>64</v>
      </c>
      <c r="F9" s="44">
        <v>0</v>
      </c>
      <c r="G9" s="44">
        <v>1</v>
      </c>
      <c r="H9" s="44">
        <v>0</v>
      </c>
      <c r="I9" s="44">
        <v>0</v>
      </c>
      <c r="J9" s="44">
        <v>0</v>
      </c>
      <c r="K9" s="16" t="s">
        <v>3</v>
      </c>
      <c r="L9" s="46" t="s">
        <v>77</v>
      </c>
      <c r="M9" s="17">
        <f t="shared" si="0"/>
        <v>0.15846399999999999</v>
      </c>
      <c r="N9" s="18">
        <f t="shared" si="1"/>
        <v>0.61899999999999999</v>
      </c>
      <c r="O9" s="19">
        <f>IF(E9="HERRAJE",IFERROR(_xlfn.XLOOKUP(D9,'⚙️ Configuración Costos'!$A$11:$A$20,'⚙️ Configuración Costos'!$B$11:$B$20),""),IFERROR(_xlfn.XLOOKUP(E9,'⚙️ Configuración Costos'!$A$5:$A$6,'⚙️ Configuración Costos'!$B$5:$B$6),""))</f>
        <v>239.8426229508197</v>
      </c>
      <c r="P9" s="19">
        <f t="shared" si="2"/>
        <v>38.006421403278694</v>
      </c>
      <c r="Q9" s="19">
        <f>IF(E9="HERRAJE",0,IFERROR(_xlfn.XLOOKUP(E9,'⚙️ Configuración Costos'!$E$5:$E$6,'⚙️ Configuración Costos'!$F$5:$F$6),""))</f>
        <v>6</v>
      </c>
      <c r="R9" s="19">
        <f t="shared" si="3"/>
        <v>3.714</v>
      </c>
      <c r="S9" s="37">
        <f t="shared" si="4"/>
        <v>41.720421403278692</v>
      </c>
      <c r="T9" s="94" t="str">
        <f t="shared" si="5"/>
        <v>OK</v>
      </c>
      <c r="U9" s="95" t="str">
        <f t="shared" si="6"/>
        <v/>
      </c>
      <c r="V9" s="96">
        <f t="shared" si="7"/>
        <v>0</v>
      </c>
    </row>
    <row r="10" spans="1:22" s="4" customFormat="1" x14ac:dyDescent="0.2">
      <c r="A10" s="34">
        <v>1</v>
      </c>
      <c r="B10" s="44">
        <v>649</v>
      </c>
      <c r="C10" s="44">
        <v>70</v>
      </c>
      <c r="D10" s="43" t="s">
        <v>78</v>
      </c>
      <c r="E10" s="43" t="s">
        <v>64</v>
      </c>
      <c r="F10" s="44">
        <v>0</v>
      </c>
      <c r="G10" s="44">
        <v>1</v>
      </c>
      <c r="H10" s="44">
        <v>1</v>
      </c>
      <c r="I10" s="44">
        <v>0</v>
      </c>
      <c r="J10" s="44">
        <v>0</v>
      </c>
      <c r="K10" s="16" t="s">
        <v>3</v>
      </c>
      <c r="L10" s="46" t="s">
        <v>79</v>
      </c>
      <c r="M10" s="17">
        <f t="shared" si="0"/>
        <v>4.5429999999999998E-2</v>
      </c>
      <c r="N10" s="18">
        <f t="shared" si="1"/>
        <v>1.298</v>
      </c>
      <c r="O10" s="19">
        <f>IF(E10="HERRAJE",IFERROR(_xlfn.XLOOKUP(D10,'⚙️ Configuración Costos'!$A$11:$A$20,'⚙️ Configuración Costos'!$B$11:$B$20),""),IFERROR(_xlfn.XLOOKUP(E10,'⚙️ Configuración Costos'!$A$5:$A$6,'⚙️ Configuración Costos'!$B$5:$B$6),""))</f>
        <v>239.8426229508197</v>
      </c>
      <c r="P10" s="19">
        <f t="shared" si="2"/>
        <v>10.896050360655739</v>
      </c>
      <c r="Q10" s="19">
        <f>IF(E10="HERRAJE",0,IFERROR(_xlfn.XLOOKUP(E10,'⚙️ Configuración Costos'!$E$5:$E$6,'⚙️ Configuración Costos'!$F$5:$F$6),""))</f>
        <v>6</v>
      </c>
      <c r="R10" s="19">
        <f t="shared" si="3"/>
        <v>7.7880000000000003</v>
      </c>
      <c r="S10" s="37">
        <f t="shared" si="4"/>
        <v>18.684050360655739</v>
      </c>
      <c r="T10" s="94" t="str">
        <f t="shared" si="5"/>
        <v>OK</v>
      </c>
      <c r="U10" s="95" t="str">
        <f t="shared" si="6"/>
        <v/>
      </c>
      <c r="V10" s="96">
        <f t="shared" si="7"/>
        <v>0</v>
      </c>
    </row>
    <row r="11" spans="1:22" s="4" customFormat="1" x14ac:dyDescent="0.2">
      <c r="A11" s="34">
        <v>1</v>
      </c>
      <c r="B11" s="44">
        <v>320</v>
      </c>
      <c r="C11" s="44">
        <v>50</v>
      </c>
      <c r="D11" s="43" t="s">
        <v>80</v>
      </c>
      <c r="E11" s="43" t="s">
        <v>64</v>
      </c>
      <c r="F11" s="44">
        <v>0</v>
      </c>
      <c r="G11" s="44">
        <v>0</v>
      </c>
      <c r="H11" s="44">
        <v>0</v>
      </c>
      <c r="I11" s="44">
        <v>1</v>
      </c>
      <c r="J11" s="44">
        <v>1</v>
      </c>
      <c r="K11" s="16" t="s">
        <v>3</v>
      </c>
      <c r="L11" s="46" t="s">
        <v>81</v>
      </c>
      <c r="M11" s="17">
        <f t="shared" si="0"/>
        <v>1.6E-2</v>
      </c>
      <c r="N11" s="18">
        <f t="shared" si="1"/>
        <v>0.1</v>
      </c>
      <c r="O11" s="19">
        <f>IF(E11="HERRAJE",IFERROR(_xlfn.XLOOKUP(D11,'⚙️ Configuración Costos'!$A$11:$A$20,'⚙️ Configuración Costos'!$B$11:$B$20),""),IFERROR(_xlfn.XLOOKUP(E11,'⚙️ Configuración Costos'!$A$5:$A$6,'⚙️ Configuración Costos'!$B$5:$B$6),""))</f>
        <v>239.8426229508197</v>
      </c>
      <c r="P11" s="19">
        <f t="shared" si="2"/>
        <v>3.8374819672131153</v>
      </c>
      <c r="Q11" s="19">
        <f>IF(E11="HERRAJE",0,IFERROR(_xlfn.XLOOKUP(E11,'⚙️ Configuración Costos'!$E$5:$E$6,'⚙️ Configuración Costos'!$F$5:$F$6),""))</f>
        <v>6</v>
      </c>
      <c r="R11" s="19">
        <f t="shared" si="3"/>
        <v>0.60000000000000009</v>
      </c>
      <c r="S11" s="37">
        <f t="shared" si="4"/>
        <v>4.4374819672131149</v>
      </c>
      <c r="T11" s="94" t="str">
        <f t="shared" si="5"/>
        <v>OK</v>
      </c>
      <c r="U11" s="95" t="str">
        <f t="shared" si="6"/>
        <v/>
      </c>
      <c r="V11" s="96">
        <f t="shared" si="7"/>
        <v>0</v>
      </c>
    </row>
    <row r="12" spans="1:22" s="4" customFormat="1" x14ac:dyDescent="0.2">
      <c r="A12" s="34">
        <v>1</v>
      </c>
      <c r="B12" s="44">
        <v>320</v>
      </c>
      <c r="C12" s="44">
        <v>50</v>
      </c>
      <c r="D12" s="43" t="s">
        <v>82</v>
      </c>
      <c r="E12" s="43" t="s">
        <v>64</v>
      </c>
      <c r="F12" s="44">
        <v>0</v>
      </c>
      <c r="G12" s="44">
        <v>0</v>
      </c>
      <c r="H12" s="44">
        <v>0</v>
      </c>
      <c r="I12" s="44">
        <v>1</v>
      </c>
      <c r="J12" s="44">
        <v>1</v>
      </c>
      <c r="K12" s="16" t="s">
        <v>3</v>
      </c>
      <c r="L12" s="46" t="s">
        <v>83</v>
      </c>
      <c r="M12" s="17">
        <f t="shared" si="0"/>
        <v>1.6E-2</v>
      </c>
      <c r="N12" s="18">
        <f t="shared" si="1"/>
        <v>0.1</v>
      </c>
      <c r="O12" s="19">
        <f>IF(E12="HERRAJE",IFERROR(_xlfn.XLOOKUP(D12,'⚙️ Configuración Costos'!$A$11:$A$20,'⚙️ Configuración Costos'!$B$11:$B$20),""),IFERROR(_xlfn.XLOOKUP(E12,'⚙️ Configuración Costos'!$A$5:$A$6,'⚙️ Configuración Costos'!$B$5:$B$6),""))</f>
        <v>239.8426229508197</v>
      </c>
      <c r="P12" s="19">
        <f t="shared" si="2"/>
        <v>3.8374819672131153</v>
      </c>
      <c r="Q12" s="19">
        <f>IF(E12="HERRAJE",0,IFERROR(_xlfn.XLOOKUP(E12,'⚙️ Configuración Costos'!$E$5:$E$6,'⚙️ Configuración Costos'!$F$5:$F$6),""))</f>
        <v>6</v>
      </c>
      <c r="R12" s="19">
        <f t="shared" si="3"/>
        <v>0.60000000000000009</v>
      </c>
      <c r="S12" s="37">
        <f t="shared" si="4"/>
        <v>4.4374819672131149</v>
      </c>
      <c r="T12" s="94" t="str">
        <f t="shared" si="5"/>
        <v>OK</v>
      </c>
      <c r="U12" s="95" t="str">
        <f t="shared" si="6"/>
        <v/>
      </c>
      <c r="V12" s="96">
        <f t="shared" si="7"/>
        <v>0</v>
      </c>
    </row>
    <row r="13" spans="1:22" s="4" customFormat="1" x14ac:dyDescent="0.2">
      <c r="A13" s="34">
        <v>1</v>
      </c>
      <c r="B13" s="44">
        <v>677</v>
      </c>
      <c r="C13" s="44">
        <v>292</v>
      </c>
      <c r="D13" s="43" t="s">
        <v>84</v>
      </c>
      <c r="E13" s="43" t="s">
        <v>85</v>
      </c>
      <c r="F13" s="44">
        <v>1</v>
      </c>
      <c r="G13" s="44">
        <v>1</v>
      </c>
      <c r="H13" s="44">
        <v>1</v>
      </c>
      <c r="I13" s="44">
        <v>1</v>
      </c>
      <c r="J13" s="44">
        <v>1</v>
      </c>
      <c r="K13" s="16" t="s">
        <v>3</v>
      </c>
      <c r="L13" s="46" t="s">
        <v>86</v>
      </c>
      <c r="M13" s="17">
        <f t="shared" si="0"/>
        <v>0.197684</v>
      </c>
      <c r="N13" s="18">
        <f t="shared" si="1"/>
        <v>1.9379999999999999</v>
      </c>
      <c r="O13" s="19">
        <f>IF(E13="HERRAJE",IFERROR(_xlfn.XLOOKUP(D13,'⚙️ Configuración Costos'!$A$11:$A$20,'⚙️ Configuración Costos'!$B$11:$B$20),""),IFERROR(_xlfn.XLOOKUP(E13,'⚙️ Configuración Costos'!$A$5:$A$6,'⚙️ Configuración Costos'!$B$5:$B$6),""))</f>
        <v>332.85245901639348</v>
      </c>
      <c r="P13" s="19">
        <f t="shared" si="2"/>
        <v>65.799605508196734</v>
      </c>
      <c r="Q13" s="19">
        <f>IF(E13="HERRAJE",0,IFERROR(_xlfn.XLOOKUP(E13,'⚙️ Configuración Costos'!$E$5:$E$6,'⚙️ Configuración Costos'!$F$5:$F$6),""))</f>
        <v>9.5</v>
      </c>
      <c r="R13" s="19">
        <f t="shared" si="3"/>
        <v>18.410999999999998</v>
      </c>
      <c r="S13" s="37">
        <f t="shared" si="4"/>
        <v>84.210605508196736</v>
      </c>
      <c r="T13" s="94" t="str">
        <f t="shared" si="5"/>
        <v>OK</v>
      </c>
      <c r="U13" s="95" t="str">
        <f t="shared" si="6"/>
        <v/>
      </c>
      <c r="V13" s="96">
        <f t="shared" si="7"/>
        <v>0</v>
      </c>
    </row>
    <row r="14" spans="1:22" s="4" customFormat="1" x14ac:dyDescent="0.2">
      <c r="A14" s="34">
        <v>1</v>
      </c>
      <c r="B14" s="44">
        <v>677</v>
      </c>
      <c r="C14" s="44">
        <v>70</v>
      </c>
      <c r="D14" s="43" t="s">
        <v>87</v>
      </c>
      <c r="E14" s="43" t="s">
        <v>85</v>
      </c>
      <c r="F14" s="44">
        <v>1</v>
      </c>
      <c r="G14" s="44">
        <v>1</v>
      </c>
      <c r="H14" s="44">
        <v>1</v>
      </c>
      <c r="I14" s="44">
        <v>1</v>
      </c>
      <c r="J14" s="44">
        <v>1</v>
      </c>
      <c r="K14" s="16" t="s">
        <v>3</v>
      </c>
      <c r="L14" s="46" t="s">
        <v>88</v>
      </c>
      <c r="M14" s="17">
        <f t="shared" si="0"/>
        <v>4.7390000000000002E-2</v>
      </c>
      <c r="N14" s="18">
        <f t="shared" si="1"/>
        <v>1.494</v>
      </c>
      <c r="O14" s="19">
        <f>IF(E14="HERRAJE",IFERROR(_xlfn.XLOOKUP(D14,'⚙️ Configuración Costos'!$A$11:$A$20,'⚙️ Configuración Costos'!$B$11:$B$20),""),IFERROR(_xlfn.XLOOKUP(E14,'⚙️ Configuración Costos'!$A$5:$A$6,'⚙️ Configuración Costos'!$B$5:$B$6),""))</f>
        <v>332.85245901639348</v>
      </c>
      <c r="P14" s="19">
        <f t="shared" si="2"/>
        <v>15.773878032786888</v>
      </c>
      <c r="Q14" s="19">
        <f>IF(E14="HERRAJE",0,IFERROR(_xlfn.XLOOKUP(E14,'⚙️ Configuración Costos'!$E$5:$E$6,'⚙️ Configuración Costos'!$F$5:$F$6),""))</f>
        <v>9.5</v>
      </c>
      <c r="R14" s="19">
        <f t="shared" si="3"/>
        <v>14.193</v>
      </c>
      <c r="S14" s="37">
        <f t="shared" si="4"/>
        <v>29.966878032786887</v>
      </c>
      <c r="T14" s="94" t="str">
        <f t="shared" si="5"/>
        <v>OK</v>
      </c>
      <c r="U14" s="95" t="str">
        <f t="shared" si="6"/>
        <v/>
      </c>
      <c r="V14" s="96">
        <f t="shared" si="7"/>
        <v>0</v>
      </c>
    </row>
    <row r="15" spans="1:22" s="4" customFormat="1" x14ac:dyDescent="0.2">
      <c r="A15" s="34">
        <v>1</v>
      </c>
      <c r="B15" s="44">
        <v>677</v>
      </c>
      <c r="C15" s="44">
        <v>50</v>
      </c>
      <c r="D15" s="43" t="s">
        <v>87</v>
      </c>
      <c r="E15" s="43" t="s">
        <v>85</v>
      </c>
      <c r="F15" s="44">
        <v>1</v>
      </c>
      <c r="G15" s="44">
        <v>1</v>
      </c>
      <c r="H15" s="44">
        <v>1</v>
      </c>
      <c r="I15" s="44">
        <v>1</v>
      </c>
      <c r="J15" s="44">
        <v>1</v>
      </c>
      <c r="K15" s="16" t="s">
        <v>3</v>
      </c>
      <c r="L15" s="46" t="s">
        <v>89</v>
      </c>
      <c r="M15" s="17">
        <f t="shared" si="0"/>
        <v>3.3849999999999998E-2</v>
      </c>
      <c r="N15" s="18">
        <f t="shared" si="1"/>
        <v>1.454</v>
      </c>
      <c r="O15" s="19">
        <f>IF(E15="HERRAJE",IFERROR(_xlfn.XLOOKUP(D15,'⚙️ Configuración Costos'!$A$11:$A$20,'⚙️ Configuración Costos'!$B$11:$B$20),""),IFERROR(_xlfn.XLOOKUP(E15,'⚙️ Configuración Costos'!$A$5:$A$6,'⚙️ Configuración Costos'!$B$5:$B$6),""))</f>
        <v>332.85245901639348</v>
      </c>
      <c r="P15" s="19">
        <f t="shared" si="2"/>
        <v>11.267055737704919</v>
      </c>
      <c r="Q15" s="19">
        <f>IF(E15="HERRAJE",0,IFERROR(_xlfn.XLOOKUP(E15,'⚙️ Configuración Costos'!$E$5:$E$6,'⚙️ Configuración Costos'!$F$5:$F$6),""))</f>
        <v>9.5</v>
      </c>
      <c r="R15" s="19">
        <f t="shared" si="3"/>
        <v>13.812999999999999</v>
      </c>
      <c r="S15" s="37">
        <f t="shared" si="4"/>
        <v>25.080055737704917</v>
      </c>
      <c r="T15" s="94" t="str">
        <f t="shared" si="5"/>
        <v>OK</v>
      </c>
      <c r="U15" s="95" t="str">
        <f t="shared" si="6"/>
        <v/>
      </c>
      <c r="V15" s="96">
        <f t="shared" si="7"/>
        <v>0</v>
      </c>
    </row>
    <row r="16" spans="1:22" x14ac:dyDescent="0.2">
      <c r="A16" s="35">
        <v>2</v>
      </c>
      <c r="B16" s="6">
        <v>0</v>
      </c>
      <c r="C16" s="6">
        <v>0</v>
      </c>
      <c r="D16" s="7" t="s">
        <v>90</v>
      </c>
      <c r="E16" s="7" t="s">
        <v>91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9" t="s">
        <v>3</v>
      </c>
      <c r="L16" s="47" t="s">
        <v>92</v>
      </c>
      <c r="M16" s="10">
        <f t="shared" si="0"/>
        <v>0</v>
      </c>
      <c r="N16" s="11">
        <f t="shared" si="1"/>
        <v>0</v>
      </c>
      <c r="O16" s="12">
        <f>IF(E16="HERRAJE",IFERROR(_xlfn.XLOOKUP(D16,'⚙️ Configuración Costos'!$A$11:$A$20,'⚙️ Configuración Costos'!$B$11:$B$20),""),IFERROR(_xlfn.XLOOKUP(E16,'⚙️ Configuración Costos'!$A$5:$A$6,'⚙️ Configuración Costos'!$B$5:$B$6),""))</f>
        <v>20</v>
      </c>
      <c r="P16" s="12">
        <f t="shared" si="2"/>
        <v>40</v>
      </c>
      <c r="Q16" s="12">
        <f>IF(E16="HERRAJE",0,IFERROR(_xlfn.XLOOKUP(E16,'⚙️ Configuración Costos'!$E$5:$E$6,'⚙️ Configuración Costos'!$F$5:$F$6),""))</f>
        <v>0</v>
      </c>
      <c r="R16" s="12">
        <f t="shared" si="3"/>
        <v>0</v>
      </c>
      <c r="S16" s="38">
        <f t="shared" si="4"/>
        <v>40</v>
      </c>
      <c r="T16" s="94" t="str">
        <f t="shared" si="5"/>
        <v>OK</v>
      </c>
      <c r="U16" s="95" t="str">
        <f t="shared" si="6"/>
        <v/>
      </c>
      <c r="V16" s="96">
        <f t="shared" si="7"/>
        <v>0</v>
      </c>
    </row>
    <row r="17" spans="1:22" x14ac:dyDescent="0.2">
      <c r="A17" s="35">
        <v>1</v>
      </c>
      <c r="B17" s="6">
        <v>0</v>
      </c>
      <c r="C17" s="6">
        <v>0</v>
      </c>
      <c r="D17" s="7" t="s">
        <v>93</v>
      </c>
      <c r="E17" s="7" t="s">
        <v>91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" t="s">
        <v>3</v>
      </c>
      <c r="L17" s="47" t="s">
        <v>94</v>
      </c>
      <c r="M17" s="10">
        <f t="shared" si="0"/>
        <v>0</v>
      </c>
      <c r="N17" s="11">
        <f t="shared" si="1"/>
        <v>0</v>
      </c>
      <c r="O17" s="12">
        <f>IF(E17="HERRAJE",IFERROR(_xlfn.XLOOKUP(D17,'⚙️ Configuración Costos'!$A$11:$A$20,'⚙️ Configuración Costos'!$B$11:$B$20),""),IFERROR(_xlfn.XLOOKUP(E17,'⚙️ Configuración Costos'!$A$5:$A$6,'⚙️ Configuración Costos'!$B$5:$B$6),""))</f>
        <v>15</v>
      </c>
      <c r="P17" s="12">
        <f t="shared" si="2"/>
        <v>15</v>
      </c>
      <c r="Q17" s="12">
        <f>IF(E17="HERRAJE",0,IFERROR(_xlfn.XLOOKUP(E17,'⚙️ Configuración Costos'!$E$5:$E$6,'⚙️ Configuración Costos'!$F$5:$F$6),""))</f>
        <v>0</v>
      </c>
      <c r="R17" s="12">
        <f t="shared" si="3"/>
        <v>0</v>
      </c>
      <c r="S17" s="38">
        <f t="shared" si="4"/>
        <v>15</v>
      </c>
      <c r="T17" s="94" t="str">
        <f t="shared" si="5"/>
        <v>OK</v>
      </c>
      <c r="U17" s="95" t="str">
        <f t="shared" si="6"/>
        <v/>
      </c>
      <c r="V17" s="96">
        <f t="shared" si="7"/>
        <v>0</v>
      </c>
    </row>
    <row r="18" spans="1:22" x14ac:dyDescent="0.2">
      <c r="A18" s="35">
        <v>4</v>
      </c>
      <c r="B18" s="6">
        <v>0</v>
      </c>
      <c r="C18" s="6">
        <v>0</v>
      </c>
      <c r="D18" s="7" t="s">
        <v>95</v>
      </c>
      <c r="E18" s="7" t="s">
        <v>91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" t="s">
        <v>3</v>
      </c>
      <c r="L18" s="47" t="s">
        <v>96</v>
      </c>
      <c r="M18" s="10">
        <f t="shared" si="0"/>
        <v>0</v>
      </c>
      <c r="N18" s="11">
        <f t="shared" si="1"/>
        <v>0</v>
      </c>
      <c r="O18" s="12">
        <f>IF(E18="HERRAJE",IFERROR(_xlfn.XLOOKUP(D18,'⚙️ Configuración Costos'!$A$11:$A$20,'⚙️ Configuración Costos'!$B$11:$B$20),""),IFERROR(_xlfn.XLOOKUP(E18,'⚙️ Configuración Costos'!$A$5:$A$6,'⚙️ Configuración Costos'!$B$5:$B$6),""))</f>
        <v>2</v>
      </c>
      <c r="P18" s="12">
        <f t="shared" si="2"/>
        <v>8</v>
      </c>
      <c r="Q18" s="12">
        <f>IF(E18="HERRAJE",0,IFERROR(_xlfn.XLOOKUP(E18,'⚙️ Configuración Costos'!$E$5:$E$6,'⚙️ Configuración Costos'!$F$5:$F$6),""))</f>
        <v>0</v>
      </c>
      <c r="R18" s="12">
        <f t="shared" si="3"/>
        <v>0</v>
      </c>
      <c r="S18" s="38">
        <f t="shared" si="4"/>
        <v>8</v>
      </c>
      <c r="T18" s="94" t="str">
        <f t="shared" si="5"/>
        <v>OK</v>
      </c>
      <c r="U18" s="95" t="str">
        <f t="shared" si="6"/>
        <v/>
      </c>
      <c r="V18" s="96">
        <f t="shared" si="7"/>
        <v>0</v>
      </c>
    </row>
    <row r="19" spans="1:22" x14ac:dyDescent="0.2">
      <c r="A19" s="36">
        <v>30</v>
      </c>
      <c r="B19" s="20">
        <v>0</v>
      </c>
      <c r="C19" s="20">
        <v>0</v>
      </c>
      <c r="D19" s="21" t="s">
        <v>97</v>
      </c>
      <c r="E19" s="21" t="s">
        <v>91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3" t="s">
        <v>3</v>
      </c>
      <c r="L19" s="48" t="s">
        <v>98</v>
      </c>
      <c r="M19" s="24">
        <f t="shared" si="0"/>
        <v>0</v>
      </c>
      <c r="N19" s="25">
        <f t="shared" si="1"/>
        <v>0</v>
      </c>
      <c r="O19" s="26">
        <f>IF(E19="HERRAJE",IFERROR(_xlfn.XLOOKUP(D19,'⚙️ Configuración Costos'!$A$11:$A$20,'⚙️ Configuración Costos'!$B$11:$B$20),""),IFERROR(_xlfn.XLOOKUP(E19,'⚙️ Configuración Costos'!$A$5:$A$6,'⚙️ Configuración Costos'!$B$5:$B$6),""))</f>
        <v>1.5</v>
      </c>
      <c r="P19" s="26">
        <f t="shared" si="2"/>
        <v>45</v>
      </c>
      <c r="Q19" s="26">
        <f>IF(E19="HERRAJE",0,IFERROR(_xlfn.XLOOKUP(E19,'⚙️ Configuración Costos'!$E$5:$E$6,'⚙️ Configuración Costos'!$F$5:$F$6),""))</f>
        <v>0</v>
      </c>
      <c r="R19" s="26">
        <f t="shared" si="3"/>
        <v>0</v>
      </c>
      <c r="S19" s="39">
        <f t="shared" si="4"/>
        <v>45</v>
      </c>
      <c r="T19" s="94" t="str">
        <f t="shared" si="5"/>
        <v>OK</v>
      </c>
      <c r="U19" s="95" t="str">
        <f t="shared" si="6"/>
        <v/>
      </c>
      <c r="V19" s="96">
        <f t="shared" si="7"/>
        <v>0</v>
      </c>
    </row>
    <row r="20" spans="1:22" x14ac:dyDescent="0.2">
      <c r="A20" s="27" t="s">
        <v>99</v>
      </c>
      <c r="B20" s="27"/>
      <c r="C20" s="27"/>
      <c r="D20" s="28"/>
      <c r="E20" s="28"/>
      <c r="F20" s="29"/>
      <c r="G20" s="29"/>
      <c r="H20" s="29"/>
      <c r="I20" s="29"/>
      <c r="J20" s="29"/>
      <c r="K20" s="30"/>
      <c r="L20" s="49"/>
      <c r="M20" s="33">
        <f>SUM(M3:M19)</f>
        <v>1.9679199999999999</v>
      </c>
      <c r="N20" s="33">
        <f>SUM(N3:N19)</f>
        <v>13.478999999999999</v>
      </c>
      <c r="O20" s="33"/>
      <c r="P20" s="33">
        <f>SUM(P3:P19)</f>
        <v>605.93377007213121</v>
      </c>
      <c r="Q20" s="33"/>
      <c r="R20" s="33">
        <f>SUM(R3:R19)</f>
        <v>97.975000000000009</v>
      </c>
      <c r="S20" s="33">
        <f>SUM(S3:S19)</f>
        <v>703.90877007213123</v>
      </c>
      <c r="T20" s="97"/>
      <c r="U20" s="98"/>
      <c r="V20" s="99"/>
    </row>
    <row r="21" spans="1:22" x14ac:dyDescent="0.2">
      <c r="A21" s="192" t="s">
        <v>100</v>
      </c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4"/>
      <c r="T21" s="97"/>
      <c r="U21" s="98"/>
      <c r="V21" s="99"/>
    </row>
    <row r="22" spans="1:22" x14ac:dyDescent="0.2">
      <c r="A22" s="34">
        <v>1</v>
      </c>
      <c r="B22" s="13">
        <v>680</v>
      </c>
      <c r="C22" s="13">
        <v>320</v>
      </c>
      <c r="D22" s="14" t="s">
        <v>63</v>
      </c>
      <c r="E22" s="14" t="s">
        <v>64</v>
      </c>
      <c r="F22" s="15">
        <v>0</v>
      </c>
      <c r="G22" s="15">
        <v>1</v>
      </c>
      <c r="H22" s="15">
        <v>1</v>
      </c>
      <c r="I22" s="15">
        <v>1</v>
      </c>
      <c r="J22" s="15">
        <v>1</v>
      </c>
      <c r="K22" s="16" t="s">
        <v>4</v>
      </c>
      <c r="L22" s="46" t="s">
        <v>65</v>
      </c>
      <c r="M22" s="17">
        <f t="shared" ref="M22:M32" si="8">IF(AND(ISNUMBER(B22),ISNUMBER(C22),B22&gt;0,C22&gt;0),A22*(B22*C22/1000000),0)</f>
        <v>0.21759999999999999</v>
      </c>
      <c r="N22" s="18">
        <f t="shared" ref="N22:N32" si="9">IF(AND(ISNUMBER(B22),B22&gt;0),A22*(((G22+H22)*B22+(I22+J22)*C22)/1000),0)</f>
        <v>2</v>
      </c>
      <c r="O22" s="19">
        <f>IF(E22="HERRAJE",IFERROR(_xlfn.XLOOKUP(D22,'⚙️ Configuración Costos'!$A$11:$A$20,'⚙️ Configuración Costos'!$B$11:$B$20),""),IFERROR(_xlfn.XLOOKUP(E22,'⚙️ Configuración Costos'!$A$5:$A$6,'⚙️ Configuración Costos'!$B$5:$B$6),""))</f>
        <v>239.8426229508197</v>
      </c>
      <c r="P22" s="19">
        <f t="shared" ref="P22:P32" si="10">IF(E22="HERRAJE",A22*O22,M22*O22)</f>
        <v>52.189754754098367</v>
      </c>
      <c r="Q22" s="19">
        <f>IF(E22="HERRAJE",0,IFERROR(_xlfn.XLOOKUP(E22,'⚙️ Configuración Costos'!$E$5:$E$6,'⚙️ Configuración Costos'!$F$5:$F$6),""))</f>
        <v>6</v>
      </c>
      <c r="R22" s="19">
        <f t="shared" ref="R22:R32" si="11">N22*Q22</f>
        <v>12</v>
      </c>
      <c r="S22" s="37">
        <f t="shared" ref="S22:S32" si="12">P22+R22</f>
        <v>64.189754754098374</v>
      </c>
      <c r="T22" s="94" t="str">
        <f t="shared" ref="T22:T32" si="13">IF(K22="","SIN ID MÓDULO",IF(E22="HERRAJE",IF(OR(O22="",O22&lt;=0),"SIN PRECIO HERRAJE","OK"),IF(OR(O22="",O22&lt;=0),"SIN PRECIO MATERIAL",IF(AND(N22&gt;0,OR(Q22="",Q22&lt;=0)),"SIN PRECIO CINTILLA","OK"))))</f>
        <v>OK</v>
      </c>
      <c r="U22" s="95" t="str">
        <f t="shared" ref="U22:U32" si="14">IF(T22="OK","",IF(T22="SIN PRECIO HERRAJE","Capturar precio: "&amp;D22,IF(T22="SIN PRECIO MATERIAL","Configurar material: "&amp;E22,IF(T22="SIN PRECIO CINTILLA","Configurar cintilla: "&amp;E22,IF(T22="SIN ID MÓDULO","Revisar ID del módulo","")))))</f>
        <v/>
      </c>
      <c r="V22" s="96">
        <f t="shared" ref="V22:V32" si="15">IF(T22="OK",0,IF(T22="",0,1))</f>
        <v>0</v>
      </c>
    </row>
    <row r="23" spans="1:22" x14ac:dyDescent="0.2">
      <c r="A23" s="35">
        <v>1</v>
      </c>
      <c r="B23" s="6">
        <v>680</v>
      </c>
      <c r="C23" s="6">
        <v>320</v>
      </c>
      <c r="D23" s="7" t="s">
        <v>66</v>
      </c>
      <c r="E23" s="7" t="s">
        <v>64</v>
      </c>
      <c r="F23" s="8">
        <v>0</v>
      </c>
      <c r="G23" s="8">
        <v>1</v>
      </c>
      <c r="H23" s="8">
        <v>1</v>
      </c>
      <c r="I23" s="8">
        <v>1</v>
      </c>
      <c r="J23" s="8">
        <v>1</v>
      </c>
      <c r="K23" s="9" t="s">
        <v>4</v>
      </c>
      <c r="L23" s="47" t="s">
        <v>67</v>
      </c>
      <c r="M23" s="10">
        <f t="shared" si="8"/>
        <v>0.21759999999999999</v>
      </c>
      <c r="N23" s="11">
        <f t="shared" si="9"/>
        <v>2</v>
      </c>
      <c r="O23" s="12">
        <f>IF(E23="HERRAJE",IFERROR(_xlfn.XLOOKUP(D23,'⚙️ Configuración Costos'!$A$11:$A$20,'⚙️ Configuración Costos'!$B$11:$B$20),""),IFERROR(_xlfn.XLOOKUP(E23,'⚙️ Configuración Costos'!$A$5:$A$6,'⚙️ Configuración Costos'!$B$5:$B$6),""))</f>
        <v>239.8426229508197</v>
      </c>
      <c r="P23" s="12">
        <f t="shared" si="10"/>
        <v>52.189754754098367</v>
      </c>
      <c r="Q23" s="12">
        <f>IF(E23="HERRAJE",0,IFERROR(_xlfn.XLOOKUP(E23,'⚙️ Configuración Costos'!$E$5:$E$6,'⚙️ Configuración Costos'!$F$5:$F$6),""))</f>
        <v>6</v>
      </c>
      <c r="R23" s="12">
        <f t="shared" si="11"/>
        <v>12</v>
      </c>
      <c r="S23" s="38">
        <f t="shared" si="12"/>
        <v>64.189754754098374</v>
      </c>
      <c r="T23" s="94" t="str">
        <f t="shared" si="13"/>
        <v>OK</v>
      </c>
      <c r="U23" s="95" t="str">
        <f t="shared" si="14"/>
        <v/>
      </c>
      <c r="V23" s="96">
        <f t="shared" si="15"/>
        <v>0</v>
      </c>
    </row>
    <row r="24" spans="1:22" x14ac:dyDescent="0.2">
      <c r="A24" s="35">
        <v>1</v>
      </c>
      <c r="B24" s="6">
        <v>649</v>
      </c>
      <c r="C24" s="6">
        <v>269</v>
      </c>
      <c r="D24" s="7" t="s">
        <v>68</v>
      </c>
      <c r="E24" s="7" t="s">
        <v>64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9" t="s">
        <v>4</v>
      </c>
      <c r="L24" s="47" t="s">
        <v>101</v>
      </c>
      <c r="M24" s="10">
        <f t="shared" si="8"/>
        <v>0.17458099999999999</v>
      </c>
      <c r="N24" s="11">
        <f t="shared" si="9"/>
        <v>0</v>
      </c>
      <c r="O24" s="12">
        <f>IF(E24="HERRAJE",IFERROR(_xlfn.XLOOKUP(D24,'⚙️ Configuración Costos'!$A$11:$A$20,'⚙️ Configuración Costos'!$B$11:$B$20),""),IFERROR(_xlfn.XLOOKUP(E24,'⚙️ Configuración Costos'!$A$5:$A$6,'⚙️ Configuración Costos'!$B$5:$B$6),""))</f>
        <v>239.8426229508197</v>
      </c>
      <c r="P24" s="12">
        <f t="shared" si="10"/>
        <v>41.871964957377052</v>
      </c>
      <c r="Q24" s="12">
        <f>IF(E24="HERRAJE",0,IFERROR(_xlfn.XLOOKUP(E24,'⚙️ Configuración Costos'!$E$5:$E$6,'⚙️ Configuración Costos'!$F$5:$F$6),""))</f>
        <v>6</v>
      </c>
      <c r="R24" s="12">
        <f t="shared" si="11"/>
        <v>0</v>
      </c>
      <c r="S24" s="38">
        <f t="shared" si="12"/>
        <v>41.871964957377052</v>
      </c>
      <c r="T24" s="94" t="str">
        <f t="shared" si="13"/>
        <v>OK</v>
      </c>
      <c r="U24" s="95" t="str">
        <f t="shared" si="14"/>
        <v/>
      </c>
      <c r="V24" s="96">
        <f t="shared" si="15"/>
        <v>0</v>
      </c>
    </row>
    <row r="25" spans="1:22" x14ac:dyDescent="0.2">
      <c r="A25" s="35">
        <v>1</v>
      </c>
      <c r="B25" s="6">
        <v>269</v>
      </c>
      <c r="C25" s="6">
        <v>320</v>
      </c>
      <c r="D25" s="7" t="s">
        <v>70</v>
      </c>
      <c r="E25" s="7" t="s">
        <v>64</v>
      </c>
      <c r="F25" s="8">
        <v>0</v>
      </c>
      <c r="G25" s="8">
        <v>0</v>
      </c>
      <c r="H25" s="8">
        <v>0</v>
      </c>
      <c r="I25" s="8">
        <v>1</v>
      </c>
      <c r="J25" s="8">
        <v>1</v>
      </c>
      <c r="K25" s="9" t="s">
        <v>4</v>
      </c>
      <c r="L25" s="47" t="s">
        <v>102</v>
      </c>
      <c r="M25" s="10">
        <f t="shared" si="8"/>
        <v>8.6080000000000004E-2</v>
      </c>
      <c r="N25" s="11">
        <f t="shared" si="9"/>
        <v>0.64</v>
      </c>
      <c r="O25" s="12">
        <f>IF(E25="HERRAJE",IFERROR(_xlfn.XLOOKUP(D25,'⚙️ Configuración Costos'!$A$11:$A$20,'⚙️ Configuración Costos'!$B$11:$B$20),""),IFERROR(_xlfn.XLOOKUP(E25,'⚙️ Configuración Costos'!$A$5:$A$6,'⚙️ Configuración Costos'!$B$5:$B$6),""))</f>
        <v>239.8426229508197</v>
      </c>
      <c r="P25" s="12">
        <f t="shared" si="10"/>
        <v>20.64565298360656</v>
      </c>
      <c r="Q25" s="12">
        <f>IF(E25="HERRAJE",0,IFERROR(_xlfn.XLOOKUP(E25,'⚙️ Configuración Costos'!$E$5:$E$6,'⚙️ Configuración Costos'!$F$5:$F$6),""))</f>
        <v>6</v>
      </c>
      <c r="R25" s="12">
        <f t="shared" si="11"/>
        <v>3.84</v>
      </c>
      <c r="S25" s="38">
        <f t="shared" si="12"/>
        <v>24.48565298360656</v>
      </c>
      <c r="T25" s="94" t="str">
        <f t="shared" si="13"/>
        <v>OK</v>
      </c>
      <c r="U25" s="95" t="str">
        <f t="shared" si="14"/>
        <v/>
      </c>
      <c r="V25" s="96">
        <f t="shared" si="15"/>
        <v>0</v>
      </c>
    </row>
    <row r="26" spans="1:22" x14ac:dyDescent="0.2">
      <c r="A26" s="35">
        <v>1</v>
      </c>
      <c r="B26" s="6">
        <v>269</v>
      </c>
      <c r="C26" s="6">
        <v>320</v>
      </c>
      <c r="D26" s="7" t="s">
        <v>72</v>
      </c>
      <c r="E26" s="7" t="s">
        <v>64</v>
      </c>
      <c r="F26" s="8">
        <v>0</v>
      </c>
      <c r="G26" s="8">
        <v>0</v>
      </c>
      <c r="H26" s="8">
        <v>0</v>
      </c>
      <c r="I26" s="8">
        <v>1</v>
      </c>
      <c r="J26" s="8">
        <v>1</v>
      </c>
      <c r="K26" s="9" t="s">
        <v>4</v>
      </c>
      <c r="L26" s="47" t="s">
        <v>103</v>
      </c>
      <c r="M26" s="10">
        <f t="shared" si="8"/>
        <v>8.6080000000000004E-2</v>
      </c>
      <c r="N26" s="11">
        <f t="shared" si="9"/>
        <v>0.64</v>
      </c>
      <c r="O26" s="12">
        <f>IF(E26="HERRAJE",IFERROR(_xlfn.XLOOKUP(D26,'⚙️ Configuración Costos'!$A$11:$A$20,'⚙️ Configuración Costos'!$B$11:$B$20),""),IFERROR(_xlfn.XLOOKUP(E26,'⚙️ Configuración Costos'!$A$5:$A$6,'⚙️ Configuración Costos'!$B$5:$B$6),""))</f>
        <v>239.8426229508197</v>
      </c>
      <c r="P26" s="12">
        <f t="shared" si="10"/>
        <v>20.64565298360656</v>
      </c>
      <c r="Q26" s="12">
        <f>IF(E26="HERRAJE",0,IFERROR(_xlfn.XLOOKUP(E26,'⚙️ Configuración Costos'!$E$5:$E$6,'⚙️ Configuración Costos'!$F$5:$F$6),""))</f>
        <v>6</v>
      </c>
      <c r="R26" s="12">
        <f t="shared" si="11"/>
        <v>3.84</v>
      </c>
      <c r="S26" s="38">
        <f t="shared" si="12"/>
        <v>24.48565298360656</v>
      </c>
      <c r="T26" s="94" t="str">
        <f t="shared" si="13"/>
        <v>OK</v>
      </c>
      <c r="U26" s="95" t="str">
        <f t="shared" si="14"/>
        <v/>
      </c>
      <c r="V26" s="96">
        <f t="shared" si="15"/>
        <v>0</v>
      </c>
    </row>
    <row r="27" spans="1:22" x14ac:dyDescent="0.2">
      <c r="A27" s="35">
        <v>1</v>
      </c>
      <c r="B27" s="6">
        <v>269</v>
      </c>
      <c r="C27" s="6">
        <v>256</v>
      </c>
      <c r="D27" s="7" t="s">
        <v>76</v>
      </c>
      <c r="E27" s="7" t="s">
        <v>64</v>
      </c>
      <c r="F27" s="8">
        <v>0</v>
      </c>
      <c r="G27" s="8">
        <v>1</v>
      </c>
      <c r="H27" s="8">
        <v>1</v>
      </c>
      <c r="I27" s="8">
        <v>0</v>
      </c>
      <c r="J27" s="8">
        <v>0</v>
      </c>
      <c r="K27" s="9" t="s">
        <v>4</v>
      </c>
      <c r="L27" s="47" t="s">
        <v>104</v>
      </c>
      <c r="M27" s="10">
        <f t="shared" si="8"/>
        <v>6.8863999999999995E-2</v>
      </c>
      <c r="N27" s="11">
        <f t="shared" si="9"/>
        <v>0.53800000000000003</v>
      </c>
      <c r="O27" s="12">
        <f>IF(E27="HERRAJE",IFERROR(_xlfn.XLOOKUP(D27,'⚙️ Configuración Costos'!$A$11:$A$20,'⚙️ Configuración Costos'!$B$11:$B$20),""),IFERROR(_xlfn.XLOOKUP(E27,'⚙️ Configuración Costos'!$A$5:$A$6,'⚙️ Configuración Costos'!$B$5:$B$6),""))</f>
        <v>239.8426229508197</v>
      </c>
      <c r="P27" s="12">
        <f t="shared" si="10"/>
        <v>16.516522386885246</v>
      </c>
      <c r="Q27" s="12">
        <f>IF(E27="HERRAJE",0,IFERROR(_xlfn.XLOOKUP(E27,'⚙️ Configuración Costos'!$E$5:$E$6,'⚙️ Configuración Costos'!$F$5:$F$6),""))</f>
        <v>6</v>
      </c>
      <c r="R27" s="12">
        <f t="shared" si="11"/>
        <v>3.2280000000000002</v>
      </c>
      <c r="S27" s="38">
        <f t="shared" si="12"/>
        <v>19.744522386885247</v>
      </c>
      <c r="T27" s="94" t="str">
        <f t="shared" si="13"/>
        <v>OK</v>
      </c>
      <c r="U27" s="95" t="str">
        <f t="shared" si="14"/>
        <v/>
      </c>
      <c r="V27" s="96">
        <f t="shared" si="15"/>
        <v>0</v>
      </c>
    </row>
    <row r="28" spans="1:22" x14ac:dyDescent="0.2">
      <c r="A28" s="35">
        <v>1</v>
      </c>
      <c r="B28" s="6">
        <v>677</v>
      </c>
      <c r="C28" s="6">
        <v>297</v>
      </c>
      <c r="D28" s="7" t="s">
        <v>84</v>
      </c>
      <c r="E28" s="7" t="s">
        <v>85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9" t="s">
        <v>4</v>
      </c>
      <c r="L28" s="47" t="s">
        <v>105</v>
      </c>
      <c r="M28" s="10">
        <f t="shared" si="8"/>
        <v>0.201069</v>
      </c>
      <c r="N28" s="11">
        <f t="shared" si="9"/>
        <v>1.948</v>
      </c>
      <c r="O28" s="12">
        <f>IF(E28="HERRAJE",IFERROR(_xlfn.XLOOKUP(D28,'⚙️ Configuración Costos'!$A$11:$A$20,'⚙️ Configuración Costos'!$B$11:$B$20),""),IFERROR(_xlfn.XLOOKUP(E28,'⚙️ Configuración Costos'!$A$5:$A$6,'⚙️ Configuración Costos'!$B$5:$B$6),""))</f>
        <v>332.85245901639348</v>
      </c>
      <c r="P28" s="12">
        <f t="shared" si="10"/>
        <v>66.926311081967214</v>
      </c>
      <c r="Q28" s="12">
        <f>IF(E28="HERRAJE",0,IFERROR(_xlfn.XLOOKUP(E28,'⚙️ Configuración Costos'!$E$5:$E$6,'⚙️ Configuración Costos'!$F$5:$F$6),""))</f>
        <v>9.5</v>
      </c>
      <c r="R28" s="12">
        <f t="shared" si="11"/>
        <v>18.506</v>
      </c>
      <c r="S28" s="38">
        <f t="shared" si="12"/>
        <v>85.432311081967214</v>
      </c>
      <c r="T28" s="94" t="str">
        <f t="shared" si="13"/>
        <v>OK</v>
      </c>
      <c r="U28" s="95" t="str">
        <f t="shared" si="14"/>
        <v/>
      </c>
      <c r="V28" s="96">
        <f t="shared" si="15"/>
        <v>0</v>
      </c>
    </row>
    <row r="29" spans="1:22" x14ac:dyDescent="0.2">
      <c r="A29" s="35">
        <v>2</v>
      </c>
      <c r="B29" s="6">
        <v>0</v>
      </c>
      <c r="C29" s="6">
        <v>0</v>
      </c>
      <c r="D29" s="7" t="s">
        <v>90</v>
      </c>
      <c r="E29" s="7" t="s">
        <v>91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9" t="s">
        <v>4</v>
      </c>
      <c r="L29" s="47" t="s">
        <v>92</v>
      </c>
      <c r="M29" s="10">
        <f t="shared" si="8"/>
        <v>0</v>
      </c>
      <c r="N29" s="11">
        <f t="shared" si="9"/>
        <v>0</v>
      </c>
      <c r="O29" s="12">
        <f>IF(E29="HERRAJE",IFERROR(_xlfn.XLOOKUP(D29,'⚙️ Configuración Costos'!$A$11:$A$20,'⚙️ Configuración Costos'!$B$11:$B$20),""),IFERROR(_xlfn.XLOOKUP(E29,'⚙️ Configuración Costos'!$A$5:$A$6,'⚙️ Configuración Costos'!$B$5:$B$6),""))</f>
        <v>20</v>
      </c>
      <c r="P29" s="12">
        <f t="shared" si="10"/>
        <v>40</v>
      </c>
      <c r="Q29" s="12">
        <f>IF(E29="HERRAJE",0,IFERROR(_xlfn.XLOOKUP(E29,'⚙️ Configuración Costos'!$E$5:$E$6,'⚙️ Configuración Costos'!$F$5:$F$6),""))</f>
        <v>0</v>
      </c>
      <c r="R29" s="12">
        <f t="shared" si="11"/>
        <v>0</v>
      </c>
      <c r="S29" s="38">
        <f t="shared" si="12"/>
        <v>40</v>
      </c>
      <c r="T29" s="94" t="str">
        <f t="shared" si="13"/>
        <v>OK</v>
      </c>
      <c r="U29" s="95" t="str">
        <f t="shared" si="14"/>
        <v/>
      </c>
      <c r="V29" s="96">
        <f t="shared" si="15"/>
        <v>0</v>
      </c>
    </row>
    <row r="30" spans="1:22" x14ac:dyDescent="0.2">
      <c r="A30" s="35">
        <v>1</v>
      </c>
      <c r="B30" s="6">
        <v>0</v>
      </c>
      <c r="C30" s="6">
        <v>0</v>
      </c>
      <c r="D30" s="7" t="s">
        <v>93</v>
      </c>
      <c r="E30" s="7" t="s">
        <v>91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9" t="s">
        <v>4</v>
      </c>
      <c r="L30" s="47" t="s">
        <v>94</v>
      </c>
      <c r="M30" s="10">
        <f t="shared" si="8"/>
        <v>0</v>
      </c>
      <c r="N30" s="11">
        <f t="shared" si="9"/>
        <v>0</v>
      </c>
      <c r="O30" s="12">
        <f>IF(E30="HERRAJE",IFERROR(_xlfn.XLOOKUP(D30,'⚙️ Configuración Costos'!$A$11:$A$20,'⚙️ Configuración Costos'!$B$11:$B$20),""),IFERROR(_xlfn.XLOOKUP(E30,'⚙️ Configuración Costos'!$A$5:$A$6,'⚙️ Configuración Costos'!$B$5:$B$6),""))</f>
        <v>15</v>
      </c>
      <c r="P30" s="12">
        <f t="shared" si="10"/>
        <v>15</v>
      </c>
      <c r="Q30" s="12">
        <f>IF(E30="HERRAJE",0,IFERROR(_xlfn.XLOOKUP(E30,'⚙️ Configuración Costos'!$E$5:$E$6,'⚙️ Configuración Costos'!$F$5:$F$6),""))</f>
        <v>0</v>
      </c>
      <c r="R30" s="12">
        <f t="shared" si="11"/>
        <v>0</v>
      </c>
      <c r="S30" s="38">
        <f t="shared" si="12"/>
        <v>15</v>
      </c>
      <c r="T30" s="94" t="str">
        <f t="shared" si="13"/>
        <v>OK</v>
      </c>
      <c r="U30" s="95" t="str">
        <f t="shared" si="14"/>
        <v/>
      </c>
      <c r="V30" s="96">
        <f t="shared" si="15"/>
        <v>0</v>
      </c>
    </row>
    <row r="31" spans="1:22" x14ac:dyDescent="0.2">
      <c r="A31" s="35">
        <v>4</v>
      </c>
      <c r="B31" s="6">
        <v>0</v>
      </c>
      <c r="C31" s="6">
        <v>0</v>
      </c>
      <c r="D31" s="7" t="s">
        <v>95</v>
      </c>
      <c r="E31" s="7" t="s">
        <v>91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 t="s">
        <v>4</v>
      </c>
      <c r="L31" s="47" t="s">
        <v>96</v>
      </c>
      <c r="M31" s="10">
        <f t="shared" si="8"/>
        <v>0</v>
      </c>
      <c r="N31" s="11">
        <f t="shared" si="9"/>
        <v>0</v>
      </c>
      <c r="O31" s="12">
        <f>IF(E31="HERRAJE",IFERROR(_xlfn.XLOOKUP(D31,'⚙️ Configuración Costos'!$A$11:$A$20,'⚙️ Configuración Costos'!$B$11:$B$20),""),IFERROR(_xlfn.XLOOKUP(E31,'⚙️ Configuración Costos'!$A$5:$A$6,'⚙️ Configuración Costos'!$B$5:$B$6),""))</f>
        <v>2</v>
      </c>
      <c r="P31" s="12">
        <f t="shared" si="10"/>
        <v>8</v>
      </c>
      <c r="Q31" s="12">
        <f>IF(E31="HERRAJE",0,IFERROR(_xlfn.XLOOKUP(E31,'⚙️ Configuración Costos'!$E$5:$E$6,'⚙️ Configuración Costos'!$F$5:$F$6),""))</f>
        <v>0</v>
      </c>
      <c r="R31" s="12">
        <f t="shared" si="11"/>
        <v>0</v>
      </c>
      <c r="S31" s="38">
        <f t="shared" si="12"/>
        <v>8</v>
      </c>
      <c r="T31" s="94" t="str">
        <f t="shared" si="13"/>
        <v>OK</v>
      </c>
      <c r="U31" s="95" t="str">
        <f t="shared" si="14"/>
        <v/>
      </c>
      <c r="V31" s="96">
        <f t="shared" si="15"/>
        <v>0</v>
      </c>
    </row>
    <row r="32" spans="1:22" x14ac:dyDescent="0.2">
      <c r="A32" s="36">
        <v>24</v>
      </c>
      <c r="B32" s="20">
        <v>0</v>
      </c>
      <c r="C32" s="20">
        <v>0</v>
      </c>
      <c r="D32" s="21" t="s">
        <v>97</v>
      </c>
      <c r="E32" s="21" t="s">
        <v>91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3" t="s">
        <v>4</v>
      </c>
      <c r="L32" s="48" t="s">
        <v>98</v>
      </c>
      <c r="M32" s="24">
        <f t="shared" si="8"/>
        <v>0</v>
      </c>
      <c r="N32" s="25">
        <f t="shared" si="9"/>
        <v>0</v>
      </c>
      <c r="O32" s="26">
        <f>IF(E32="HERRAJE",IFERROR(_xlfn.XLOOKUP(D32,'⚙️ Configuración Costos'!$A$11:$A$20,'⚙️ Configuración Costos'!$B$11:$B$20),""),IFERROR(_xlfn.XLOOKUP(E32,'⚙️ Configuración Costos'!$A$5:$A$6,'⚙️ Configuración Costos'!$B$5:$B$6),""))</f>
        <v>1.5</v>
      </c>
      <c r="P32" s="26">
        <f t="shared" si="10"/>
        <v>36</v>
      </c>
      <c r="Q32" s="26">
        <f>IF(E32="HERRAJE",0,IFERROR(_xlfn.XLOOKUP(E32,'⚙️ Configuración Costos'!$E$5:$E$6,'⚙️ Configuración Costos'!$F$5:$F$6),""))</f>
        <v>0</v>
      </c>
      <c r="R32" s="26">
        <f t="shared" si="11"/>
        <v>0</v>
      </c>
      <c r="S32" s="39">
        <f t="shared" si="12"/>
        <v>36</v>
      </c>
      <c r="T32" s="94" t="str">
        <f t="shared" si="13"/>
        <v>OK</v>
      </c>
      <c r="U32" s="95" t="str">
        <f t="shared" si="14"/>
        <v/>
      </c>
      <c r="V32" s="96">
        <f t="shared" si="15"/>
        <v>0</v>
      </c>
    </row>
    <row r="33" spans="1:22" x14ac:dyDescent="0.2">
      <c r="A33" s="27" t="s">
        <v>99</v>
      </c>
      <c r="B33" s="27"/>
      <c r="C33" s="27"/>
      <c r="D33" s="28"/>
      <c r="E33" s="28"/>
      <c r="F33" s="29"/>
      <c r="G33" s="29"/>
      <c r="H33" s="29"/>
      <c r="I33" s="29"/>
      <c r="J33" s="29"/>
      <c r="K33" s="30"/>
      <c r="L33" s="49"/>
      <c r="M33" s="31">
        <f>SUM(M22:M32)</f>
        <v>1.051874</v>
      </c>
      <c r="N33" s="32">
        <f>SUM(N22:N32)</f>
        <v>7.766</v>
      </c>
      <c r="O33" s="33"/>
      <c r="P33" s="33">
        <f>SUM(P22:P32)</f>
        <v>369.98561390163934</v>
      </c>
      <c r="Q33" s="33"/>
      <c r="R33" s="33">
        <f>SUM(R22:R32)</f>
        <v>53.414000000000001</v>
      </c>
      <c r="S33" s="33">
        <f>SUM(S22:S32)</f>
        <v>423.39961390163944</v>
      </c>
      <c r="T33" s="97"/>
      <c r="U33" s="98"/>
      <c r="V33" s="99"/>
    </row>
    <row r="34" spans="1:22" x14ac:dyDescent="0.2">
      <c r="A34" s="186" t="s">
        <v>106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8"/>
      <c r="T34" s="97"/>
      <c r="U34" s="98"/>
      <c r="V34" s="99"/>
    </row>
    <row r="35" spans="1:22" x14ac:dyDescent="0.2">
      <c r="A35" s="34">
        <v>1</v>
      </c>
      <c r="B35" s="13">
        <v>680</v>
      </c>
      <c r="C35" s="13">
        <v>320</v>
      </c>
      <c r="D35" s="14" t="s">
        <v>63</v>
      </c>
      <c r="E35" s="14" t="s">
        <v>64</v>
      </c>
      <c r="F35" s="15">
        <v>0</v>
      </c>
      <c r="G35" s="15">
        <v>1</v>
      </c>
      <c r="H35" s="15">
        <v>1</v>
      </c>
      <c r="I35" s="15">
        <v>1</v>
      </c>
      <c r="J35" s="15">
        <v>1</v>
      </c>
      <c r="K35" s="16" t="s">
        <v>5</v>
      </c>
      <c r="L35" s="46" t="s">
        <v>65</v>
      </c>
      <c r="M35" s="17">
        <f t="shared" ref="M35:M45" si="16">IF(AND(ISNUMBER(B35),ISNUMBER(C35),B35&gt;0,C35&gt;0),A35*(B35*C35/1000000),0)</f>
        <v>0.21759999999999999</v>
      </c>
      <c r="N35" s="18">
        <f t="shared" ref="N35:N45" si="17">IF(AND(ISNUMBER(B35),B35&gt;0),A35*(((G35+H35)*B35+(I35+J35)*C35)/1000),0)</f>
        <v>2</v>
      </c>
      <c r="O35" s="19">
        <f>IF(E35="HERRAJE",IFERROR(_xlfn.XLOOKUP(D35,'⚙️ Configuración Costos'!$A$11:$A$20,'⚙️ Configuración Costos'!$B$11:$B$20),""),IFERROR(_xlfn.XLOOKUP(E35,'⚙️ Configuración Costos'!$A$5:$A$6,'⚙️ Configuración Costos'!$B$5:$B$6),""))</f>
        <v>239.8426229508197</v>
      </c>
      <c r="P35" s="19">
        <f t="shared" ref="P35:P45" si="18">IF(E35="HERRAJE",A35*O35,M35*O35)</f>
        <v>52.189754754098367</v>
      </c>
      <c r="Q35" s="19">
        <f>IF(E35="HERRAJE",0,IFERROR(_xlfn.XLOOKUP(E35,'⚙️ Configuración Costos'!$E$5:$E$6,'⚙️ Configuración Costos'!$F$5:$F$6),""))</f>
        <v>6</v>
      </c>
      <c r="R35" s="19">
        <f t="shared" ref="R35:R45" si="19">N35*Q35</f>
        <v>12</v>
      </c>
      <c r="S35" s="37">
        <f t="shared" ref="S35:S45" si="20">P35+R35</f>
        <v>64.189754754098374</v>
      </c>
      <c r="T35" s="94" t="str">
        <f t="shared" ref="T35:T45" si="21">IF(K35="","SIN ID MÓDULO",IF(E35="HERRAJE",IF(OR(O35="",O35&lt;=0),"SIN PRECIO HERRAJE","OK"),IF(OR(O35="",O35&lt;=0),"SIN PRECIO MATERIAL",IF(AND(N35&gt;0,OR(Q35="",Q35&lt;=0)),"SIN PRECIO CINTILLA","OK"))))</f>
        <v>OK</v>
      </c>
      <c r="U35" s="95" t="str">
        <f t="shared" ref="U35:U45" si="22">IF(T35="OK","",IF(T35="SIN PRECIO HERRAJE","Capturar precio: "&amp;D35,IF(T35="SIN PRECIO MATERIAL","Configurar material: "&amp;E35,IF(T35="SIN PRECIO CINTILLA","Configurar cintilla: "&amp;E35,IF(T35="SIN ID MÓDULO","Revisar ID del módulo","")))))</f>
        <v/>
      </c>
      <c r="V35" s="96">
        <f t="shared" ref="V35:V45" si="23">IF(T35="OK",0,IF(T35="",0,1))</f>
        <v>0</v>
      </c>
    </row>
    <row r="36" spans="1:22" x14ac:dyDescent="0.2">
      <c r="A36" s="35">
        <v>1</v>
      </c>
      <c r="B36" s="6">
        <v>680</v>
      </c>
      <c r="C36" s="6">
        <v>320</v>
      </c>
      <c r="D36" s="7" t="s">
        <v>66</v>
      </c>
      <c r="E36" s="7" t="s">
        <v>64</v>
      </c>
      <c r="F36" s="8">
        <v>0</v>
      </c>
      <c r="G36" s="8">
        <v>1</v>
      </c>
      <c r="H36" s="8">
        <v>1</v>
      </c>
      <c r="I36" s="8">
        <v>1</v>
      </c>
      <c r="J36" s="8">
        <v>1</v>
      </c>
      <c r="K36" s="9" t="s">
        <v>5</v>
      </c>
      <c r="L36" s="47" t="s">
        <v>67</v>
      </c>
      <c r="M36" s="10">
        <f t="shared" si="16"/>
        <v>0.21759999999999999</v>
      </c>
      <c r="N36" s="11">
        <f t="shared" si="17"/>
        <v>2</v>
      </c>
      <c r="O36" s="12">
        <f>IF(E36="HERRAJE",IFERROR(_xlfn.XLOOKUP(D36,'⚙️ Configuración Costos'!$A$11:$A$20,'⚙️ Configuración Costos'!$B$11:$B$20),""),IFERROR(_xlfn.XLOOKUP(E36,'⚙️ Configuración Costos'!$A$5:$A$6,'⚙️ Configuración Costos'!$B$5:$B$6),""))</f>
        <v>239.8426229508197</v>
      </c>
      <c r="P36" s="12">
        <f t="shared" si="18"/>
        <v>52.189754754098367</v>
      </c>
      <c r="Q36" s="12">
        <f>IF(E36="HERRAJE",0,IFERROR(_xlfn.XLOOKUP(E36,'⚙️ Configuración Costos'!$E$5:$E$6,'⚙️ Configuración Costos'!$F$5:$F$6),""))</f>
        <v>6</v>
      </c>
      <c r="R36" s="12">
        <f t="shared" si="19"/>
        <v>12</v>
      </c>
      <c r="S36" s="38">
        <f t="shared" si="20"/>
        <v>64.189754754098374</v>
      </c>
      <c r="T36" s="94" t="str">
        <f t="shared" si="21"/>
        <v>OK</v>
      </c>
      <c r="U36" s="95" t="str">
        <f t="shared" si="22"/>
        <v/>
      </c>
      <c r="V36" s="96">
        <f t="shared" si="23"/>
        <v>0</v>
      </c>
    </row>
    <row r="37" spans="1:22" x14ac:dyDescent="0.2">
      <c r="A37" s="35">
        <v>1</v>
      </c>
      <c r="B37" s="6">
        <v>649</v>
      </c>
      <c r="C37" s="6">
        <v>369</v>
      </c>
      <c r="D37" s="7" t="s">
        <v>68</v>
      </c>
      <c r="E37" s="7" t="s">
        <v>64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9" t="s">
        <v>5</v>
      </c>
      <c r="L37" s="47" t="s">
        <v>107</v>
      </c>
      <c r="M37" s="10">
        <f t="shared" si="16"/>
        <v>0.239481</v>
      </c>
      <c r="N37" s="11">
        <f t="shared" si="17"/>
        <v>0</v>
      </c>
      <c r="O37" s="12">
        <f>IF(E37="HERRAJE",IFERROR(_xlfn.XLOOKUP(D37,'⚙️ Configuración Costos'!$A$11:$A$20,'⚙️ Configuración Costos'!$B$11:$B$20),""),IFERROR(_xlfn.XLOOKUP(E37,'⚙️ Configuración Costos'!$A$5:$A$6,'⚙️ Configuración Costos'!$B$5:$B$6),""))</f>
        <v>239.8426229508197</v>
      </c>
      <c r="P37" s="12">
        <f t="shared" si="18"/>
        <v>57.437751186885251</v>
      </c>
      <c r="Q37" s="12">
        <f>IF(E37="HERRAJE",0,IFERROR(_xlfn.XLOOKUP(E37,'⚙️ Configuración Costos'!$E$5:$E$6,'⚙️ Configuración Costos'!$F$5:$F$6),""))</f>
        <v>6</v>
      </c>
      <c r="R37" s="12">
        <f t="shared" si="19"/>
        <v>0</v>
      </c>
      <c r="S37" s="38">
        <f t="shared" si="20"/>
        <v>57.437751186885251</v>
      </c>
      <c r="T37" s="94" t="str">
        <f t="shared" si="21"/>
        <v>OK</v>
      </c>
      <c r="U37" s="95" t="str">
        <f t="shared" si="22"/>
        <v/>
      </c>
      <c r="V37" s="96">
        <f t="shared" si="23"/>
        <v>0</v>
      </c>
    </row>
    <row r="38" spans="1:22" x14ac:dyDescent="0.2">
      <c r="A38" s="35">
        <v>1</v>
      </c>
      <c r="B38" s="6">
        <v>369</v>
      </c>
      <c r="C38" s="6">
        <v>320</v>
      </c>
      <c r="D38" s="7" t="s">
        <v>70</v>
      </c>
      <c r="E38" s="7" t="s">
        <v>64</v>
      </c>
      <c r="F38" s="8">
        <v>0</v>
      </c>
      <c r="G38" s="8">
        <v>1</v>
      </c>
      <c r="H38" s="8">
        <v>1</v>
      </c>
      <c r="I38" s="8">
        <v>0</v>
      </c>
      <c r="J38" s="8">
        <v>0</v>
      </c>
      <c r="K38" s="9" t="s">
        <v>5</v>
      </c>
      <c r="L38" s="47" t="s">
        <v>108</v>
      </c>
      <c r="M38" s="10">
        <f t="shared" si="16"/>
        <v>0.11808</v>
      </c>
      <c r="N38" s="11">
        <f t="shared" si="17"/>
        <v>0.73799999999999999</v>
      </c>
      <c r="O38" s="12">
        <f>IF(E38="HERRAJE",IFERROR(_xlfn.XLOOKUP(D38,'⚙️ Configuración Costos'!$A$11:$A$20,'⚙️ Configuración Costos'!$B$11:$B$20),""),IFERROR(_xlfn.XLOOKUP(E38,'⚙️ Configuración Costos'!$A$5:$A$6,'⚙️ Configuración Costos'!$B$5:$B$6),""))</f>
        <v>239.8426229508197</v>
      </c>
      <c r="P38" s="12">
        <f t="shared" si="18"/>
        <v>28.32061691803279</v>
      </c>
      <c r="Q38" s="12">
        <f>IF(E38="HERRAJE",0,IFERROR(_xlfn.XLOOKUP(E38,'⚙️ Configuración Costos'!$E$5:$E$6,'⚙️ Configuración Costos'!$F$5:$F$6),""))</f>
        <v>6</v>
      </c>
      <c r="R38" s="12">
        <f t="shared" si="19"/>
        <v>4.4279999999999999</v>
      </c>
      <c r="S38" s="38">
        <f t="shared" si="20"/>
        <v>32.748616918032788</v>
      </c>
      <c r="T38" s="94" t="str">
        <f t="shared" si="21"/>
        <v>OK</v>
      </c>
      <c r="U38" s="95" t="str">
        <f t="shared" si="22"/>
        <v/>
      </c>
      <c r="V38" s="96">
        <f t="shared" si="23"/>
        <v>0</v>
      </c>
    </row>
    <row r="39" spans="1:22" x14ac:dyDescent="0.2">
      <c r="A39" s="35">
        <v>1</v>
      </c>
      <c r="B39" s="6">
        <v>369</v>
      </c>
      <c r="C39" s="6">
        <v>320</v>
      </c>
      <c r="D39" s="7" t="s">
        <v>72</v>
      </c>
      <c r="E39" s="7" t="s">
        <v>64</v>
      </c>
      <c r="F39" s="8">
        <v>0</v>
      </c>
      <c r="G39" s="8">
        <v>1</v>
      </c>
      <c r="H39" s="8">
        <v>1</v>
      </c>
      <c r="I39" s="8">
        <v>0</v>
      </c>
      <c r="J39" s="8">
        <v>0</v>
      </c>
      <c r="K39" s="9" t="s">
        <v>5</v>
      </c>
      <c r="L39" s="47" t="s">
        <v>109</v>
      </c>
      <c r="M39" s="10">
        <f t="shared" si="16"/>
        <v>0.11808</v>
      </c>
      <c r="N39" s="11">
        <f t="shared" si="17"/>
        <v>0.73799999999999999</v>
      </c>
      <c r="O39" s="12">
        <f>IF(E39="HERRAJE",IFERROR(_xlfn.XLOOKUP(D39,'⚙️ Configuración Costos'!$A$11:$A$20,'⚙️ Configuración Costos'!$B$11:$B$20),""),IFERROR(_xlfn.XLOOKUP(E39,'⚙️ Configuración Costos'!$A$5:$A$6,'⚙️ Configuración Costos'!$B$5:$B$6),""))</f>
        <v>239.8426229508197</v>
      </c>
      <c r="P39" s="12">
        <f t="shared" si="18"/>
        <v>28.32061691803279</v>
      </c>
      <c r="Q39" s="12">
        <f>IF(E39="HERRAJE",0,IFERROR(_xlfn.XLOOKUP(E39,'⚙️ Configuración Costos'!$E$5:$E$6,'⚙️ Configuración Costos'!$F$5:$F$6),""))</f>
        <v>6</v>
      </c>
      <c r="R39" s="12">
        <f t="shared" si="19"/>
        <v>4.4279999999999999</v>
      </c>
      <c r="S39" s="38">
        <f t="shared" si="20"/>
        <v>32.748616918032788</v>
      </c>
      <c r="T39" s="94" t="str">
        <f t="shared" si="21"/>
        <v>OK</v>
      </c>
      <c r="U39" s="95" t="str">
        <f t="shared" si="22"/>
        <v/>
      </c>
      <c r="V39" s="96">
        <f t="shared" si="23"/>
        <v>0</v>
      </c>
    </row>
    <row r="40" spans="1:22" x14ac:dyDescent="0.2">
      <c r="A40" s="35">
        <v>1</v>
      </c>
      <c r="B40" s="6">
        <v>369</v>
      </c>
      <c r="C40" s="6">
        <v>256</v>
      </c>
      <c r="D40" s="7" t="s">
        <v>76</v>
      </c>
      <c r="E40" s="7" t="s">
        <v>64</v>
      </c>
      <c r="F40" s="8">
        <v>0</v>
      </c>
      <c r="G40" s="8">
        <v>1</v>
      </c>
      <c r="H40" s="8">
        <v>1</v>
      </c>
      <c r="I40" s="8">
        <v>0</v>
      </c>
      <c r="J40" s="8">
        <v>0</v>
      </c>
      <c r="K40" s="9" t="s">
        <v>5</v>
      </c>
      <c r="L40" s="47" t="s">
        <v>110</v>
      </c>
      <c r="M40" s="10">
        <f t="shared" si="16"/>
        <v>9.4464000000000006E-2</v>
      </c>
      <c r="N40" s="11">
        <f t="shared" si="17"/>
        <v>0.73799999999999999</v>
      </c>
      <c r="O40" s="12">
        <f>IF(E40="HERRAJE",IFERROR(_xlfn.XLOOKUP(D40,'⚙️ Configuración Costos'!$A$11:$A$20,'⚙️ Configuración Costos'!$B$11:$B$20),""),IFERROR(_xlfn.XLOOKUP(E40,'⚙️ Configuración Costos'!$A$5:$A$6,'⚙️ Configuración Costos'!$B$5:$B$6),""))</f>
        <v>239.8426229508197</v>
      </c>
      <c r="P40" s="12">
        <f t="shared" si="18"/>
        <v>22.656493534426232</v>
      </c>
      <c r="Q40" s="12">
        <f>IF(E40="HERRAJE",0,IFERROR(_xlfn.XLOOKUP(E40,'⚙️ Configuración Costos'!$E$5:$E$6,'⚙️ Configuración Costos'!$F$5:$F$6),""))</f>
        <v>6</v>
      </c>
      <c r="R40" s="12">
        <f t="shared" si="19"/>
        <v>4.4279999999999999</v>
      </c>
      <c r="S40" s="38">
        <f t="shared" si="20"/>
        <v>27.084493534426233</v>
      </c>
      <c r="T40" s="94" t="str">
        <f t="shared" si="21"/>
        <v>OK</v>
      </c>
      <c r="U40" s="95" t="str">
        <f t="shared" si="22"/>
        <v/>
      </c>
      <c r="V40" s="96">
        <f t="shared" si="23"/>
        <v>0</v>
      </c>
    </row>
    <row r="41" spans="1:22" x14ac:dyDescent="0.2">
      <c r="A41" s="35">
        <v>1</v>
      </c>
      <c r="B41" s="6">
        <v>677</v>
      </c>
      <c r="C41" s="6">
        <v>397</v>
      </c>
      <c r="D41" s="7" t="s">
        <v>84</v>
      </c>
      <c r="E41" s="7" t="s">
        <v>85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9" t="s">
        <v>5</v>
      </c>
      <c r="L41" s="47" t="s">
        <v>111</v>
      </c>
      <c r="M41" s="10">
        <f t="shared" si="16"/>
        <v>0.26876899999999998</v>
      </c>
      <c r="N41" s="11">
        <f t="shared" si="17"/>
        <v>2.1480000000000001</v>
      </c>
      <c r="O41" s="12">
        <f>IF(E41="HERRAJE",IFERROR(_xlfn.XLOOKUP(D41,'⚙️ Configuración Costos'!$A$11:$A$20,'⚙️ Configuración Costos'!$B$11:$B$20),""),IFERROR(_xlfn.XLOOKUP(E41,'⚙️ Configuración Costos'!$A$5:$A$6,'⚙️ Configuración Costos'!$B$5:$B$6),""))</f>
        <v>332.85245901639348</v>
      </c>
      <c r="P41" s="12">
        <f t="shared" si="18"/>
        <v>89.460422557377058</v>
      </c>
      <c r="Q41" s="12">
        <f>IF(E41="HERRAJE",0,IFERROR(_xlfn.XLOOKUP(E41,'⚙️ Configuración Costos'!$E$5:$E$6,'⚙️ Configuración Costos'!$F$5:$F$6),""))</f>
        <v>9.5</v>
      </c>
      <c r="R41" s="12">
        <f t="shared" si="19"/>
        <v>20.406000000000002</v>
      </c>
      <c r="S41" s="38">
        <f t="shared" si="20"/>
        <v>109.86642255737706</v>
      </c>
      <c r="T41" s="94" t="str">
        <f t="shared" si="21"/>
        <v>OK</v>
      </c>
      <c r="U41" s="95" t="str">
        <f t="shared" si="22"/>
        <v/>
      </c>
      <c r="V41" s="96">
        <f t="shared" si="23"/>
        <v>0</v>
      </c>
    </row>
    <row r="42" spans="1:22" x14ac:dyDescent="0.2">
      <c r="A42" s="35">
        <v>2</v>
      </c>
      <c r="B42" s="6">
        <v>0</v>
      </c>
      <c r="C42" s="6">
        <v>0</v>
      </c>
      <c r="D42" s="7" t="s">
        <v>90</v>
      </c>
      <c r="E42" s="7" t="s">
        <v>91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9" t="s">
        <v>5</v>
      </c>
      <c r="L42" s="47" t="s">
        <v>92</v>
      </c>
      <c r="M42" s="10">
        <f t="shared" si="16"/>
        <v>0</v>
      </c>
      <c r="N42" s="11">
        <f t="shared" si="17"/>
        <v>0</v>
      </c>
      <c r="O42" s="12">
        <f>IF(E42="HERRAJE",IFERROR(_xlfn.XLOOKUP(D42,'⚙️ Configuración Costos'!$A$11:$A$20,'⚙️ Configuración Costos'!$B$11:$B$20),""),IFERROR(_xlfn.XLOOKUP(E42,'⚙️ Configuración Costos'!$A$5:$A$6,'⚙️ Configuración Costos'!$B$5:$B$6),""))</f>
        <v>20</v>
      </c>
      <c r="P42" s="12">
        <f t="shared" si="18"/>
        <v>40</v>
      </c>
      <c r="Q42" s="12">
        <f>IF(E42="HERRAJE",0,IFERROR(_xlfn.XLOOKUP(E42,'⚙️ Configuración Costos'!$E$5:$E$6,'⚙️ Configuración Costos'!$F$5:$F$6),""))</f>
        <v>0</v>
      </c>
      <c r="R42" s="12">
        <f t="shared" si="19"/>
        <v>0</v>
      </c>
      <c r="S42" s="38">
        <f t="shared" si="20"/>
        <v>40</v>
      </c>
      <c r="T42" s="94" t="str">
        <f t="shared" si="21"/>
        <v>OK</v>
      </c>
      <c r="U42" s="95" t="str">
        <f t="shared" si="22"/>
        <v/>
      </c>
      <c r="V42" s="96">
        <f t="shared" si="23"/>
        <v>0</v>
      </c>
    </row>
    <row r="43" spans="1:22" x14ac:dyDescent="0.2">
      <c r="A43" s="35">
        <v>1</v>
      </c>
      <c r="B43" s="6">
        <v>0</v>
      </c>
      <c r="C43" s="6">
        <v>0</v>
      </c>
      <c r="D43" s="7" t="s">
        <v>93</v>
      </c>
      <c r="E43" s="7" t="s">
        <v>91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9" t="s">
        <v>5</v>
      </c>
      <c r="L43" s="47" t="s">
        <v>94</v>
      </c>
      <c r="M43" s="10">
        <f t="shared" si="16"/>
        <v>0</v>
      </c>
      <c r="N43" s="11">
        <f t="shared" si="17"/>
        <v>0</v>
      </c>
      <c r="O43" s="12">
        <f>IF(E43="HERRAJE",IFERROR(_xlfn.XLOOKUP(D43,'⚙️ Configuración Costos'!$A$11:$A$20,'⚙️ Configuración Costos'!$B$11:$B$20),""),IFERROR(_xlfn.XLOOKUP(E43,'⚙️ Configuración Costos'!$A$5:$A$6,'⚙️ Configuración Costos'!$B$5:$B$6),""))</f>
        <v>15</v>
      </c>
      <c r="P43" s="12">
        <f t="shared" si="18"/>
        <v>15</v>
      </c>
      <c r="Q43" s="12">
        <f>IF(E43="HERRAJE",0,IFERROR(_xlfn.XLOOKUP(E43,'⚙️ Configuración Costos'!$E$5:$E$6,'⚙️ Configuración Costos'!$F$5:$F$6),""))</f>
        <v>0</v>
      </c>
      <c r="R43" s="12">
        <f t="shared" si="19"/>
        <v>0</v>
      </c>
      <c r="S43" s="38">
        <f t="shared" si="20"/>
        <v>15</v>
      </c>
      <c r="T43" s="94" t="str">
        <f t="shared" si="21"/>
        <v>OK</v>
      </c>
      <c r="U43" s="95" t="str">
        <f t="shared" si="22"/>
        <v/>
      </c>
      <c r="V43" s="96">
        <f t="shared" si="23"/>
        <v>0</v>
      </c>
    </row>
    <row r="44" spans="1:22" x14ac:dyDescent="0.2">
      <c r="A44" s="35">
        <v>4</v>
      </c>
      <c r="B44" s="6">
        <v>0</v>
      </c>
      <c r="C44" s="6">
        <v>0</v>
      </c>
      <c r="D44" s="7" t="s">
        <v>95</v>
      </c>
      <c r="E44" s="7" t="s">
        <v>91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9" t="s">
        <v>5</v>
      </c>
      <c r="L44" s="47" t="s">
        <v>96</v>
      </c>
      <c r="M44" s="10">
        <f t="shared" si="16"/>
        <v>0</v>
      </c>
      <c r="N44" s="11">
        <f t="shared" si="17"/>
        <v>0</v>
      </c>
      <c r="O44" s="12">
        <f>IF(E44="HERRAJE",IFERROR(_xlfn.XLOOKUP(D44,'⚙️ Configuración Costos'!$A$11:$A$20,'⚙️ Configuración Costos'!$B$11:$B$20),""),IFERROR(_xlfn.XLOOKUP(E44,'⚙️ Configuración Costos'!$A$5:$A$6,'⚙️ Configuración Costos'!$B$5:$B$6),""))</f>
        <v>2</v>
      </c>
      <c r="P44" s="12">
        <f t="shared" si="18"/>
        <v>8</v>
      </c>
      <c r="Q44" s="12">
        <f>IF(E44="HERRAJE",0,IFERROR(_xlfn.XLOOKUP(E44,'⚙️ Configuración Costos'!$E$5:$E$6,'⚙️ Configuración Costos'!$F$5:$F$6),""))</f>
        <v>0</v>
      </c>
      <c r="R44" s="12">
        <f t="shared" si="19"/>
        <v>0</v>
      </c>
      <c r="S44" s="38">
        <f t="shared" si="20"/>
        <v>8</v>
      </c>
      <c r="T44" s="94" t="str">
        <f t="shared" si="21"/>
        <v>OK</v>
      </c>
      <c r="U44" s="95" t="str">
        <f t="shared" si="22"/>
        <v/>
      </c>
      <c r="V44" s="96">
        <f t="shared" si="23"/>
        <v>0</v>
      </c>
    </row>
    <row r="45" spans="1:22" x14ac:dyDescent="0.2">
      <c r="A45" s="36">
        <v>24</v>
      </c>
      <c r="B45" s="20">
        <v>0</v>
      </c>
      <c r="C45" s="20">
        <v>0</v>
      </c>
      <c r="D45" s="21" t="s">
        <v>97</v>
      </c>
      <c r="E45" s="21" t="s">
        <v>91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3" t="s">
        <v>5</v>
      </c>
      <c r="L45" s="48" t="s">
        <v>98</v>
      </c>
      <c r="M45" s="24">
        <f t="shared" si="16"/>
        <v>0</v>
      </c>
      <c r="N45" s="25">
        <f t="shared" si="17"/>
        <v>0</v>
      </c>
      <c r="O45" s="26">
        <f>IF(E45="HERRAJE",IFERROR(_xlfn.XLOOKUP(D45,'⚙️ Configuración Costos'!$A$11:$A$20,'⚙️ Configuración Costos'!$B$11:$B$20),""),IFERROR(_xlfn.XLOOKUP(E45,'⚙️ Configuración Costos'!$A$5:$A$6,'⚙️ Configuración Costos'!$B$5:$B$6),""))</f>
        <v>1.5</v>
      </c>
      <c r="P45" s="26">
        <f t="shared" si="18"/>
        <v>36</v>
      </c>
      <c r="Q45" s="26">
        <f>IF(E45="HERRAJE",0,IFERROR(_xlfn.XLOOKUP(E45,'⚙️ Configuración Costos'!$E$5:$E$6,'⚙️ Configuración Costos'!$F$5:$F$6),""))</f>
        <v>0</v>
      </c>
      <c r="R45" s="26">
        <f t="shared" si="19"/>
        <v>0</v>
      </c>
      <c r="S45" s="39">
        <f t="shared" si="20"/>
        <v>36</v>
      </c>
      <c r="T45" s="94" t="str">
        <f t="shared" si="21"/>
        <v>OK</v>
      </c>
      <c r="U45" s="95" t="str">
        <f t="shared" si="22"/>
        <v/>
      </c>
      <c r="V45" s="96">
        <f t="shared" si="23"/>
        <v>0</v>
      </c>
    </row>
    <row r="46" spans="1:22" x14ac:dyDescent="0.2">
      <c r="A46" s="27" t="s">
        <v>99</v>
      </c>
      <c r="B46" s="27"/>
      <c r="C46" s="27"/>
      <c r="D46" s="28"/>
      <c r="E46" s="28"/>
      <c r="F46" s="29"/>
      <c r="G46" s="29"/>
      <c r="H46" s="29"/>
      <c r="I46" s="29"/>
      <c r="J46" s="29"/>
      <c r="K46" s="30"/>
      <c r="L46" s="49"/>
      <c r="M46" s="31">
        <f>SUM(M35:M45)</f>
        <v>1.2740739999999999</v>
      </c>
      <c r="N46" s="32">
        <f>SUM(N35:N45)</f>
        <v>8.3619999999999983</v>
      </c>
      <c r="O46" s="33"/>
      <c r="P46" s="33">
        <f>SUM(P35:P45)</f>
        <v>429.57541062295081</v>
      </c>
      <c r="Q46" s="33"/>
      <c r="R46" s="33">
        <f>SUM(R35:R45)</f>
        <v>57.69</v>
      </c>
      <c r="S46" s="33">
        <f>SUM(S35:S45)</f>
        <v>487.26541062295087</v>
      </c>
      <c r="T46" s="97"/>
      <c r="U46" s="98"/>
      <c r="V46" s="99"/>
    </row>
    <row r="47" spans="1:22" x14ac:dyDescent="0.2">
      <c r="A47" s="186" t="s">
        <v>112</v>
      </c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8"/>
      <c r="T47" s="97"/>
      <c r="U47" s="98"/>
      <c r="V47" s="99"/>
    </row>
    <row r="48" spans="1:22" x14ac:dyDescent="0.2">
      <c r="A48" s="34">
        <v>1</v>
      </c>
      <c r="B48" s="13">
        <v>680</v>
      </c>
      <c r="C48" s="13">
        <v>320</v>
      </c>
      <c r="D48" s="14" t="s">
        <v>63</v>
      </c>
      <c r="E48" s="14" t="s">
        <v>64</v>
      </c>
      <c r="F48" s="15">
        <v>0</v>
      </c>
      <c r="G48" s="15">
        <v>1</v>
      </c>
      <c r="H48" s="15">
        <v>1</v>
      </c>
      <c r="I48" s="15">
        <v>1</v>
      </c>
      <c r="J48" s="15">
        <v>1</v>
      </c>
      <c r="K48" s="16" t="s">
        <v>6</v>
      </c>
      <c r="L48" s="46" t="s">
        <v>65</v>
      </c>
      <c r="M48" s="17">
        <f t="shared" ref="M48:M58" si="24">IF(AND(ISNUMBER(B48),ISNUMBER(C48),B48&gt;0,C48&gt;0),A48*(B48*C48/1000000),0)</f>
        <v>0.21759999999999999</v>
      </c>
      <c r="N48" s="18">
        <f t="shared" ref="N48:N58" si="25">IF(AND(ISNUMBER(B48),B48&gt;0),A48*(((G48+H48)*B48+(I48+J48)*C48)/1000),0)</f>
        <v>2</v>
      </c>
      <c r="O48" s="19">
        <f>IF(E48="HERRAJE",IFERROR(_xlfn.XLOOKUP(D48,'⚙️ Configuración Costos'!$A$11:$A$20,'⚙️ Configuración Costos'!$B$11:$B$20),""),IFERROR(_xlfn.XLOOKUP(E48,'⚙️ Configuración Costos'!$A$5:$A$6,'⚙️ Configuración Costos'!$B$5:$B$6),""))</f>
        <v>239.8426229508197</v>
      </c>
      <c r="P48" s="19">
        <f t="shared" ref="P48:P58" si="26">IF(E48="HERRAJE",A48*O48,M48*O48)</f>
        <v>52.189754754098367</v>
      </c>
      <c r="Q48" s="19">
        <f>IF(E48="HERRAJE",0,IFERROR(_xlfn.XLOOKUP(E48,'⚙️ Configuración Costos'!$E$5:$E$6,'⚙️ Configuración Costos'!$F$5:$F$6),""))</f>
        <v>6</v>
      </c>
      <c r="R48" s="19">
        <f t="shared" ref="R48:R58" si="27">N48*Q48</f>
        <v>12</v>
      </c>
      <c r="S48" s="37">
        <f t="shared" ref="S48:S58" si="28">P48+R48</f>
        <v>64.189754754098374</v>
      </c>
      <c r="T48" s="94" t="str">
        <f t="shared" ref="T48:T58" si="29">IF(K48="","SIN ID MÓDULO",IF(E48="HERRAJE",IF(OR(O48="",O48&lt;=0),"SIN PRECIO HERRAJE","OK"),IF(OR(O48="",O48&lt;=0),"SIN PRECIO MATERIAL",IF(AND(N48&gt;0,OR(Q48="",Q48&lt;=0)),"SIN PRECIO CINTILLA","OK"))))</f>
        <v>OK</v>
      </c>
      <c r="U48" s="95" t="str">
        <f t="shared" ref="U48:U58" si="30">IF(T48="OK","",IF(T48="SIN PRECIO HERRAJE","Capturar precio: "&amp;D48,IF(T48="SIN PRECIO MATERIAL","Configurar material: "&amp;E48,IF(T48="SIN PRECIO CINTILLA","Configurar cintilla: "&amp;E48,IF(T48="SIN ID MÓDULO","Revisar ID del módulo","")))))</f>
        <v/>
      </c>
      <c r="V48" s="96">
        <f t="shared" ref="V48:V58" si="31">IF(T48="OK",0,IF(T48="",0,1))</f>
        <v>0</v>
      </c>
    </row>
    <row r="49" spans="1:22" x14ac:dyDescent="0.2">
      <c r="A49" s="35">
        <v>1</v>
      </c>
      <c r="B49" s="6">
        <v>680</v>
      </c>
      <c r="C49" s="6">
        <v>320</v>
      </c>
      <c r="D49" s="7" t="s">
        <v>66</v>
      </c>
      <c r="E49" s="7" t="s">
        <v>64</v>
      </c>
      <c r="F49" s="8">
        <v>0</v>
      </c>
      <c r="G49" s="8">
        <v>1</v>
      </c>
      <c r="H49" s="8">
        <v>1</v>
      </c>
      <c r="I49" s="8">
        <v>1</v>
      </c>
      <c r="J49" s="8">
        <v>1</v>
      </c>
      <c r="K49" s="9" t="s">
        <v>6</v>
      </c>
      <c r="L49" s="47" t="s">
        <v>67</v>
      </c>
      <c r="M49" s="10">
        <f t="shared" si="24"/>
        <v>0.21759999999999999</v>
      </c>
      <c r="N49" s="11">
        <f t="shared" si="25"/>
        <v>2</v>
      </c>
      <c r="O49" s="12">
        <f>IF(E49="HERRAJE",IFERROR(_xlfn.XLOOKUP(D49,'⚙️ Configuración Costos'!$A$11:$A$20,'⚙️ Configuración Costos'!$B$11:$B$20),""),IFERROR(_xlfn.XLOOKUP(E49,'⚙️ Configuración Costos'!$A$5:$A$6,'⚙️ Configuración Costos'!$B$5:$B$6),""))</f>
        <v>239.8426229508197</v>
      </c>
      <c r="P49" s="12">
        <f t="shared" si="26"/>
        <v>52.189754754098367</v>
      </c>
      <c r="Q49" s="12">
        <f>IF(E49="HERRAJE",0,IFERROR(_xlfn.XLOOKUP(E49,'⚙️ Configuración Costos'!$E$5:$E$6,'⚙️ Configuración Costos'!$F$5:$F$6),""))</f>
        <v>6</v>
      </c>
      <c r="R49" s="12">
        <f t="shared" si="27"/>
        <v>12</v>
      </c>
      <c r="S49" s="38">
        <f t="shared" si="28"/>
        <v>64.189754754098374</v>
      </c>
      <c r="T49" s="94" t="str">
        <f t="shared" si="29"/>
        <v>OK</v>
      </c>
      <c r="U49" s="95" t="str">
        <f t="shared" si="30"/>
        <v/>
      </c>
      <c r="V49" s="96">
        <f t="shared" si="31"/>
        <v>0</v>
      </c>
    </row>
    <row r="50" spans="1:22" x14ac:dyDescent="0.2">
      <c r="A50" s="35">
        <v>1</v>
      </c>
      <c r="B50" s="6">
        <v>649</v>
      </c>
      <c r="C50" s="6">
        <v>469</v>
      </c>
      <c r="D50" s="7" t="s">
        <v>68</v>
      </c>
      <c r="E50" s="7" t="s">
        <v>64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9" t="s">
        <v>6</v>
      </c>
      <c r="L50" s="47" t="s">
        <v>113</v>
      </c>
      <c r="M50" s="10">
        <f t="shared" si="24"/>
        <v>0.30438100000000001</v>
      </c>
      <c r="N50" s="11">
        <f t="shared" si="25"/>
        <v>0</v>
      </c>
      <c r="O50" s="12">
        <f>IF(E50="HERRAJE",IFERROR(_xlfn.XLOOKUP(D50,'⚙️ Configuración Costos'!$A$11:$A$20,'⚙️ Configuración Costos'!$B$11:$B$20),""),IFERROR(_xlfn.XLOOKUP(E50,'⚙️ Configuración Costos'!$A$5:$A$6,'⚙️ Configuración Costos'!$B$5:$B$6),""))</f>
        <v>239.8426229508197</v>
      </c>
      <c r="P50" s="12">
        <f t="shared" si="26"/>
        <v>73.003537416393456</v>
      </c>
      <c r="Q50" s="12">
        <f>IF(E50="HERRAJE",0,IFERROR(_xlfn.XLOOKUP(E50,'⚙️ Configuración Costos'!$E$5:$E$6,'⚙️ Configuración Costos'!$F$5:$F$6),""))</f>
        <v>6</v>
      </c>
      <c r="R50" s="12">
        <f t="shared" si="27"/>
        <v>0</v>
      </c>
      <c r="S50" s="38">
        <f t="shared" si="28"/>
        <v>73.003537416393456</v>
      </c>
      <c r="T50" s="94" t="str">
        <f t="shared" si="29"/>
        <v>OK</v>
      </c>
      <c r="U50" s="95" t="str">
        <f t="shared" si="30"/>
        <v/>
      </c>
      <c r="V50" s="96">
        <f t="shared" si="31"/>
        <v>0</v>
      </c>
    </row>
    <row r="51" spans="1:22" x14ac:dyDescent="0.2">
      <c r="A51" s="35">
        <v>1</v>
      </c>
      <c r="B51" s="6">
        <v>469</v>
      </c>
      <c r="C51" s="6">
        <v>320</v>
      </c>
      <c r="D51" s="7" t="s">
        <v>70</v>
      </c>
      <c r="E51" s="7" t="s">
        <v>64</v>
      </c>
      <c r="F51" s="8">
        <v>0</v>
      </c>
      <c r="G51" s="8">
        <v>1</v>
      </c>
      <c r="H51" s="8">
        <v>1</v>
      </c>
      <c r="I51" s="8">
        <v>0</v>
      </c>
      <c r="J51" s="8">
        <v>0</v>
      </c>
      <c r="K51" s="9" t="s">
        <v>6</v>
      </c>
      <c r="L51" s="47" t="s">
        <v>114</v>
      </c>
      <c r="M51" s="10">
        <f t="shared" si="24"/>
        <v>0.15007999999999999</v>
      </c>
      <c r="N51" s="11">
        <f t="shared" si="25"/>
        <v>0.93799999999999994</v>
      </c>
      <c r="O51" s="12">
        <f>IF(E51="HERRAJE",IFERROR(_xlfn.XLOOKUP(D51,'⚙️ Configuración Costos'!$A$11:$A$20,'⚙️ Configuración Costos'!$B$11:$B$20),""),IFERROR(_xlfn.XLOOKUP(E51,'⚙️ Configuración Costos'!$A$5:$A$6,'⚙️ Configuración Costos'!$B$5:$B$6),""))</f>
        <v>239.8426229508197</v>
      </c>
      <c r="P51" s="12">
        <f t="shared" si="26"/>
        <v>35.995580852459021</v>
      </c>
      <c r="Q51" s="12">
        <f>IF(E51="HERRAJE",0,IFERROR(_xlfn.XLOOKUP(E51,'⚙️ Configuración Costos'!$E$5:$E$6,'⚙️ Configuración Costos'!$F$5:$F$6),""))</f>
        <v>6</v>
      </c>
      <c r="R51" s="12">
        <f t="shared" si="27"/>
        <v>5.6280000000000001</v>
      </c>
      <c r="S51" s="38">
        <f t="shared" si="28"/>
        <v>41.623580852459021</v>
      </c>
      <c r="T51" s="94" t="str">
        <f t="shared" si="29"/>
        <v>OK</v>
      </c>
      <c r="U51" s="95" t="str">
        <f t="shared" si="30"/>
        <v/>
      </c>
      <c r="V51" s="96">
        <f t="shared" si="31"/>
        <v>0</v>
      </c>
    </row>
    <row r="52" spans="1:22" x14ac:dyDescent="0.2">
      <c r="A52" s="35">
        <v>1</v>
      </c>
      <c r="B52" s="6">
        <v>469</v>
      </c>
      <c r="C52" s="6">
        <v>320</v>
      </c>
      <c r="D52" s="7" t="s">
        <v>72</v>
      </c>
      <c r="E52" s="7" t="s">
        <v>64</v>
      </c>
      <c r="F52" s="8">
        <v>0</v>
      </c>
      <c r="G52" s="8">
        <v>1</v>
      </c>
      <c r="H52" s="8">
        <v>1</v>
      </c>
      <c r="I52" s="8">
        <v>0</v>
      </c>
      <c r="J52" s="8">
        <v>0</v>
      </c>
      <c r="K52" s="9" t="s">
        <v>6</v>
      </c>
      <c r="L52" s="47" t="s">
        <v>115</v>
      </c>
      <c r="M52" s="10">
        <f t="shared" si="24"/>
        <v>0.15007999999999999</v>
      </c>
      <c r="N52" s="11">
        <f t="shared" si="25"/>
        <v>0.93799999999999994</v>
      </c>
      <c r="O52" s="12">
        <f>IF(E52="HERRAJE",IFERROR(_xlfn.XLOOKUP(D52,'⚙️ Configuración Costos'!$A$11:$A$20,'⚙️ Configuración Costos'!$B$11:$B$20),""),IFERROR(_xlfn.XLOOKUP(E52,'⚙️ Configuración Costos'!$A$5:$A$6,'⚙️ Configuración Costos'!$B$5:$B$6),""))</f>
        <v>239.8426229508197</v>
      </c>
      <c r="P52" s="12">
        <f t="shared" si="26"/>
        <v>35.995580852459021</v>
      </c>
      <c r="Q52" s="12">
        <f>IF(E52="HERRAJE",0,IFERROR(_xlfn.XLOOKUP(E52,'⚙️ Configuración Costos'!$E$5:$E$6,'⚙️ Configuración Costos'!$F$5:$F$6),""))</f>
        <v>6</v>
      </c>
      <c r="R52" s="12">
        <f t="shared" si="27"/>
        <v>5.6280000000000001</v>
      </c>
      <c r="S52" s="38">
        <f t="shared" si="28"/>
        <v>41.623580852459021</v>
      </c>
      <c r="T52" s="94" t="str">
        <f t="shared" si="29"/>
        <v>OK</v>
      </c>
      <c r="U52" s="95" t="str">
        <f t="shared" si="30"/>
        <v/>
      </c>
      <c r="V52" s="96">
        <f t="shared" si="31"/>
        <v>0</v>
      </c>
    </row>
    <row r="53" spans="1:22" x14ac:dyDescent="0.2">
      <c r="A53" s="35">
        <v>1</v>
      </c>
      <c r="B53" s="6">
        <v>469</v>
      </c>
      <c r="C53" s="6">
        <v>256</v>
      </c>
      <c r="D53" s="7" t="s">
        <v>76</v>
      </c>
      <c r="E53" s="7" t="s">
        <v>64</v>
      </c>
      <c r="F53" s="8">
        <v>0</v>
      </c>
      <c r="G53" s="8">
        <v>1</v>
      </c>
      <c r="H53" s="8">
        <v>1</v>
      </c>
      <c r="I53" s="8">
        <v>0</v>
      </c>
      <c r="J53" s="8">
        <v>0</v>
      </c>
      <c r="K53" s="9" t="s">
        <v>6</v>
      </c>
      <c r="L53" s="47" t="s">
        <v>116</v>
      </c>
      <c r="M53" s="10">
        <f t="shared" si="24"/>
        <v>0.120064</v>
      </c>
      <c r="N53" s="11">
        <f t="shared" si="25"/>
        <v>0.93799999999999994</v>
      </c>
      <c r="O53" s="12">
        <f>IF(E53="HERRAJE",IFERROR(_xlfn.XLOOKUP(D53,'⚙️ Configuración Costos'!$A$11:$A$20,'⚙️ Configuración Costos'!$B$11:$B$20),""),IFERROR(_xlfn.XLOOKUP(E53,'⚙️ Configuración Costos'!$A$5:$A$6,'⚙️ Configuración Costos'!$B$5:$B$6),""))</f>
        <v>239.8426229508197</v>
      </c>
      <c r="P53" s="12">
        <f t="shared" si="26"/>
        <v>28.796464681967219</v>
      </c>
      <c r="Q53" s="12">
        <f>IF(E53="HERRAJE",0,IFERROR(_xlfn.XLOOKUP(E53,'⚙️ Configuración Costos'!$E$5:$E$6,'⚙️ Configuración Costos'!$F$5:$F$6),""))</f>
        <v>6</v>
      </c>
      <c r="R53" s="12">
        <f t="shared" si="27"/>
        <v>5.6280000000000001</v>
      </c>
      <c r="S53" s="38">
        <f t="shared" si="28"/>
        <v>34.424464681967223</v>
      </c>
      <c r="T53" s="94" t="str">
        <f t="shared" si="29"/>
        <v>OK</v>
      </c>
      <c r="U53" s="95" t="str">
        <f t="shared" si="30"/>
        <v/>
      </c>
      <c r="V53" s="96">
        <f t="shared" si="31"/>
        <v>0</v>
      </c>
    </row>
    <row r="54" spans="1:22" x14ac:dyDescent="0.2">
      <c r="A54" s="35">
        <v>1</v>
      </c>
      <c r="B54" s="6">
        <v>677</v>
      </c>
      <c r="C54" s="6">
        <v>497</v>
      </c>
      <c r="D54" s="7" t="s">
        <v>84</v>
      </c>
      <c r="E54" s="7" t="s">
        <v>85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9" t="s">
        <v>6</v>
      </c>
      <c r="L54" s="47" t="s">
        <v>117</v>
      </c>
      <c r="M54" s="10">
        <f t="shared" si="24"/>
        <v>0.33646900000000002</v>
      </c>
      <c r="N54" s="11">
        <f t="shared" si="25"/>
        <v>2.3479999999999999</v>
      </c>
      <c r="O54" s="12">
        <f>IF(E54="HERRAJE",IFERROR(_xlfn.XLOOKUP(D54,'⚙️ Configuración Costos'!$A$11:$A$20,'⚙️ Configuración Costos'!$B$11:$B$20),""),IFERROR(_xlfn.XLOOKUP(E54,'⚙️ Configuración Costos'!$A$5:$A$6,'⚙️ Configuración Costos'!$B$5:$B$6),""))</f>
        <v>332.85245901639348</v>
      </c>
      <c r="P54" s="12">
        <f t="shared" si="26"/>
        <v>111.9945340327869</v>
      </c>
      <c r="Q54" s="12">
        <f>IF(E54="HERRAJE",0,IFERROR(_xlfn.XLOOKUP(E54,'⚙️ Configuración Costos'!$E$5:$E$6,'⚙️ Configuración Costos'!$F$5:$F$6),""))</f>
        <v>9.5</v>
      </c>
      <c r="R54" s="12">
        <f t="shared" si="27"/>
        <v>22.305999999999997</v>
      </c>
      <c r="S54" s="38">
        <f t="shared" si="28"/>
        <v>134.30053403278691</v>
      </c>
      <c r="T54" s="94" t="str">
        <f t="shared" si="29"/>
        <v>OK</v>
      </c>
      <c r="U54" s="95" t="str">
        <f t="shared" si="30"/>
        <v/>
      </c>
      <c r="V54" s="96">
        <f t="shared" si="31"/>
        <v>0</v>
      </c>
    </row>
    <row r="55" spans="1:22" x14ac:dyDescent="0.2">
      <c r="A55" s="35">
        <v>2</v>
      </c>
      <c r="B55" s="6">
        <v>0</v>
      </c>
      <c r="C55" s="6">
        <v>0</v>
      </c>
      <c r="D55" s="7" t="s">
        <v>90</v>
      </c>
      <c r="E55" s="7" t="s">
        <v>91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9" t="s">
        <v>6</v>
      </c>
      <c r="L55" s="47" t="s">
        <v>92</v>
      </c>
      <c r="M55" s="10">
        <f t="shared" si="24"/>
        <v>0</v>
      </c>
      <c r="N55" s="11">
        <f t="shared" si="25"/>
        <v>0</v>
      </c>
      <c r="O55" s="12">
        <f>IF(E55="HERRAJE",IFERROR(_xlfn.XLOOKUP(D55,'⚙️ Configuración Costos'!$A$11:$A$20,'⚙️ Configuración Costos'!$B$11:$B$20),""),IFERROR(_xlfn.XLOOKUP(E55,'⚙️ Configuración Costos'!$A$5:$A$6,'⚙️ Configuración Costos'!$B$5:$B$6),""))</f>
        <v>20</v>
      </c>
      <c r="P55" s="12">
        <f t="shared" si="26"/>
        <v>40</v>
      </c>
      <c r="Q55" s="12">
        <f>IF(E55="HERRAJE",0,IFERROR(_xlfn.XLOOKUP(E55,'⚙️ Configuración Costos'!$E$5:$E$6,'⚙️ Configuración Costos'!$F$5:$F$6),""))</f>
        <v>0</v>
      </c>
      <c r="R55" s="12">
        <f t="shared" si="27"/>
        <v>0</v>
      </c>
      <c r="S55" s="38">
        <f t="shared" si="28"/>
        <v>40</v>
      </c>
      <c r="T55" s="94" t="str">
        <f t="shared" si="29"/>
        <v>OK</v>
      </c>
      <c r="U55" s="95" t="str">
        <f t="shared" si="30"/>
        <v/>
      </c>
      <c r="V55" s="96">
        <f t="shared" si="31"/>
        <v>0</v>
      </c>
    </row>
    <row r="56" spans="1:22" x14ac:dyDescent="0.2">
      <c r="A56" s="35">
        <v>1</v>
      </c>
      <c r="B56" s="6">
        <v>0</v>
      </c>
      <c r="C56" s="6">
        <v>0</v>
      </c>
      <c r="D56" s="7" t="s">
        <v>93</v>
      </c>
      <c r="E56" s="7" t="s">
        <v>91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" t="s">
        <v>6</v>
      </c>
      <c r="L56" s="47" t="s">
        <v>94</v>
      </c>
      <c r="M56" s="10">
        <f t="shared" si="24"/>
        <v>0</v>
      </c>
      <c r="N56" s="11">
        <f t="shared" si="25"/>
        <v>0</v>
      </c>
      <c r="O56" s="12">
        <f>IF(E56="HERRAJE",IFERROR(_xlfn.XLOOKUP(D56,'⚙️ Configuración Costos'!$A$11:$A$20,'⚙️ Configuración Costos'!$B$11:$B$20),""),IFERROR(_xlfn.XLOOKUP(E56,'⚙️ Configuración Costos'!$A$5:$A$6,'⚙️ Configuración Costos'!$B$5:$B$6),""))</f>
        <v>15</v>
      </c>
      <c r="P56" s="12">
        <f t="shared" si="26"/>
        <v>15</v>
      </c>
      <c r="Q56" s="12">
        <f>IF(E56="HERRAJE",0,IFERROR(_xlfn.XLOOKUP(E56,'⚙️ Configuración Costos'!$E$5:$E$6,'⚙️ Configuración Costos'!$F$5:$F$6),""))</f>
        <v>0</v>
      </c>
      <c r="R56" s="12">
        <f t="shared" si="27"/>
        <v>0</v>
      </c>
      <c r="S56" s="38">
        <f t="shared" si="28"/>
        <v>15</v>
      </c>
      <c r="T56" s="94" t="str">
        <f t="shared" si="29"/>
        <v>OK</v>
      </c>
      <c r="U56" s="95" t="str">
        <f t="shared" si="30"/>
        <v/>
      </c>
      <c r="V56" s="96">
        <f t="shared" si="31"/>
        <v>0</v>
      </c>
    </row>
    <row r="57" spans="1:22" x14ac:dyDescent="0.2">
      <c r="A57" s="35">
        <v>4</v>
      </c>
      <c r="B57" s="6">
        <v>0</v>
      </c>
      <c r="C57" s="6">
        <v>0</v>
      </c>
      <c r="D57" s="7" t="s">
        <v>95</v>
      </c>
      <c r="E57" s="7" t="s">
        <v>91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" t="s">
        <v>6</v>
      </c>
      <c r="L57" s="47" t="s">
        <v>96</v>
      </c>
      <c r="M57" s="10">
        <f t="shared" si="24"/>
        <v>0</v>
      </c>
      <c r="N57" s="11">
        <f t="shared" si="25"/>
        <v>0</v>
      </c>
      <c r="O57" s="12">
        <f>IF(E57="HERRAJE",IFERROR(_xlfn.XLOOKUP(D57,'⚙️ Configuración Costos'!$A$11:$A$20,'⚙️ Configuración Costos'!$B$11:$B$20),""),IFERROR(_xlfn.XLOOKUP(E57,'⚙️ Configuración Costos'!$A$5:$A$6,'⚙️ Configuración Costos'!$B$5:$B$6),""))</f>
        <v>2</v>
      </c>
      <c r="P57" s="12">
        <f t="shared" si="26"/>
        <v>8</v>
      </c>
      <c r="Q57" s="12">
        <f>IF(E57="HERRAJE",0,IFERROR(_xlfn.XLOOKUP(E57,'⚙️ Configuración Costos'!$E$5:$E$6,'⚙️ Configuración Costos'!$F$5:$F$6),""))</f>
        <v>0</v>
      </c>
      <c r="R57" s="12">
        <f t="shared" si="27"/>
        <v>0</v>
      </c>
      <c r="S57" s="38">
        <f t="shared" si="28"/>
        <v>8</v>
      </c>
      <c r="T57" s="94" t="str">
        <f t="shared" si="29"/>
        <v>OK</v>
      </c>
      <c r="U57" s="95" t="str">
        <f t="shared" si="30"/>
        <v/>
      </c>
      <c r="V57" s="96">
        <f t="shared" si="31"/>
        <v>0</v>
      </c>
    </row>
    <row r="58" spans="1:22" x14ac:dyDescent="0.2">
      <c r="A58" s="36">
        <v>24</v>
      </c>
      <c r="B58" s="20">
        <v>0</v>
      </c>
      <c r="C58" s="20">
        <v>0</v>
      </c>
      <c r="D58" s="21" t="s">
        <v>97</v>
      </c>
      <c r="E58" s="21" t="s">
        <v>91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3" t="s">
        <v>6</v>
      </c>
      <c r="L58" s="48" t="s">
        <v>98</v>
      </c>
      <c r="M58" s="24">
        <f t="shared" si="24"/>
        <v>0</v>
      </c>
      <c r="N58" s="25">
        <f t="shared" si="25"/>
        <v>0</v>
      </c>
      <c r="O58" s="26">
        <f>IF(E58="HERRAJE",IFERROR(_xlfn.XLOOKUP(D58,'⚙️ Configuración Costos'!$A$11:$A$20,'⚙️ Configuración Costos'!$B$11:$B$20),""),IFERROR(_xlfn.XLOOKUP(E58,'⚙️ Configuración Costos'!$A$5:$A$6,'⚙️ Configuración Costos'!$B$5:$B$6),""))</f>
        <v>1.5</v>
      </c>
      <c r="P58" s="26">
        <f t="shared" si="26"/>
        <v>36</v>
      </c>
      <c r="Q58" s="26">
        <f>IF(E58="HERRAJE",0,IFERROR(_xlfn.XLOOKUP(E58,'⚙️ Configuración Costos'!$E$5:$E$6,'⚙️ Configuración Costos'!$F$5:$F$6),""))</f>
        <v>0</v>
      </c>
      <c r="R58" s="26">
        <f t="shared" si="27"/>
        <v>0</v>
      </c>
      <c r="S58" s="39">
        <f t="shared" si="28"/>
        <v>36</v>
      </c>
      <c r="T58" s="94" t="str">
        <f t="shared" si="29"/>
        <v>OK</v>
      </c>
      <c r="U58" s="95" t="str">
        <f t="shared" si="30"/>
        <v/>
      </c>
      <c r="V58" s="96">
        <f t="shared" si="31"/>
        <v>0</v>
      </c>
    </row>
    <row r="59" spans="1:22" x14ac:dyDescent="0.2">
      <c r="A59" s="27" t="s">
        <v>99</v>
      </c>
      <c r="B59" s="27"/>
      <c r="C59" s="27"/>
      <c r="D59" s="28"/>
      <c r="E59" s="28"/>
      <c r="F59" s="29"/>
      <c r="G59" s="29"/>
      <c r="H59" s="29"/>
      <c r="I59" s="29"/>
      <c r="J59" s="29"/>
      <c r="K59" s="30"/>
      <c r="L59" s="49"/>
      <c r="M59" s="31">
        <f>SUM(M48:M58)</f>
        <v>1.4962740000000001</v>
      </c>
      <c r="N59" s="32">
        <f>SUM(N48:N58)</f>
        <v>9.161999999999999</v>
      </c>
      <c r="O59" s="33"/>
      <c r="P59" s="33">
        <f>SUM(P48:P58)</f>
        <v>489.1652073442624</v>
      </c>
      <c r="Q59" s="33"/>
      <c r="R59" s="33">
        <f>SUM(R48:R58)</f>
        <v>63.19</v>
      </c>
      <c r="S59" s="33">
        <f>SUM(S48:S58)</f>
        <v>552.35520734426234</v>
      </c>
      <c r="T59" s="97"/>
      <c r="U59" s="98"/>
      <c r="V59" s="99"/>
    </row>
    <row r="60" spans="1:22" x14ac:dyDescent="0.2">
      <c r="A60" s="186" t="s">
        <v>118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8"/>
      <c r="T60" s="97"/>
      <c r="U60" s="98"/>
      <c r="V60" s="99"/>
    </row>
    <row r="61" spans="1:22" x14ac:dyDescent="0.2">
      <c r="A61" s="34">
        <v>1</v>
      </c>
      <c r="B61" s="13">
        <v>680</v>
      </c>
      <c r="C61" s="13">
        <v>320</v>
      </c>
      <c r="D61" s="14" t="s">
        <v>63</v>
      </c>
      <c r="E61" s="14" t="s">
        <v>64</v>
      </c>
      <c r="F61" s="15">
        <v>0</v>
      </c>
      <c r="G61" s="15">
        <v>1</v>
      </c>
      <c r="H61" s="15">
        <v>1</v>
      </c>
      <c r="I61" s="15">
        <v>1</v>
      </c>
      <c r="J61" s="15">
        <v>1</v>
      </c>
      <c r="K61" s="16" t="s">
        <v>7</v>
      </c>
      <c r="L61" s="46" t="s">
        <v>65</v>
      </c>
      <c r="M61" s="17">
        <f t="shared" ref="M61:M71" si="32">IF(AND(ISNUMBER(B61),ISNUMBER(C61),B61&gt;0,C61&gt;0),A61*(B61*C61/1000000),0)</f>
        <v>0.21759999999999999</v>
      </c>
      <c r="N61" s="18">
        <f t="shared" ref="N61:N71" si="33">IF(AND(ISNUMBER(B61),B61&gt;0),A61*(((G61+H61)*B61+(I61+J61)*C61)/1000),0)</f>
        <v>2</v>
      </c>
      <c r="O61" s="19">
        <f>IF(E61="HERRAJE",IFERROR(_xlfn.XLOOKUP(D61,'⚙️ Configuración Costos'!$A$11:$A$20,'⚙️ Configuración Costos'!$B$11:$B$20),""),IFERROR(_xlfn.XLOOKUP(E61,'⚙️ Configuración Costos'!$A$5:$A$6,'⚙️ Configuración Costos'!$B$5:$B$6),""))</f>
        <v>239.8426229508197</v>
      </c>
      <c r="P61" s="19">
        <f t="shared" ref="P61:P71" si="34">IF(E61="HERRAJE",A61*O61,M61*O61)</f>
        <v>52.189754754098367</v>
      </c>
      <c r="Q61" s="19">
        <f>IF(E61="HERRAJE",0,IFERROR(_xlfn.XLOOKUP(E61,'⚙️ Configuración Costos'!$E$5:$E$6,'⚙️ Configuración Costos'!$F$5:$F$6),""))</f>
        <v>6</v>
      </c>
      <c r="R61" s="19">
        <f t="shared" ref="R61:R71" si="35">N61*Q61</f>
        <v>12</v>
      </c>
      <c r="S61" s="37">
        <f t="shared" ref="S61:S71" si="36">P61+R61</f>
        <v>64.189754754098374</v>
      </c>
      <c r="T61" s="94" t="str">
        <f t="shared" ref="T61:T71" si="37">IF(K61="","SIN ID MÓDULO",IF(E61="HERRAJE",IF(OR(O61="",O61&lt;=0),"SIN PRECIO HERRAJE","OK"),IF(OR(O61="",O61&lt;=0),"SIN PRECIO MATERIAL",IF(AND(N61&gt;0,OR(Q61="",Q61&lt;=0)),"SIN PRECIO CINTILLA","OK"))))</f>
        <v>OK</v>
      </c>
      <c r="U61" s="95" t="str">
        <f t="shared" ref="U61:U71" si="38">IF(T61="OK","",IF(T61="SIN PRECIO HERRAJE","Capturar precio: "&amp;D61,IF(T61="SIN PRECIO MATERIAL","Configurar material: "&amp;E61,IF(T61="SIN PRECIO CINTILLA","Configurar cintilla: "&amp;E61,IF(T61="SIN ID MÓDULO","Revisar ID del módulo","")))))</f>
        <v/>
      </c>
      <c r="V61" s="96">
        <f t="shared" ref="V61:V71" si="39">IF(T61="OK",0,IF(T61="",0,1))</f>
        <v>0</v>
      </c>
    </row>
    <row r="62" spans="1:22" x14ac:dyDescent="0.2">
      <c r="A62" s="35">
        <v>1</v>
      </c>
      <c r="B62" s="6">
        <v>680</v>
      </c>
      <c r="C62" s="6">
        <v>320</v>
      </c>
      <c r="D62" s="7" t="s">
        <v>66</v>
      </c>
      <c r="E62" s="7" t="s">
        <v>64</v>
      </c>
      <c r="F62" s="8">
        <v>0</v>
      </c>
      <c r="G62" s="8">
        <v>1</v>
      </c>
      <c r="H62" s="8">
        <v>1</v>
      </c>
      <c r="I62" s="8">
        <v>1</v>
      </c>
      <c r="J62" s="8">
        <v>1</v>
      </c>
      <c r="K62" s="9" t="s">
        <v>7</v>
      </c>
      <c r="L62" s="47" t="s">
        <v>67</v>
      </c>
      <c r="M62" s="10">
        <f t="shared" si="32"/>
        <v>0.21759999999999999</v>
      </c>
      <c r="N62" s="11">
        <f t="shared" si="33"/>
        <v>2</v>
      </c>
      <c r="O62" s="12">
        <f>IF(E62="HERRAJE",IFERROR(_xlfn.XLOOKUP(D62,'⚙️ Configuración Costos'!$A$11:$A$20,'⚙️ Configuración Costos'!$B$11:$B$20),""),IFERROR(_xlfn.XLOOKUP(E62,'⚙️ Configuración Costos'!$A$5:$A$6,'⚙️ Configuración Costos'!$B$5:$B$6),""))</f>
        <v>239.8426229508197</v>
      </c>
      <c r="P62" s="12">
        <f t="shared" si="34"/>
        <v>52.189754754098367</v>
      </c>
      <c r="Q62" s="12">
        <f>IF(E62="HERRAJE",0,IFERROR(_xlfn.XLOOKUP(E62,'⚙️ Configuración Costos'!$E$5:$E$6,'⚙️ Configuración Costos'!$F$5:$F$6),""))</f>
        <v>6</v>
      </c>
      <c r="R62" s="12">
        <f t="shared" si="35"/>
        <v>12</v>
      </c>
      <c r="S62" s="38">
        <f t="shared" si="36"/>
        <v>64.189754754098374</v>
      </c>
      <c r="T62" s="94" t="str">
        <f t="shared" si="37"/>
        <v>OK</v>
      </c>
      <c r="U62" s="95" t="str">
        <f t="shared" si="38"/>
        <v/>
      </c>
      <c r="V62" s="96">
        <f t="shared" si="39"/>
        <v>0</v>
      </c>
    </row>
    <row r="63" spans="1:22" x14ac:dyDescent="0.2">
      <c r="A63" s="35">
        <v>1</v>
      </c>
      <c r="B63" s="6">
        <v>649</v>
      </c>
      <c r="C63" s="6">
        <v>569</v>
      </c>
      <c r="D63" s="7" t="s">
        <v>68</v>
      </c>
      <c r="E63" s="7" t="s">
        <v>64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9" t="s">
        <v>7</v>
      </c>
      <c r="L63" s="47" t="s">
        <v>119</v>
      </c>
      <c r="M63" s="10">
        <f t="shared" si="32"/>
        <v>0.36928100000000003</v>
      </c>
      <c r="N63" s="11">
        <f t="shared" si="33"/>
        <v>0</v>
      </c>
      <c r="O63" s="12">
        <f>IF(E63="HERRAJE",IFERROR(_xlfn.XLOOKUP(D63,'⚙️ Configuración Costos'!$A$11:$A$20,'⚙️ Configuración Costos'!$B$11:$B$20),""),IFERROR(_xlfn.XLOOKUP(E63,'⚙️ Configuración Costos'!$A$5:$A$6,'⚙️ Configuración Costos'!$B$5:$B$6),""))</f>
        <v>239.8426229508197</v>
      </c>
      <c r="P63" s="12">
        <f t="shared" si="34"/>
        <v>88.569323645901662</v>
      </c>
      <c r="Q63" s="12">
        <f>IF(E63="HERRAJE",0,IFERROR(_xlfn.XLOOKUP(E63,'⚙️ Configuración Costos'!$E$5:$E$6,'⚙️ Configuración Costos'!$F$5:$F$6),""))</f>
        <v>6</v>
      </c>
      <c r="R63" s="12">
        <f t="shared" si="35"/>
        <v>0</v>
      </c>
      <c r="S63" s="38">
        <f t="shared" si="36"/>
        <v>88.569323645901662</v>
      </c>
      <c r="T63" s="94" t="str">
        <f t="shared" si="37"/>
        <v>OK</v>
      </c>
      <c r="U63" s="95" t="str">
        <f t="shared" si="38"/>
        <v/>
      </c>
      <c r="V63" s="96">
        <f t="shared" si="39"/>
        <v>0</v>
      </c>
    </row>
    <row r="64" spans="1:22" x14ac:dyDescent="0.2">
      <c r="A64" s="35">
        <v>1</v>
      </c>
      <c r="B64" s="6">
        <v>569</v>
      </c>
      <c r="C64" s="6">
        <v>320</v>
      </c>
      <c r="D64" s="7" t="s">
        <v>70</v>
      </c>
      <c r="E64" s="7" t="s">
        <v>64</v>
      </c>
      <c r="F64" s="8">
        <v>0</v>
      </c>
      <c r="G64" s="8">
        <v>1</v>
      </c>
      <c r="H64" s="8">
        <v>1</v>
      </c>
      <c r="I64" s="8">
        <v>0</v>
      </c>
      <c r="J64" s="8">
        <v>0</v>
      </c>
      <c r="K64" s="9" t="s">
        <v>7</v>
      </c>
      <c r="L64" s="47" t="s">
        <v>120</v>
      </c>
      <c r="M64" s="10">
        <f t="shared" si="32"/>
        <v>0.18207999999999999</v>
      </c>
      <c r="N64" s="11">
        <f t="shared" si="33"/>
        <v>1.1379999999999999</v>
      </c>
      <c r="O64" s="12">
        <f>IF(E64="HERRAJE",IFERROR(_xlfn.XLOOKUP(D64,'⚙️ Configuración Costos'!$A$11:$A$20,'⚙️ Configuración Costos'!$B$11:$B$20),""),IFERROR(_xlfn.XLOOKUP(E64,'⚙️ Configuración Costos'!$A$5:$A$6,'⚙️ Configuración Costos'!$B$5:$B$6),""))</f>
        <v>239.8426229508197</v>
      </c>
      <c r="P64" s="12">
        <f t="shared" si="34"/>
        <v>43.670544786885252</v>
      </c>
      <c r="Q64" s="12">
        <f>IF(E64="HERRAJE",0,IFERROR(_xlfn.XLOOKUP(E64,'⚙️ Configuración Costos'!$E$5:$E$6,'⚙️ Configuración Costos'!$F$5:$F$6),""))</f>
        <v>6</v>
      </c>
      <c r="R64" s="12">
        <f t="shared" si="35"/>
        <v>6.8279999999999994</v>
      </c>
      <c r="S64" s="38">
        <f t="shared" si="36"/>
        <v>50.498544786885248</v>
      </c>
      <c r="T64" s="94" t="str">
        <f t="shared" si="37"/>
        <v>OK</v>
      </c>
      <c r="U64" s="95" t="str">
        <f t="shared" si="38"/>
        <v/>
      </c>
      <c r="V64" s="96">
        <f t="shared" si="39"/>
        <v>0</v>
      </c>
    </row>
    <row r="65" spans="1:22" x14ac:dyDescent="0.2">
      <c r="A65" s="35">
        <v>1</v>
      </c>
      <c r="B65" s="6">
        <v>569</v>
      </c>
      <c r="C65" s="6">
        <v>320</v>
      </c>
      <c r="D65" s="7" t="s">
        <v>72</v>
      </c>
      <c r="E65" s="7" t="s">
        <v>64</v>
      </c>
      <c r="F65" s="8">
        <v>0</v>
      </c>
      <c r="G65" s="8">
        <v>1</v>
      </c>
      <c r="H65" s="8">
        <v>1</v>
      </c>
      <c r="I65" s="8">
        <v>0</v>
      </c>
      <c r="J65" s="8">
        <v>0</v>
      </c>
      <c r="K65" s="9" t="s">
        <v>7</v>
      </c>
      <c r="L65" s="47" t="s">
        <v>121</v>
      </c>
      <c r="M65" s="10">
        <f t="shared" si="32"/>
        <v>0.18207999999999999</v>
      </c>
      <c r="N65" s="11">
        <f t="shared" si="33"/>
        <v>1.1379999999999999</v>
      </c>
      <c r="O65" s="12">
        <f>IF(E65="HERRAJE",IFERROR(_xlfn.XLOOKUP(D65,'⚙️ Configuración Costos'!$A$11:$A$20,'⚙️ Configuración Costos'!$B$11:$B$20),""),IFERROR(_xlfn.XLOOKUP(E65,'⚙️ Configuración Costos'!$A$5:$A$6,'⚙️ Configuración Costos'!$B$5:$B$6),""))</f>
        <v>239.8426229508197</v>
      </c>
      <c r="P65" s="12">
        <f t="shared" si="34"/>
        <v>43.670544786885252</v>
      </c>
      <c r="Q65" s="12">
        <f>IF(E65="HERRAJE",0,IFERROR(_xlfn.XLOOKUP(E65,'⚙️ Configuración Costos'!$E$5:$E$6,'⚙️ Configuración Costos'!$F$5:$F$6),""))</f>
        <v>6</v>
      </c>
      <c r="R65" s="12">
        <f t="shared" si="35"/>
        <v>6.8279999999999994</v>
      </c>
      <c r="S65" s="38">
        <f t="shared" si="36"/>
        <v>50.498544786885248</v>
      </c>
      <c r="T65" s="94" t="str">
        <f t="shared" si="37"/>
        <v>OK</v>
      </c>
      <c r="U65" s="95" t="str">
        <f t="shared" si="38"/>
        <v/>
      </c>
      <c r="V65" s="96">
        <f t="shared" si="39"/>
        <v>0</v>
      </c>
    </row>
    <row r="66" spans="1:22" x14ac:dyDescent="0.2">
      <c r="A66" s="35">
        <v>1</v>
      </c>
      <c r="B66" s="6">
        <v>569</v>
      </c>
      <c r="C66" s="6">
        <v>256</v>
      </c>
      <c r="D66" s="7" t="s">
        <v>76</v>
      </c>
      <c r="E66" s="7" t="s">
        <v>64</v>
      </c>
      <c r="F66" s="8">
        <v>0</v>
      </c>
      <c r="G66" s="8">
        <v>1</v>
      </c>
      <c r="H66" s="8">
        <v>1</v>
      </c>
      <c r="I66" s="8">
        <v>0</v>
      </c>
      <c r="J66" s="8">
        <v>0</v>
      </c>
      <c r="K66" s="9" t="s">
        <v>7</v>
      </c>
      <c r="L66" s="47" t="s">
        <v>122</v>
      </c>
      <c r="M66" s="10">
        <f t="shared" si="32"/>
        <v>0.14566399999999999</v>
      </c>
      <c r="N66" s="11">
        <f t="shared" si="33"/>
        <v>1.1379999999999999</v>
      </c>
      <c r="O66" s="12">
        <f>IF(E66="HERRAJE",IFERROR(_xlfn.XLOOKUP(D66,'⚙️ Configuración Costos'!$A$11:$A$20,'⚙️ Configuración Costos'!$B$11:$B$20),""),IFERROR(_xlfn.XLOOKUP(E66,'⚙️ Configuración Costos'!$A$5:$A$6,'⚙️ Configuración Costos'!$B$5:$B$6),""))</f>
        <v>239.8426229508197</v>
      </c>
      <c r="P66" s="12">
        <f t="shared" si="34"/>
        <v>34.936435829508198</v>
      </c>
      <c r="Q66" s="12">
        <f>IF(E66="HERRAJE",0,IFERROR(_xlfn.XLOOKUP(E66,'⚙️ Configuración Costos'!$E$5:$E$6,'⚙️ Configuración Costos'!$F$5:$F$6),""))</f>
        <v>6</v>
      </c>
      <c r="R66" s="12">
        <f t="shared" si="35"/>
        <v>6.8279999999999994</v>
      </c>
      <c r="S66" s="38">
        <f t="shared" si="36"/>
        <v>41.764435829508201</v>
      </c>
      <c r="T66" s="94" t="str">
        <f t="shared" si="37"/>
        <v>OK</v>
      </c>
      <c r="U66" s="95" t="str">
        <f t="shared" si="38"/>
        <v/>
      </c>
      <c r="V66" s="96">
        <f t="shared" si="39"/>
        <v>0</v>
      </c>
    </row>
    <row r="67" spans="1:22" x14ac:dyDescent="0.2">
      <c r="A67" s="35">
        <v>1</v>
      </c>
      <c r="B67" s="6">
        <v>677</v>
      </c>
      <c r="C67" s="6">
        <v>597</v>
      </c>
      <c r="D67" s="7" t="s">
        <v>84</v>
      </c>
      <c r="E67" s="7" t="s">
        <v>85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9" t="s">
        <v>7</v>
      </c>
      <c r="L67" s="47" t="s">
        <v>123</v>
      </c>
      <c r="M67" s="10">
        <f t="shared" si="32"/>
        <v>0.404169</v>
      </c>
      <c r="N67" s="11">
        <f t="shared" si="33"/>
        <v>2.548</v>
      </c>
      <c r="O67" s="12">
        <f>IF(E67="HERRAJE",IFERROR(_xlfn.XLOOKUP(D67,'⚙️ Configuración Costos'!$A$11:$A$20,'⚙️ Configuración Costos'!$B$11:$B$20),""),IFERROR(_xlfn.XLOOKUP(E67,'⚙️ Configuración Costos'!$A$5:$A$6,'⚙️ Configuración Costos'!$B$5:$B$6),""))</f>
        <v>332.85245901639348</v>
      </c>
      <c r="P67" s="12">
        <f t="shared" si="34"/>
        <v>134.52864550819675</v>
      </c>
      <c r="Q67" s="12">
        <f>IF(E67="HERRAJE",0,IFERROR(_xlfn.XLOOKUP(E67,'⚙️ Configuración Costos'!$E$5:$E$6,'⚙️ Configuración Costos'!$F$5:$F$6),""))</f>
        <v>9.5</v>
      </c>
      <c r="R67" s="12">
        <f t="shared" si="35"/>
        <v>24.206</v>
      </c>
      <c r="S67" s="38">
        <f t="shared" si="36"/>
        <v>158.73464550819673</v>
      </c>
      <c r="T67" s="94" t="str">
        <f t="shared" si="37"/>
        <v>OK</v>
      </c>
      <c r="U67" s="95" t="str">
        <f t="shared" si="38"/>
        <v/>
      </c>
      <c r="V67" s="96">
        <f t="shared" si="39"/>
        <v>0</v>
      </c>
    </row>
    <row r="68" spans="1:22" x14ac:dyDescent="0.2">
      <c r="A68" s="35">
        <v>2</v>
      </c>
      <c r="B68" s="6">
        <v>0</v>
      </c>
      <c r="C68" s="6">
        <v>0</v>
      </c>
      <c r="D68" s="7" t="s">
        <v>90</v>
      </c>
      <c r="E68" s="7" t="s">
        <v>91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9" t="s">
        <v>7</v>
      </c>
      <c r="L68" s="47" t="s">
        <v>92</v>
      </c>
      <c r="M68" s="10">
        <f t="shared" si="32"/>
        <v>0</v>
      </c>
      <c r="N68" s="11">
        <f t="shared" si="33"/>
        <v>0</v>
      </c>
      <c r="O68" s="12">
        <f>IF(E68="HERRAJE",IFERROR(_xlfn.XLOOKUP(D68,'⚙️ Configuración Costos'!$A$11:$A$20,'⚙️ Configuración Costos'!$B$11:$B$20),""),IFERROR(_xlfn.XLOOKUP(E68,'⚙️ Configuración Costos'!$A$5:$A$6,'⚙️ Configuración Costos'!$B$5:$B$6),""))</f>
        <v>20</v>
      </c>
      <c r="P68" s="12">
        <f t="shared" si="34"/>
        <v>40</v>
      </c>
      <c r="Q68" s="12">
        <f>IF(E68="HERRAJE",0,IFERROR(_xlfn.XLOOKUP(E68,'⚙️ Configuración Costos'!$E$5:$E$6,'⚙️ Configuración Costos'!$F$5:$F$6),""))</f>
        <v>0</v>
      </c>
      <c r="R68" s="12">
        <f t="shared" si="35"/>
        <v>0</v>
      </c>
      <c r="S68" s="38">
        <f t="shared" si="36"/>
        <v>40</v>
      </c>
      <c r="T68" s="94" t="str">
        <f t="shared" si="37"/>
        <v>OK</v>
      </c>
      <c r="U68" s="95" t="str">
        <f t="shared" si="38"/>
        <v/>
      </c>
      <c r="V68" s="96">
        <f t="shared" si="39"/>
        <v>0</v>
      </c>
    </row>
    <row r="69" spans="1:22" x14ac:dyDescent="0.2">
      <c r="A69" s="35">
        <v>1</v>
      </c>
      <c r="B69" s="6">
        <v>0</v>
      </c>
      <c r="C69" s="6">
        <v>0</v>
      </c>
      <c r="D69" s="7" t="s">
        <v>93</v>
      </c>
      <c r="E69" s="7" t="s">
        <v>91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9" t="s">
        <v>7</v>
      </c>
      <c r="L69" s="47" t="s">
        <v>94</v>
      </c>
      <c r="M69" s="10">
        <f t="shared" si="32"/>
        <v>0</v>
      </c>
      <c r="N69" s="11">
        <f t="shared" si="33"/>
        <v>0</v>
      </c>
      <c r="O69" s="12">
        <f>IF(E69="HERRAJE",IFERROR(_xlfn.XLOOKUP(D69,'⚙️ Configuración Costos'!$A$11:$A$20,'⚙️ Configuración Costos'!$B$11:$B$20),""),IFERROR(_xlfn.XLOOKUP(E69,'⚙️ Configuración Costos'!$A$5:$A$6,'⚙️ Configuración Costos'!$B$5:$B$6),""))</f>
        <v>15</v>
      </c>
      <c r="P69" s="12">
        <f t="shared" si="34"/>
        <v>15</v>
      </c>
      <c r="Q69" s="12">
        <f>IF(E69="HERRAJE",0,IFERROR(_xlfn.XLOOKUP(E69,'⚙️ Configuración Costos'!$E$5:$E$6,'⚙️ Configuración Costos'!$F$5:$F$6),""))</f>
        <v>0</v>
      </c>
      <c r="R69" s="12">
        <f t="shared" si="35"/>
        <v>0</v>
      </c>
      <c r="S69" s="38">
        <f t="shared" si="36"/>
        <v>15</v>
      </c>
      <c r="T69" s="94" t="str">
        <f t="shared" si="37"/>
        <v>OK</v>
      </c>
      <c r="U69" s="95" t="str">
        <f t="shared" si="38"/>
        <v/>
      </c>
      <c r="V69" s="96">
        <f t="shared" si="39"/>
        <v>0</v>
      </c>
    </row>
    <row r="70" spans="1:22" x14ac:dyDescent="0.2">
      <c r="A70" s="35">
        <v>4</v>
      </c>
      <c r="B70" s="6">
        <v>0</v>
      </c>
      <c r="C70" s="6">
        <v>0</v>
      </c>
      <c r="D70" s="7" t="s">
        <v>95</v>
      </c>
      <c r="E70" s="7" t="s">
        <v>91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9" t="s">
        <v>7</v>
      </c>
      <c r="L70" s="47" t="s">
        <v>96</v>
      </c>
      <c r="M70" s="10">
        <f t="shared" si="32"/>
        <v>0</v>
      </c>
      <c r="N70" s="11">
        <f t="shared" si="33"/>
        <v>0</v>
      </c>
      <c r="O70" s="12">
        <f>IF(E70="HERRAJE",IFERROR(_xlfn.XLOOKUP(D70,'⚙️ Configuración Costos'!$A$11:$A$20,'⚙️ Configuración Costos'!$B$11:$B$20),""),IFERROR(_xlfn.XLOOKUP(E70,'⚙️ Configuración Costos'!$A$5:$A$6,'⚙️ Configuración Costos'!$B$5:$B$6),""))</f>
        <v>2</v>
      </c>
      <c r="P70" s="12">
        <f t="shared" si="34"/>
        <v>8</v>
      </c>
      <c r="Q70" s="12">
        <f>IF(E70="HERRAJE",0,IFERROR(_xlfn.XLOOKUP(E70,'⚙️ Configuración Costos'!$E$5:$E$6,'⚙️ Configuración Costos'!$F$5:$F$6),""))</f>
        <v>0</v>
      </c>
      <c r="R70" s="12">
        <f t="shared" si="35"/>
        <v>0</v>
      </c>
      <c r="S70" s="38">
        <f t="shared" si="36"/>
        <v>8</v>
      </c>
      <c r="T70" s="94" t="str">
        <f t="shared" si="37"/>
        <v>OK</v>
      </c>
      <c r="U70" s="95" t="str">
        <f t="shared" si="38"/>
        <v/>
      </c>
      <c r="V70" s="96">
        <f t="shared" si="39"/>
        <v>0</v>
      </c>
    </row>
    <row r="71" spans="1:22" x14ac:dyDescent="0.2">
      <c r="A71" s="36">
        <v>24</v>
      </c>
      <c r="B71" s="20">
        <v>0</v>
      </c>
      <c r="C71" s="20">
        <v>0</v>
      </c>
      <c r="D71" s="21" t="s">
        <v>97</v>
      </c>
      <c r="E71" s="21" t="s">
        <v>91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3" t="s">
        <v>7</v>
      </c>
      <c r="L71" s="48" t="s">
        <v>98</v>
      </c>
      <c r="M71" s="24">
        <f t="shared" si="32"/>
        <v>0</v>
      </c>
      <c r="N71" s="25">
        <f t="shared" si="33"/>
        <v>0</v>
      </c>
      <c r="O71" s="26">
        <f>IF(E71="HERRAJE",IFERROR(_xlfn.XLOOKUP(D71,'⚙️ Configuración Costos'!$A$11:$A$20,'⚙️ Configuración Costos'!$B$11:$B$20),""),IFERROR(_xlfn.XLOOKUP(E71,'⚙️ Configuración Costos'!$A$5:$A$6,'⚙️ Configuración Costos'!$B$5:$B$6),""))</f>
        <v>1.5</v>
      </c>
      <c r="P71" s="26">
        <f t="shared" si="34"/>
        <v>36</v>
      </c>
      <c r="Q71" s="26">
        <f>IF(E71="HERRAJE",0,IFERROR(_xlfn.XLOOKUP(E71,'⚙️ Configuración Costos'!$E$5:$E$6,'⚙️ Configuración Costos'!$F$5:$F$6),""))</f>
        <v>0</v>
      </c>
      <c r="R71" s="26">
        <f t="shared" si="35"/>
        <v>0</v>
      </c>
      <c r="S71" s="39">
        <f t="shared" si="36"/>
        <v>36</v>
      </c>
      <c r="T71" s="94" t="str">
        <f t="shared" si="37"/>
        <v>OK</v>
      </c>
      <c r="U71" s="95" t="str">
        <f t="shared" si="38"/>
        <v/>
      </c>
      <c r="V71" s="96">
        <f t="shared" si="39"/>
        <v>0</v>
      </c>
    </row>
    <row r="72" spans="1:22" x14ac:dyDescent="0.2">
      <c r="A72" s="27" t="s">
        <v>99</v>
      </c>
      <c r="B72" s="27"/>
      <c r="C72" s="27"/>
      <c r="D72" s="28"/>
      <c r="E72" s="28"/>
      <c r="F72" s="29"/>
      <c r="G72" s="29"/>
      <c r="H72" s="29"/>
      <c r="I72" s="29"/>
      <c r="J72" s="29"/>
      <c r="K72" s="30"/>
      <c r="L72" s="49"/>
      <c r="M72" s="31">
        <f>SUM(M61:M71)</f>
        <v>1.7184740000000001</v>
      </c>
      <c r="N72" s="32">
        <f>SUM(N61:N71)</f>
        <v>9.9619999999999997</v>
      </c>
      <c r="O72" s="33"/>
      <c r="P72" s="33">
        <f>SUM(P61:P71)</f>
        <v>548.75500406557376</v>
      </c>
      <c r="Q72" s="33"/>
      <c r="R72" s="33">
        <f>SUM(R61:R71)</f>
        <v>68.69</v>
      </c>
      <c r="S72" s="33">
        <f>SUM(S61:S71)</f>
        <v>617.44500406557381</v>
      </c>
      <c r="T72" s="97"/>
      <c r="U72" s="98"/>
      <c r="V72" s="99"/>
    </row>
    <row r="73" spans="1:22" x14ac:dyDescent="0.2">
      <c r="A73" s="186" t="s">
        <v>124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8"/>
      <c r="T73" s="97"/>
      <c r="U73" s="98"/>
      <c r="V73" s="99"/>
    </row>
    <row r="74" spans="1:22" x14ac:dyDescent="0.2">
      <c r="A74" s="35">
        <v>1</v>
      </c>
      <c r="B74" s="6">
        <v>680</v>
      </c>
      <c r="C74" s="6">
        <v>320</v>
      </c>
      <c r="D74" s="7" t="s">
        <v>63</v>
      </c>
      <c r="E74" s="7" t="s">
        <v>64</v>
      </c>
      <c r="F74" s="8">
        <v>0</v>
      </c>
      <c r="G74" s="8">
        <v>1</v>
      </c>
      <c r="H74" s="8">
        <v>1</v>
      </c>
      <c r="I74" s="8">
        <v>1</v>
      </c>
      <c r="J74" s="8">
        <v>1</v>
      </c>
      <c r="K74" s="9" t="s">
        <v>8</v>
      </c>
      <c r="L74" s="47" t="s">
        <v>65</v>
      </c>
      <c r="M74" s="10">
        <f t="shared" ref="M74:M85" si="40">IF(AND(ISNUMBER(B74),ISNUMBER(C74),B74&gt;0,C74&gt;0),A74*(B74*C74/1000000),0)</f>
        <v>0.21759999999999999</v>
      </c>
      <c r="N74" s="11">
        <f t="shared" ref="N74:N85" si="41">IF(AND(ISNUMBER(B74),B74&gt;0),A74*(((G74+H74)*B74+(I74+J74)*C74)/1000),0)</f>
        <v>2</v>
      </c>
      <c r="O74" s="12">
        <f>IF(E74="HERRAJE",IFERROR(_xlfn.XLOOKUP(D74,'⚙️ Configuración Costos'!$A$11:$A$20,'⚙️ Configuración Costos'!$B$11:$B$20),""),IFERROR(_xlfn.XLOOKUP(E74,'⚙️ Configuración Costos'!$A$5:$A$6,'⚙️ Configuración Costos'!$B$5:$B$6),""))</f>
        <v>239.8426229508197</v>
      </c>
      <c r="P74" s="12">
        <f t="shared" ref="P74:P85" si="42">IF(E74="HERRAJE",A74*O74,M74*O74)</f>
        <v>52.189754754098367</v>
      </c>
      <c r="Q74" s="12">
        <f>IF(E74="HERRAJE",0,IFERROR(_xlfn.XLOOKUP(E74,'⚙️ Configuración Costos'!$E$5:$E$6,'⚙️ Configuración Costos'!$F$5:$F$6),""))</f>
        <v>6</v>
      </c>
      <c r="R74" s="12">
        <f t="shared" ref="R74:R85" si="43">N74*Q74</f>
        <v>12</v>
      </c>
      <c r="S74" s="38">
        <f t="shared" ref="S74:S85" si="44">P74+R74</f>
        <v>64.189754754098374</v>
      </c>
      <c r="T74" s="94" t="str">
        <f t="shared" ref="T74:T85" si="45">IF(K74="","SIN ID MÓDULO",IF(E74="HERRAJE",IF(OR(O74="",O74&lt;=0),"SIN PRECIO HERRAJE","OK"),IF(OR(O74="",O74&lt;=0),"SIN PRECIO MATERIAL",IF(AND(N74&gt;0,OR(Q74="",Q74&lt;=0)),"SIN PRECIO CINTILLA","OK"))))</f>
        <v>OK</v>
      </c>
      <c r="U74" s="95" t="str">
        <f t="shared" ref="U74:U85" si="46">IF(T74="OK","",IF(T74="SIN PRECIO HERRAJE","Capturar precio: "&amp;D74,IF(T74="SIN PRECIO MATERIAL","Configurar material: "&amp;E74,IF(T74="SIN PRECIO CINTILLA","Configurar cintilla: "&amp;E74,IF(T74="SIN ID MÓDULO","Revisar ID del módulo","")))))</f>
        <v/>
      </c>
      <c r="V74" s="96">
        <f t="shared" ref="V74:V85" si="47">IF(T74="OK",0,IF(T74="",0,1))</f>
        <v>0</v>
      </c>
    </row>
    <row r="75" spans="1:22" x14ac:dyDescent="0.2">
      <c r="A75" s="35">
        <v>1</v>
      </c>
      <c r="B75" s="6">
        <v>680</v>
      </c>
      <c r="C75" s="6">
        <v>320</v>
      </c>
      <c r="D75" s="7" t="s">
        <v>66</v>
      </c>
      <c r="E75" s="7" t="s">
        <v>64</v>
      </c>
      <c r="F75" s="8">
        <v>0</v>
      </c>
      <c r="G75" s="8">
        <v>1</v>
      </c>
      <c r="H75" s="8">
        <v>1</v>
      </c>
      <c r="I75" s="8">
        <v>1</v>
      </c>
      <c r="J75" s="8">
        <v>1</v>
      </c>
      <c r="K75" s="9" t="s">
        <v>8</v>
      </c>
      <c r="L75" s="47" t="s">
        <v>67</v>
      </c>
      <c r="M75" s="10">
        <f t="shared" si="40"/>
        <v>0.21759999999999999</v>
      </c>
      <c r="N75" s="11">
        <f t="shared" si="41"/>
        <v>2</v>
      </c>
      <c r="O75" s="12">
        <f>IF(E75="HERRAJE",IFERROR(_xlfn.XLOOKUP(D75,'⚙️ Configuración Costos'!$A$11:$A$20,'⚙️ Configuración Costos'!$B$11:$B$20),""),IFERROR(_xlfn.XLOOKUP(E75,'⚙️ Configuración Costos'!$A$5:$A$6,'⚙️ Configuración Costos'!$B$5:$B$6),""))</f>
        <v>239.8426229508197</v>
      </c>
      <c r="P75" s="12">
        <f t="shared" si="42"/>
        <v>52.189754754098367</v>
      </c>
      <c r="Q75" s="12">
        <f>IF(E75="HERRAJE",0,IFERROR(_xlfn.XLOOKUP(E75,'⚙️ Configuración Costos'!$E$5:$E$6,'⚙️ Configuración Costos'!$F$5:$F$6),""))</f>
        <v>6</v>
      </c>
      <c r="R75" s="12">
        <f t="shared" si="43"/>
        <v>12</v>
      </c>
      <c r="S75" s="38">
        <f t="shared" si="44"/>
        <v>64.189754754098374</v>
      </c>
      <c r="T75" s="94" t="str">
        <f t="shared" si="45"/>
        <v>OK</v>
      </c>
      <c r="U75" s="95" t="str">
        <f t="shared" si="46"/>
        <v/>
      </c>
      <c r="V75" s="96">
        <f t="shared" si="47"/>
        <v>0</v>
      </c>
    </row>
    <row r="76" spans="1:22" x14ac:dyDescent="0.2">
      <c r="A76" s="34">
        <v>1</v>
      </c>
      <c r="B76" s="13">
        <v>669</v>
      </c>
      <c r="C76" s="13">
        <v>649</v>
      </c>
      <c r="D76" s="14" t="s">
        <v>68</v>
      </c>
      <c r="E76" s="14" t="s">
        <v>64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6" t="s">
        <v>8</v>
      </c>
      <c r="L76" s="46" t="s">
        <v>125</v>
      </c>
      <c r="M76" s="17">
        <f t="shared" si="40"/>
        <v>0.43418099999999998</v>
      </c>
      <c r="N76" s="18">
        <f t="shared" si="41"/>
        <v>0</v>
      </c>
      <c r="O76" s="19">
        <f>IF(E76="HERRAJE",IFERROR(_xlfn.XLOOKUP(D76,'⚙️ Configuración Costos'!$A$11:$A$20,'⚙️ Configuración Costos'!$B$11:$B$20),""),IFERROR(_xlfn.XLOOKUP(E76,'⚙️ Configuración Costos'!$A$5:$A$6,'⚙️ Configuración Costos'!$B$5:$B$6),""))</f>
        <v>239.8426229508197</v>
      </c>
      <c r="P76" s="19">
        <f t="shared" si="42"/>
        <v>104.13510987540984</v>
      </c>
      <c r="Q76" s="19">
        <f>IF(E76="HERRAJE",0,IFERROR(_xlfn.XLOOKUP(E76,'⚙️ Configuración Costos'!$E$5:$E$6,'⚙️ Configuración Costos'!$F$5:$F$6),""))</f>
        <v>6</v>
      </c>
      <c r="R76" s="19">
        <f t="shared" si="43"/>
        <v>0</v>
      </c>
      <c r="S76" s="37">
        <f t="shared" si="44"/>
        <v>104.13510987540984</v>
      </c>
      <c r="T76" s="94" t="str">
        <f t="shared" si="45"/>
        <v>OK</v>
      </c>
      <c r="U76" s="95" t="str">
        <f t="shared" si="46"/>
        <v/>
      </c>
      <c r="V76" s="96">
        <f t="shared" si="47"/>
        <v>0</v>
      </c>
    </row>
    <row r="77" spans="1:22" x14ac:dyDescent="0.2">
      <c r="A77" s="35">
        <v>1</v>
      </c>
      <c r="B77" s="6">
        <v>669</v>
      </c>
      <c r="C77" s="6">
        <v>320</v>
      </c>
      <c r="D77" s="7" t="s">
        <v>70</v>
      </c>
      <c r="E77" s="7" t="s">
        <v>64</v>
      </c>
      <c r="F77" s="8">
        <v>0</v>
      </c>
      <c r="G77" s="8">
        <v>1</v>
      </c>
      <c r="H77" s="8">
        <v>1</v>
      </c>
      <c r="I77" s="8">
        <v>0</v>
      </c>
      <c r="J77" s="8">
        <v>0</v>
      </c>
      <c r="K77" s="9" t="s">
        <v>8</v>
      </c>
      <c r="L77" s="47" t="s">
        <v>126</v>
      </c>
      <c r="M77" s="10">
        <f t="shared" si="40"/>
        <v>0.21407999999999999</v>
      </c>
      <c r="N77" s="11">
        <f t="shared" si="41"/>
        <v>1.3380000000000001</v>
      </c>
      <c r="O77" s="12">
        <f>IF(E77="HERRAJE",IFERROR(_xlfn.XLOOKUP(D77,'⚙️ Configuración Costos'!$A$11:$A$20,'⚙️ Configuración Costos'!$B$11:$B$20),""),IFERROR(_xlfn.XLOOKUP(E77,'⚙️ Configuración Costos'!$A$5:$A$6,'⚙️ Configuración Costos'!$B$5:$B$6),""))</f>
        <v>239.8426229508197</v>
      </c>
      <c r="P77" s="12">
        <f t="shared" si="42"/>
        <v>51.345508721311482</v>
      </c>
      <c r="Q77" s="12">
        <f>IF(E77="HERRAJE",0,IFERROR(_xlfn.XLOOKUP(E77,'⚙️ Configuración Costos'!$E$5:$E$6,'⚙️ Configuración Costos'!$F$5:$F$6),""))</f>
        <v>6</v>
      </c>
      <c r="R77" s="12">
        <f t="shared" si="43"/>
        <v>8.0280000000000005</v>
      </c>
      <c r="S77" s="38">
        <f t="shared" si="44"/>
        <v>59.373508721311481</v>
      </c>
      <c r="T77" s="94" t="str">
        <f t="shared" si="45"/>
        <v>OK</v>
      </c>
      <c r="U77" s="95" t="str">
        <f t="shared" si="46"/>
        <v/>
      </c>
      <c r="V77" s="96">
        <f t="shared" si="47"/>
        <v>0</v>
      </c>
    </row>
    <row r="78" spans="1:22" x14ac:dyDescent="0.2">
      <c r="A78" s="35">
        <v>1</v>
      </c>
      <c r="B78" s="6">
        <v>669</v>
      </c>
      <c r="C78" s="6">
        <v>320</v>
      </c>
      <c r="D78" s="7" t="s">
        <v>72</v>
      </c>
      <c r="E78" s="7" t="s">
        <v>64</v>
      </c>
      <c r="F78" s="8">
        <v>0</v>
      </c>
      <c r="G78" s="8">
        <v>1</v>
      </c>
      <c r="H78" s="8">
        <v>1</v>
      </c>
      <c r="I78" s="8">
        <v>0</v>
      </c>
      <c r="J78" s="8">
        <v>0</v>
      </c>
      <c r="K78" s="9" t="s">
        <v>8</v>
      </c>
      <c r="L78" s="47" t="s">
        <v>127</v>
      </c>
      <c r="M78" s="10">
        <f t="shared" si="40"/>
        <v>0.21407999999999999</v>
      </c>
      <c r="N78" s="11">
        <f t="shared" si="41"/>
        <v>1.3380000000000001</v>
      </c>
      <c r="O78" s="12">
        <f>IF(E78="HERRAJE",IFERROR(_xlfn.XLOOKUP(D78,'⚙️ Configuración Costos'!$A$11:$A$20,'⚙️ Configuración Costos'!$B$11:$B$20),""),IFERROR(_xlfn.XLOOKUP(E78,'⚙️ Configuración Costos'!$A$5:$A$6,'⚙️ Configuración Costos'!$B$5:$B$6),""))</f>
        <v>239.8426229508197</v>
      </c>
      <c r="P78" s="12">
        <f t="shared" si="42"/>
        <v>51.345508721311482</v>
      </c>
      <c r="Q78" s="12">
        <f>IF(E78="HERRAJE",0,IFERROR(_xlfn.XLOOKUP(E78,'⚙️ Configuración Costos'!$E$5:$E$6,'⚙️ Configuración Costos'!$F$5:$F$6),""))</f>
        <v>6</v>
      </c>
      <c r="R78" s="12">
        <f t="shared" si="43"/>
        <v>8.0280000000000005</v>
      </c>
      <c r="S78" s="38">
        <f t="shared" si="44"/>
        <v>59.373508721311481</v>
      </c>
      <c r="T78" s="94" t="str">
        <f t="shared" si="45"/>
        <v>OK</v>
      </c>
      <c r="U78" s="95" t="str">
        <f t="shared" si="46"/>
        <v/>
      </c>
      <c r="V78" s="96">
        <f t="shared" si="47"/>
        <v>0</v>
      </c>
    </row>
    <row r="79" spans="1:22" x14ac:dyDescent="0.2">
      <c r="A79" s="35">
        <v>1</v>
      </c>
      <c r="B79" s="6">
        <v>669</v>
      </c>
      <c r="C79" s="6">
        <v>256</v>
      </c>
      <c r="D79" s="7" t="s">
        <v>76</v>
      </c>
      <c r="E79" s="7" t="s">
        <v>64</v>
      </c>
      <c r="F79" s="8">
        <v>0</v>
      </c>
      <c r="G79" s="8">
        <v>1</v>
      </c>
      <c r="H79" s="8">
        <v>1</v>
      </c>
      <c r="I79" s="8">
        <v>0</v>
      </c>
      <c r="J79" s="8">
        <v>0</v>
      </c>
      <c r="K79" s="9" t="s">
        <v>8</v>
      </c>
      <c r="L79" s="47" t="s">
        <v>128</v>
      </c>
      <c r="M79" s="10">
        <f t="shared" si="40"/>
        <v>0.171264</v>
      </c>
      <c r="N79" s="11">
        <f t="shared" si="41"/>
        <v>1.3380000000000001</v>
      </c>
      <c r="O79" s="12">
        <f>IF(E79="HERRAJE",IFERROR(_xlfn.XLOOKUP(D79,'⚙️ Configuración Costos'!$A$11:$A$20,'⚙️ Configuración Costos'!$B$11:$B$20),""),IFERROR(_xlfn.XLOOKUP(E79,'⚙️ Configuración Costos'!$A$5:$A$6,'⚙️ Configuración Costos'!$B$5:$B$6),""))</f>
        <v>239.8426229508197</v>
      </c>
      <c r="P79" s="12">
        <f t="shared" si="42"/>
        <v>41.076406977049189</v>
      </c>
      <c r="Q79" s="12">
        <f>IF(E79="HERRAJE",0,IFERROR(_xlfn.XLOOKUP(E79,'⚙️ Configuración Costos'!$E$5:$E$6,'⚙️ Configuración Costos'!$F$5:$F$6),""))</f>
        <v>6</v>
      </c>
      <c r="R79" s="12">
        <f t="shared" si="43"/>
        <v>8.0280000000000005</v>
      </c>
      <c r="S79" s="38">
        <f t="shared" si="44"/>
        <v>49.104406977049187</v>
      </c>
      <c r="T79" s="94" t="str">
        <f t="shared" si="45"/>
        <v>OK</v>
      </c>
      <c r="U79" s="95" t="str">
        <f t="shared" si="46"/>
        <v/>
      </c>
      <c r="V79" s="96">
        <f t="shared" si="47"/>
        <v>0</v>
      </c>
    </row>
    <row r="80" spans="1:22" x14ac:dyDescent="0.2">
      <c r="A80" s="35">
        <v>1</v>
      </c>
      <c r="B80" s="6">
        <v>677</v>
      </c>
      <c r="C80" s="6">
        <v>347</v>
      </c>
      <c r="D80" s="7" t="s">
        <v>129</v>
      </c>
      <c r="E80" s="7" t="s">
        <v>85</v>
      </c>
      <c r="F80" s="8">
        <v>1</v>
      </c>
      <c r="G80" s="8">
        <v>1</v>
      </c>
      <c r="H80" s="8">
        <v>1</v>
      </c>
      <c r="I80" s="8">
        <v>1</v>
      </c>
      <c r="J80" s="8">
        <v>1</v>
      </c>
      <c r="K80" s="9" t="s">
        <v>8</v>
      </c>
      <c r="L80" s="47" t="s">
        <v>130</v>
      </c>
      <c r="M80" s="10">
        <f t="shared" si="40"/>
        <v>0.23491899999999999</v>
      </c>
      <c r="N80" s="11">
        <f t="shared" si="41"/>
        <v>2.048</v>
      </c>
      <c r="O80" s="12">
        <f>IF(E80="HERRAJE",IFERROR(_xlfn.XLOOKUP(D80,'⚙️ Configuración Costos'!$A$11:$A$20,'⚙️ Configuración Costos'!$B$11:$B$20),""),IFERROR(_xlfn.XLOOKUP(E80,'⚙️ Configuración Costos'!$A$5:$A$6,'⚙️ Configuración Costos'!$B$5:$B$6),""))</f>
        <v>332.85245901639348</v>
      </c>
      <c r="P80" s="12">
        <f t="shared" si="42"/>
        <v>78.193366819672136</v>
      </c>
      <c r="Q80" s="12">
        <f>IF(E80="HERRAJE",0,IFERROR(_xlfn.XLOOKUP(E80,'⚙️ Configuración Costos'!$E$5:$E$6,'⚙️ Configuración Costos'!$F$5:$F$6),""))</f>
        <v>9.5</v>
      </c>
      <c r="R80" s="12">
        <f t="shared" si="43"/>
        <v>19.456</v>
      </c>
      <c r="S80" s="38">
        <f t="shared" si="44"/>
        <v>97.649366819672139</v>
      </c>
      <c r="T80" s="94" t="str">
        <f t="shared" si="45"/>
        <v>OK</v>
      </c>
      <c r="U80" s="95" t="str">
        <f t="shared" si="46"/>
        <v/>
      </c>
      <c r="V80" s="96">
        <f t="shared" si="47"/>
        <v>0</v>
      </c>
    </row>
    <row r="81" spans="1:22" x14ac:dyDescent="0.2">
      <c r="A81" s="35">
        <v>1</v>
      </c>
      <c r="B81" s="6">
        <v>677</v>
      </c>
      <c r="C81" s="6">
        <v>347</v>
      </c>
      <c r="D81" s="7" t="s">
        <v>131</v>
      </c>
      <c r="E81" s="7" t="s">
        <v>85</v>
      </c>
      <c r="F81" s="8">
        <v>1</v>
      </c>
      <c r="G81" s="8">
        <v>1</v>
      </c>
      <c r="H81" s="8">
        <v>1</v>
      </c>
      <c r="I81" s="8">
        <v>1</v>
      </c>
      <c r="J81" s="8">
        <v>1</v>
      </c>
      <c r="K81" s="9" t="s">
        <v>8</v>
      </c>
      <c r="L81" s="47" t="s">
        <v>132</v>
      </c>
      <c r="M81" s="10">
        <f t="shared" si="40"/>
        <v>0.23491899999999999</v>
      </c>
      <c r="N81" s="11">
        <f t="shared" si="41"/>
        <v>2.048</v>
      </c>
      <c r="O81" s="12">
        <f>IF(E81="HERRAJE",IFERROR(_xlfn.XLOOKUP(D81,'⚙️ Configuración Costos'!$A$11:$A$20,'⚙️ Configuración Costos'!$B$11:$B$20),""),IFERROR(_xlfn.XLOOKUP(E81,'⚙️ Configuración Costos'!$A$5:$A$6,'⚙️ Configuración Costos'!$B$5:$B$6),""))</f>
        <v>332.85245901639348</v>
      </c>
      <c r="P81" s="12">
        <f t="shared" si="42"/>
        <v>78.193366819672136</v>
      </c>
      <c r="Q81" s="12">
        <f>IF(E81="HERRAJE",0,IFERROR(_xlfn.XLOOKUP(E81,'⚙️ Configuración Costos'!$E$5:$E$6,'⚙️ Configuración Costos'!$F$5:$F$6),""))</f>
        <v>9.5</v>
      </c>
      <c r="R81" s="12">
        <f t="shared" si="43"/>
        <v>19.456</v>
      </c>
      <c r="S81" s="38">
        <f t="shared" si="44"/>
        <v>97.649366819672139</v>
      </c>
      <c r="T81" s="94" t="str">
        <f t="shared" si="45"/>
        <v>OK</v>
      </c>
      <c r="U81" s="95" t="str">
        <f t="shared" si="46"/>
        <v/>
      </c>
      <c r="V81" s="96">
        <f t="shared" si="47"/>
        <v>0</v>
      </c>
    </row>
    <row r="82" spans="1:22" x14ac:dyDescent="0.2">
      <c r="A82" s="35">
        <v>4</v>
      </c>
      <c r="B82" s="6">
        <v>0</v>
      </c>
      <c r="C82" s="6">
        <v>0</v>
      </c>
      <c r="D82" s="7" t="s">
        <v>90</v>
      </c>
      <c r="E82" s="7" t="s">
        <v>91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9" t="s">
        <v>8</v>
      </c>
      <c r="L82" s="47" t="s">
        <v>92</v>
      </c>
      <c r="M82" s="10">
        <f t="shared" si="40"/>
        <v>0</v>
      </c>
      <c r="N82" s="11">
        <f t="shared" si="41"/>
        <v>0</v>
      </c>
      <c r="O82" s="12">
        <f>IF(E82="HERRAJE",IFERROR(_xlfn.XLOOKUP(D82,'⚙️ Configuración Costos'!$A$11:$A$20,'⚙️ Configuración Costos'!$B$11:$B$20),""),IFERROR(_xlfn.XLOOKUP(E82,'⚙️ Configuración Costos'!$A$5:$A$6,'⚙️ Configuración Costos'!$B$5:$B$6),""))</f>
        <v>20</v>
      </c>
      <c r="P82" s="12">
        <f t="shared" si="42"/>
        <v>80</v>
      </c>
      <c r="Q82" s="12">
        <f>IF(E82="HERRAJE",0,IFERROR(_xlfn.XLOOKUP(E82,'⚙️ Configuración Costos'!$E$5:$E$6,'⚙️ Configuración Costos'!$F$5:$F$6),""))</f>
        <v>0</v>
      </c>
      <c r="R82" s="12">
        <f t="shared" si="43"/>
        <v>0</v>
      </c>
      <c r="S82" s="38">
        <f t="shared" si="44"/>
        <v>80</v>
      </c>
      <c r="T82" s="94" t="str">
        <f t="shared" si="45"/>
        <v>OK</v>
      </c>
      <c r="U82" s="95" t="str">
        <f t="shared" si="46"/>
        <v/>
      </c>
      <c r="V82" s="96">
        <f t="shared" si="47"/>
        <v>0</v>
      </c>
    </row>
    <row r="83" spans="1:22" x14ac:dyDescent="0.2">
      <c r="A83" s="35">
        <v>2</v>
      </c>
      <c r="B83" s="6">
        <v>0</v>
      </c>
      <c r="C83" s="6">
        <v>0</v>
      </c>
      <c r="D83" s="7" t="s">
        <v>93</v>
      </c>
      <c r="E83" s="7" t="s">
        <v>91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 t="s">
        <v>8</v>
      </c>
      <c r="L83" s="47" t="s">
        <v>94</v>
      </c>
      <c r="M83" s="10">
        <f t="shared" si="40"/>
        <v>0</v>
      </c>
      <c r="N83" s="11">
        <f t="shared" si="41"/>
        <v>0</v>
      </c>
      <c r="O83" s="12">
        <f>IF(E83="HERRAJE",IFERROR(_xlfn.XLOOKUP(D83,'⚙️ Configuración Costos'!$A$11:$A$20,'⚙️ Configuración Costos'!$B$11:$B$20),""),IFERROR(_xlfn.XLOOKUP(E83,'⚙️ Configuración Costos'!$A$5:$A$6,'⚙️ Configuración Costos'!$B$5:$B$6),""))</f>
        <v>15</v>
      </c>
      <c r="P83" s="12">
        <f t="shared" si="42"/>
        <v>30</v>
      </c>
      <c r="Q83" s="12">
        <f>IF(E83="HERRAJE",0,IFERROR(_xlfn.XLOOKUP(E83,'⚙️ Configuración Costos'!$E$5:$E$6,'⚙️ Configuración Costos'!$F$5:$F$6),""))</f>
        <v>0</v>
      </c>
      <c r="R83" s="12">
        <f t="shared" si="43"/>
        <v>0</v>
      </c>
      <c r="S83" s="38">
        <f t="shared" si="44"/>
        <v>30</v>
      </c>
      <c r="T83" s="94" t="str">
        <f t="shared" si="45"/>
        <v>OK</v>
      </c>
      <c r="U83" s="95" t="str">
        <f t="shared" si="46"/>
        <v/>
      </c>
      <c r="V83" s="96">
        <f t="shared" si="47"/>
        <v>0</v>
      </c>
    </row>
    <row r="84" spans="1:22" x14ac:dyDescent="0.2">
      <c r="A84" s="35">
        <v>4</v>
      </c>
      <c r="B84" s="6">
        <v>0</v>
      </c>
      <c r="C84" s="6">
        <v>0</v>
      </c>
      <c r="D84" s="7" t="s">
        <v>95</v>
      </c>
      <c r="E84" s="7" t="s">
        <v>91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9" t="s">
        <v>8</v>
      </c>
      <c r="L84" s="47" t="s">
        <v>96</v>
      </c>
      <c r="M84" s="10">
        <f t="shared" si="40"/>
        <v>0</v>
      </c>
      <c r="N84" s="11">
        <f t="shared" si="41"/>
        <v>0</v>
      </c>
      <c r="O84" s="12">
        <f>IF(E84="HERRAJE",IFERROR(_xlfn.XLOOKUP(D84,'⚙️ Configuración Costos'!$A$11:$A$20,'⚙️ Configuración Costos'!$B$11:$B$20),""),IFERROR(_xlfn.XLOOKUP(E84,'⚙️ Configuración Costos'!$A$5:$A$6,'⚙️ Configuración Costos'!$B$5:$B$6),""))</f>
        <v>2</v>
      </c>
      <c r="P84" s="12">
        <f t="shared" si="42"/>
        <v>8</v>
      </c>
      <c r="Q84" s="12">
        <f>IF(E84="HERRAJE",0,IFERROR(_xlfn.XLOOKUP(E84,'⚙️ Configuración Costos'!$E$5:$E$6,'⚙️ Configuración Costos'!$F$5:$F$6),""))</f>
        <v>0</v>
      </c>
      <c r="R84" s="12">
        <f t="shared" si="43"/>
        <v>0</v>
      </c>
      <c r="S84" s="38">
        <f t="shared" si="44"/>
        <v>8</v>
      </c>
      <c r="T84" s="94" t="str">
        <f t="shared" si="45"/>
        <v>OK</v>
      </c>
      <c r="U84" s="95" t="str">
        <f t="shared" si="46"/>
        <v/>
      </c>
      <c r="V84" s="96">
        <f t="shared" si="47"/>
        <v>0</v>
      </c>
    </row>
    <row r="85" spans="1:22" x14ac:dyDescent="0.2">
      <c r="A85" s="36">
        <v>40</v>
      </c>
      <c r="B85" s="20">
        <v>0</v>
      </c>
      <c r="C85" s="20">
        <v>0</v>
      </c>
      <c r="D85" s="21" t="s">
        <v>97</v>
      </c>
      <c r="E85" s="21" t="s">
        <v>91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3" t="s">
        <v>8</v>
      </c>
      <c r="L85" s="48" t="s">
        <v>98</v>
      </c>
      <c r="M85" s="24">
        <f t="shared" si="40"/>
        <v>0</v>
      </c>
      <c r="N85" s="25">
        <f t="shared" si="41"/>
        <v>0</v>
      </c>
      <c r="O85" s="26">
        <f>IF(E85="HERRAJE",IFERROR(_xlfn.XLOOKUP(D85,'⚙️ Configuración Costos'!$A$11:$A$20,'⚙️ Configuración Costos'!$B$11:$B$20),""),IFERROR(_xlfn.XLOOKUP(E85,'⚙️ Configuración Costos'!$A$5:$A$6,'⚙️ Configuración Costos'!$B$5:$B$6),""))</f>
        <v>1.5</v>
      </c>
      <c r="P85" s="26">
        <f t="shared" si="42"/>
        <v>60</v>
      </c>
      <c r="Q85" s="26">
        <f>IF(E85="HERRAJE",0,IFERROR(_xlfn.XLOOKUP(E85,'⚙️ Configuración Costos'!$E$5:$E$6,'⚙️ Configuración Costos'!$F$5:$F$6),""))</f>
        <v>0</v>
      </c>
      <c r="R85" s="26">
        <f t="shared" si="43"/>
        <v>0</v>
      </c>
      <c r="S85" s="39">
        <f t="shared" si="44"/>
        <v>60</v>
      </c>
      <c r="T85" s="94" t="str">
        <f t="shared" si="45"/>
        <v>OK</v>
      </c>
      <c r="U85" s="95" t="str">
        <f t="shared" si="46"/>
        <v/>
      </c>
      <c r="V85" s="96">
        <f t="shared" si="47"/>
        <v>0</v>
      </c>
    </row>
    <row r="86" spans="1:22" x14ac:dyDescent="0.2">
      <c r="A86" s="27" t="s">
        <v>99</v>
      </c>
      <c r="B86" s="27"/>
      <c r="C86" s="27"/>
      <c r="D86" s="28"/>
      <c r="E86" s="28"/>
      <c r="F86" s="29"/>
      <c r="G86" s="29"/>
      <c r="H86" s="29"/>
      <c r="I86" s="29"/>
      <c r="J86" s="29"/>
      <c r="K86" s="30"/>
      <c r="L86" s="49"/>
      <c r="M86" s="31">
        <f>SUM(M74:M85)</f>
        <v>1.9386430000000003</v>
      </c>
      <c r="N86" s="32">
        <f>SUM(N74:N85)</f>
        <v>12.11</v>
      </c>
      <c r="O86" s="33"/>
      <c r="P86" s="33">
        <f>SUM(P74:P85)</f>
        <v>686.66877744262297</v>
      </c>
      <c r="Q86" s="33"/>
      <c r="R86" s="33">
        <f>SUM(R74:R85)</f>
        <v>86.995999999999995</v>
      </c>
      <c r="S86" s="33">
        <f>SUM(S74:S85)</f>
        <v>773.66477744262306</v>
      </c>
      <c r="T86" s="97"/>
      <c r="U86" s="98"/>
      <c r="V86" s="99"/>
    </row>
    <row r="87" spans="1:22" x14ac:dyDescent="0.2">
      <c r="A87" s="186" t="s">
        <v>133</v>
      </c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8"/>
      <c r="T87" s="97"/>
      <c r="U87" s="98"/>
      <c r="V87" s="99"/>
    </row>
    <row r="88" spans="1:22" x14ac:dyDescent="0.2">
      <c r="A88" s="35">
        <v>1</v>
      </c>
      <c r="B88" s="6">
        <v>680</v>
      </c>
      <c r="C88" s="6">
        <v>320</v>
      </c>
      <c r="D88" s="7" t="s">
        <v>63</v>
      </c>
      <c r="E88" s="7" t="s">
        <v>64</v>
      </c>
      <c r="F88" s="8">
        <v>0</v>
      </c>
      <c r="G88" s="8">
        <v>1</v>
      </c>
      <c r="H88" s="8">
        <v>1</v>
      </c>
      <c r="I88" s="8">
        <v>1</v>
      </c>
      <c r="J88" s="8">
        <v>1</v>
      </c>
      <c r="K88" s="9" t="s">
        <v>9</v>
      </c>
      <c r="L88" s="47" t="s">
        <v>65</v>
      </c>
      <c r="M88" s="10">
        <f t="shared" ref="M88:M99" si="48">IF(AND(ISNUMBER(B88),ISNUMBER(C88),B88&gt;0,C88&gt;0),A88*(B88*C88/1000000),0)</f>
        <v>0.21759999999999999</v>
      </c>
      <c r="N88" s="11">
        <f t="shared" ref="N88:N99" si="49">IF(AND(ISNUMBER(B88),B88&gt;0),A88*(((G88+H88)*B88+(I88+J88)*C88)/1000),0)</f>
        <v>2</v>
      </c>
      <c r="O88" s="12">
        <f>IF(E88="HERRAJE",IFERROR(_xlfn.XLOOKUP(D88,'⚙️ Configuración Costos'!$A$11:$A$20,'⚙️ Configuración Costos'!$B$11:$B$20),""),IFERROR(_xlfn.XLOOKUP(E88,'⚙️ Configuración Costos'!$A$5:$A$6,'⚙️ Configuración Costos'!$B$5:$B$6),""))</f>
        <v>239.8426229508197</v>
      </c>
      <c r="P88" s="12">
        <f t="shared" ref="P88:P99" si="50">IF(E88="HERRAJE",A88*O88,M88*O88)</f>
        <v>52.189754754098367</v>
      </c>
      <c r="Q88" s="12">
        <f>IF(E88="HERRAJE",0,IFERROR(_xlfn.XLOOKUP(E88,'⚙️ Configuración Costos'!$E$5:$E$6,'⚙️ Configuración Costos'!$F$5:$F$6),""))</f>
        <v>6</v>
      </c>
      <c r="R88" s="12">
        <f t="shared" ref="R88:R99" si="51">N88*Q88</f>
        <v>12</v>
      </c>
      <c r="S88" s="38">
        <f t="shared" ref="S88:S99" si="52">P88+R88</f>
        <v>64.189754754098374</v>
      </c>
      <c r="T88" s="94" t="str">
        <f t="shared" ref="T88:T99" si="53">IF(K88="","SIN ID MÓDULO",IF(E88="HERRAJE",IF(OR(O88="",O88&lt;=0),"SIN PRECIO HERRAJE","OK"),IF(OR(O88="",O88&lt;=0),"SIN PRECIO MATERIAL",IF(AND(N88&gt;0,OR(Q88="",Q88&lt;=0)),"SIN PRECIO CINTILLA","OK"))))</f>
        <v>OK</v>
      </c>
      <c r="U88" s="95" t="str">
        <f t="shared" ref="U88:U99" si="54">IF(T88="OK","",IF(T88="SIN PRECIO HERRAJE","Capturar precio: "&amp;D88,IF(T88="SIN PRECIO MATERIAL","Configurar material: "&amp;E88,IF(T88="SIN PRECIO CINTILLA","Configurar cintilla: "&amp;E88,IF(T88="SIN ID MÓDULO","Revisar ID del módulo","")))))</f>
        <v/>
      </c>
      <c r="V88" s="96">
        <f t="shared" ref="V88:V99" si="55">IF(T88="OK",0,IF(T88="",0,1))</f>
        <v>0</v>
      </c>
    </row>
    <row r="89" spans="1:22" x14ac:dyDescent="0.2">
      <c r="A89" s="35">
        <v>1</v>
      </c>
      <c r="B89" s="6">
        <v>680</v>
      </c>
      <c r="C89" s="6">
        <v>320</v>
      </c>
      <c r="D89" s="7" t="s">
        <v>66</v>
      </c>
      <c r="E89" s="7" t="s">
        <v>64</v>
      </c>
      <c r="F89" s="8">
        <v>0</v>
      </c>
      <c r="G89" s="8">
        <v>1</v>
      </c>
      <c r="H89" s="8">
        <v>1</v>
      </c>
      <c r="I89" s="8">
        <v>1</v>
      </c>
      <c r="J89" s="8">
        <v>1</v>
      </c>
      <c r="K89" s="9" t="s">
        <v>9</v>
      </c>
      <c r="L89" s="47" t="s">
        <v>67</v>
      </c>
      <c r="M89" s="10">
        <f t="shared" si="48"/>
        <v>0.21759999999999999</v>
      </c>
      <c r="N89" s="11">
        <f t="shared" si="49"/>
        <v>2</v>
      </c>
      <c r="O89" s="12">
        <f>IF(E89="HERRAJE",IFERROR(_xlfn.XLOOKUP(D89,'⚙️ Configuración Costos'!$A$11:$A$20,'⚙️ Configuración Costos'!$B$11:$B$20),""),IFERROR(_xlfn.XLOOKUP(E89,'⚙️ Configuración Costos'!$A$5:$A$6,'⚙️ Configuración Costos'!$B$5:$B$6),""))</f>
        <v>239.8426229508197</v>
      </c>
      <c r="P89" s="12">
        <f t="shared" si="50"/>
        <v>52.189754754098367</v>
      </c>
      <c r="Q89" s="12">
        <f>IF(E89="HERRAJE",0,IFERROR(_xlfn.XLOOKUP(E89,'⚙️ Configuración Costos'!$E$5:$E$6,'⚙️ Configuración Costos'!$F$5:$F$6),""))</f>
        <v>6</v>
      </c>
      <c r="R89" s="12">
        <f t="shared" si="51"/>
        <v>12</v>
      </c>
      <c r="S89" s="38">
        <f t="shared" si="52"/>
        <v>64.189754754098374</v>
      </c>
      <c r="T89" s="94" t="str">
        <f t="shared" si="53"/>
        <v>OK</v>
      </c>
      <c r="U89" s="95" t="str">
        <f t="shared" si="54"/>
        <v/>
      </c>
      <c r="V89" s="96">
        <f t="shared" si="55"/>
        <v>0</v>
      </c>
    </row>
    <row r="90" spans="1:22" x14ac:dyDescent="0.2">
      <c r="A90" s="34">
        <v>1</v>
      </c>
      <c r="B90" s="13">
        <v>769</v>
      </c>
      <c r="C90" s="13">
        <v>649</v>
      </c>
      <c r="D90" s="14" t="s">
        <v>68</v>
      </c>
      <c r="E90" s="14" t="s">
        <v>64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6" t="s">
        <v>9</v>
      </c>
      <c r="L90" s="46" t="s">
        <v>125</v>
      </c>
      <c r="M90" s="17">
        <f t="shared" si="48"/>
        <v>0.499081</v>
      </c>
      <c r="N90" s="18">
        <f t="shared" si="49"/>
        <v>0</v>
      </c>
      <c r="O90" s="19">
        <f>IF(E90="HERRAJE",IFERROR(_xlfn.XLOOKUP(D90,'⚙️ Configuración Costos'!$A$11:$A$20,'⚙️ Configuración Costos'!$B$11:$B$20),""),IFERROR(_xlfn.XLOOKUP(E90,'⚙️ Configuración Costos'!$A$5:$A$6,'⚙️ Configuración Costos'!$B$5:$B$6),""))</f>
        <v>239.8426229508197</v>
      </c>
      <c r="P90" s="19">
        <f t="shared" si="50"/>
        <v>119.70089610491804</v>
      </c>
      <c r="Q90" s="19">
        <f>IF(E90="HERRAJE",0,IFERROR(_xlfn.XLOOKUP(E90,'⚙️ Configuración Costos'!$E$5:$E$6,'⚙️ Configuración Costos'!$F$5:$F$6),""))</f>
        <v>6</v>
      </c>
      <c r="R90" s="19">
        <f t="shared" si="51"/>
        <v>0</v>
      </c>
      <c r="S90" s="37">
        <f t="shared" si="52"/>
        <v>119.70089610491804</v>
      </c>
      <c r="T90" s="94" t="str">
        <f t="shared" si="53"/>
        <v>OK</v>
      </c>
      <c r="U90" s="95" t="str">
        <f t="shared" si="54"/>
        <v/>
      </c>
      <c r="V90" s="96">
        <f t="shared" si="55"/>
        <v>0</v>
      </c>
    </row>
    <row r="91" spans="1:22" x14ac:dyDescent="0.2">
      <c r="A91" s="35">
        <v>1</v>
      </c>
      <c r="B91" s="6">
        <v>769</v>
      </c>
      <c r="C91" s="6">
        <v>320</v>
      </c>
      <c r="D91" s="7" t="s">
        <v>70</v>
      </c>
      <c r="E91" s="7" t="s">
        <v>64</v>
      </c>
      <c r="F91" s="8">
        <v>0</v>
      </c>
      <c r="G91" s="8">
        <v>1</v>
      </c>
      <c r="H91" s="8">
        <v>1</v>
      </c>
      <c r="I91" s="8">
        <v>0</v>
      </c>
      <c r="J91" s="8">
        <v>0</v>
      </c>
      <c r="K91" s="9" t="s">
        <v>9</v>
      </c>
      <c r="L91" s="47" t="s">
        <v>126</v>
      </c>
      <c r="M91" s="10">
        <f t="shared" si="48"/>
        <v>0.24607999999999999</v>
      </c>
      <c r="N91" s="11">
        <f t="shared" si="49"/>
        <v>1.538</v>
      </c>
      <c r="O91" s="12">
        <f>IF(E91="HERRAJE",IFERROR(_xlfn.XLOOKUP(D91,'⚙️ Configuración Costos'!$A$11:$A$20,'⚙️ Configuración Costos'!$B$11:$B$20),""),IFERROR(_xlfn.XLOOKUP(E91,'⚙️ Configuración Costos'!$A$5:$A$6,'⚙️ Configuración Costos'!$B$5:$B$6),""))</f>
        <v>239.8426229508197</v>
      </c>
      <c r="P91" s="12">
        <f t="shared" si="50"/>
        <v>59.020472655737713</v>
      </c>
      <c r="Q91" s="12">
        <f>IF(E91="HERRAJE",0,IFERROR(_xlfn.XLOOKUP(E91,'⚙️ Configuración Costos'!$E$5:$E$6,'⚙️ Configuración Costos'!$F$5:$F$6),""))</f>
        <v>6</v>
      </c>
      <c r="R91" s="12">
        <f t="shared" si="51"/>
        <v>9.2279999999999998</v>
      </c>
      <c r="S91" s="38">
        <f t="shared" si="52"/>
        <v>68.248472655737714</v>
      </c>
      <c r="T91" s="94" t="str">
        <f t="shared" si="53"/>
        <v>OK</v>
      </c>
      <c r="U91" s="95" t="str">
        <f t="shared" si="54"/>
        <v/>
      </c>
      <c r="V91" s="96">
        <f t="shared" si="55"/>
        <v>0</v>
      </c>
    </row>
    <row r="92" spans="1:22" x14ac:dyDescent="0.2">
      <c r="A92" s="35">
        <v>1</v>
      </c>
      <c r="B92" s="6">
        <v>769</v>
      </c>
      <c r="C92" s="6">
        <v>320</v>
      </c>
      <c r="D92" s="7" t="s">
        <v>72</v>
      </c>
      <c r="E92" s="7" t="s">
        <v>64</v>
      </c>
      <c r="F92" s="8">
        <v>0</v>
      </c>
      <c r="G92" s="8">
        <v>1</v>
      </c>
      <c r="H92" s="8">
        <v>1</v>
      </c>
      <c r="I92" s="8">
        <v>0</v>
      </c>
      <c r="J92" s="8">
        <v>0</v>
      </c>
      <c r="K92" s="9" t="s">
        <v>9</v>
      </c>
      <c r="L92" s="47" t="s">
        <v>127</v>
      </c>
      <c r="M92" s="10">
        <f t="shared" si="48"/>
        <v>0.24607999999999999</v>
      </c>
      <c r="N92" s="11">
        <f t="shared" si="49"/>
        <v>1.538</v>
      </c>
      <c r="O92" s="12">
        <f>IF(E92="HERRAJE",IFERROR(_xlfn.XLOOKUP(D92,'⚙️ Configuración Costos'!$A$11:$A$20,'⚙️ Configuración Costos'!$B$11:$B$20),""),IFERROR(_xlfn.XLOOKUP(E92,'⚙️ Configuración Costos'!$A$5:$A$6,'⚙️ Configuración Costos'!$B$5:$B$6),""))</f>
        <v>239.8426229508197</v>
      </c>
      <c r="P92" s="12">
        <f t="shared" si="50"/>
        <v>59.020472655737713</v>
      </c>
      <c r="Q92" s="12">
        <f>IF(E92="HERRAJE",0,IFERROR(_xlfn.XLOOKUP(E92,'⚙️ Configuración Costos'!$E$5:$E$6,'⚙️ Configuración Costos'!$F$5:$F$6),""))</f>
        <v>6</v>
      </c>
      <c r="R92" s="12">
        <f t="shared" si="51"/>
        <v>9.2279999999999998</v>
      </c>
      <c r="S92" s="38">
        <f t="shared" si="52"/>
        <v>68.248472655737714</v>
      </c>
      <c r="T92" s="94" t="str">
        <f t="shared" si="53"/>
        <v>OK</v>
      </c>
      <c r="U92" s="95" t="str">
        <f t="shared" si="54"/>
        <v/>
      </c>
      <c r="V92" s="96">
        <f t="shared" si="55"/>
        <v>0</v>
      </c>
    </row>
    <row r="93" spans="1:22" x14ac:dyDescent="0.2">
      <c r="A93" s="35">
        <v>1</v>
      </c>
      <c r="B93" s="6">
        <v>769</v>
      </c>
      <c r="C93" s="6">
        <v>256</v>
      </c>
      <c r="D93" s="7" t="s">
        <v>76</v>
      </c>
      <c r="E93" s="7" t="s">
        <v>64</v>
      </c>
      <c r="F93" s="8">
        <v>0</v>
      </c>
      <c r="G93" s="8">
        <v>1</v>
      </c>
      <c r="H93" s="8">
        <v>1</v>
      </c>
      <c r="I93" s="8">
        <v>0</v>
      </c>
      <c r="J93" s="8">
        <v>0</v>
      </c>
      <c r="K93" s="9" t="s">
        <v>9</v>
      </c>
      <c r="L93" s="47" t="s">
        <v>128</v>
      </c>
      <c r="M93" s="10">
        <f t="shared" si="48"/>
        <v>0.19686400000000001</v>
      </c>
      <c r="N93" s="11">
        <f t="shared" si="49"/>
        <v>1.538</v>
      </c>
      <c r="O93" s="12">
        <f>IF(E93="HERRAJE",IFERROR(_xlfn.XLOOKUP(D93,'⚙️ Configuración Costos'!$A$11:$A$20,'⚙️ Configuración Costos'!$B$11:$B$20),""),IFERROR(_xlfn.XLOOKUP(E93,'⚙️ Configuración Costos'!$A$5:$A$6,'⚙️ Configuración Costos'!$B$5:$B$6),""))</f>
        <v>239.8426229508197</v>
      </c>
      <c r="P93" s="12">
        <f t="shared" si="50"/>
        <v>47.216378124590172</v>
      </c>
      <c r="Q93" s="12">
        <f>IF(E93="HERRAJE",0,IFERROR(_xlfn.XLOOKUP(E93,'⚙️ Configuración Costos'!$E$5:$E$6,'⚙️ Configuración Costos'!$F$5:$F$6),""))</f>
        <v>6</v>
      </c>
      <c r="R93" s="12">
        <f t="shared" si="51"/>
        <v>9.2279999999999998</v>
      </c>
      <c r="S93" s="38">
        <f t="shared" si="52"/>
        <v>56.444378124590173</v>
      </c>
      <c r="T93" s="94" t="str">
        <f t="shared" si="53"/>
        <v>OK</v>
      </c>
      <c r="U93" s="95" t="str">
        <f t="shared" si="54"/>
        <v/>
      </c>
      <c r="V93" s="96">
        <f t="shared" si="55"/>
        <v>0</v>
      </c>
    </row>
    <row r="94" spans="1:22" x14ac:dyDescent="0.2">
      <c r="A94" s="35">
        <v>1</v>
      </c>
      <c r="B94" s="6">
        <v>677</v>
      </c>
      <c r="C94" s="6">
        <v>397</v>
      </c>
      <c r="D94" s="7" t="s">
        <v>129</v>
      </c>
      <c r="E94" s="7" t="s">
        <v>85</v>
      </c>
      <c r="F94" s="8">
        <v>1</v>
      </c>
      <c r="G94" s="8">
        <v>1</v>
      </c>
      <c r="H94" s="8">
        <v>1</v>
      </c>
      <c r="I94" s="8">
        <v>1</v>
      </c>
      <c r="J94" s="8">
        <v>1</v>
      </c>
      <c r="K94" s="9" t="s">
        <v>9</v>
      </c>
      <c r="L94" s="47" t="s">
        <v>130</v>
      </c>
      <c r="M94" s="10">
        <f t="shared" si="48"/>
        <v>0.26876899999999998</v>
      </c>
      <c r="N94" s="11">
        <f t="shared" si="49"/>
        <v>2.1480000000000001</v>
      </c>
      <c r="O94" s="12">
        <f>IF(E94="HERRAJE",IFERROR(_xlfn.XLOOKUP(D94,'⚙️ Configuración Costos'!$A$11:$A$20,'⚙️ Configuración Costos'!$B$11:$B$20),""),IFERROR(_xlfn.XLOOKUP(E94,'⚙️ Configuración Costos'!$A$5:$A$6,'⚙️ Configuración Costos'!$B$5:$B$6),""))</f>
        <v>332.85245901639348</v>
      </c>
      <c r="P94" s="12">
        <f t="shared" si="50"/>
        <v>89.460422557377058</v>
      </c>
      <c r="Q94" s="12">
        <f>IF(E94="HERRAJE",0,IFERROR(_xlfn.XLOOKUP(E94,'⚙️ Configuración Costos'!$E$5:$E$6,'⚙️ Configuración Costos'!$F$5:$F$6),""))</f>
        <v>9.5</v>
      </c>
      <c r="R94" s="12">
        <f t="shared" si="51"/>
        <v>20.406000000000002</v>
      </c>
      <c r="S94" s="38">
        <f t="shared" si="52"/>
        <v>109.86642255737706</v>
      </c>
      <c r="T94" s="94" t="str">
        <f t="shared" si="53"/>
        <v>OK</v>
      </c>
      <c r="U94" s="95" t="str">
        <f t="shared" si="54"/>
        <v/>
      </c>
      <c r="V94" s="96">
        <f t="shared" si="55"/>
        <v>0</v>
      </c>
    </row>
    <row r="95" spans="1:22" x14ac:dyDescent="0.2">
      <c r="A95" s="35">
        <v>1</v>
      </c>
      <c r="B95" s="6">
        <v>677</v>
      </c>
      <c r="C95" s="6">
        <v>397</v>
      </c>
      <c r="D95" s="7" t="s">
        <v>131</v>
      </c>
      <c r="E95" s="7" t="s">
        <v>85</v>
      </c>
      <c r="F95" s="8">
        <v>1</v>
      </c>
      <c r="G95" s="8">
        <v>1</v>
      </c>
      <c r="H95" s="8">
        <v>1</v>
      </c>
      <c r="I95" s="8">
        <v>1</v>
      </c>
      <c r="J95" s="8">
        <v>1</v>
      </c>
      <c r="K95" s="9" t="s">
        <v>9</v>
      </c>
      <c r="L95" s="47" t="s">
        <v>132</v>
      </c>
      <c r="M95" s="10">
        <f t="shared" si="48"/>
        <v>0.26876899999999998</v>
      </c>
      <c r="N95" s="11">
        <f t="shared" si="49"/>
        <v>2.1480000000000001</v>
      </c>
      <c r="O95" s="12">
        <f>IF(E95="HERRAJE",IFERROR(_xlfn.XLOOKUP(D95,'⚙️ Configuración Costos'!$A$11:$A$20,'⚙️ Configuración Costos'!$B$11:$B$20),""),IFERROR(_xlfn.XLOOKUP(E95,'⚙️ Configuración Costos'!$A$5:$A$6,'⚙️ Configuración Costos'!$B$5:$B$6),""))</f>
        <v>332.85245901639348</v>
      </c>
      <c r="P95" s="12">
        <f t="shared" si="50"/>
        <v>89.460422557377058</v>
      </c>
      <c r="Q95" s="12">
        <f>IF(E95="HERRAJE",0,IFERROR(_xlfn.XLOOKUP(E95,'⚙️ Configuración Costos'!$E$5:$E$6,'⚙️ Configuración Costos'!$F$5:$F$6),""))</f>
        <v>9.5</v>
      </c>
      <c r="R95" s="12">
        <f t="shared" si="51"/>
        <v>20.406000000000002</v>
      </c>
      <c r="S95" s="38">
        <f t="shared" si="52"/>
        <v>109.86642255737706</v>
      </c>
      <c r="T95" s="94" t="str">
        <f t="shared" si="53"/>
        <v>OK</v>
      </c>
      <c r="U95" s="95" t="str">
        <f t="shared" si="54"/>
        <v/>
      </c>
      <c r="V95" s="96">
        <f t="shared" si="55"/>
        <v>0</v>
      </c>
    </row>
    <row r="96" spans="1:22" x14ac:dyDescent="0.2">
      <c r="A96" s="35">
        <v>4</v>
      </c>
      <c r="B96" s="6">
        <v>0</v>
      </c>
      <c r="C96" s="6">
        <v>0</v>
      </c>
      <c r="D96" s="7" t="s">
        <v>90</v>
      </c>
      <c r="E96" s="7" t="s">
        <v>91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9" t="s">
        <v>9</v>
      </c>
      <c r="L96" s="47" t="s">
        <v>92</v>
      </c>
      <c r="M96" s="10">
        <f t="shared" si="48"/>
        <v>0</v>
      </c>
      <c r="N96" s="11">
        <f t="shared" si="49"/>
        <v>0</v>
      </c>
      <c r="O96" s="12">
        <f>IF(E96="HERRAJE",IFERROR(_xlfn.XLOOKUP(D96,'⚙️ Configuración Costos'!$A$11:$A$20,'⚙️ Configuración Costos'!$B$11:$B$20),""),IFERROR(_xlfn.XLOOKUP(E96,'⚙️ Configuración Costos'!$A$5:$A$6,'⚙️ Configuración Costos'!$B$5:$B$6),""))</f>
        <v>20</v>
      </c>
      <c r="P96" s="12">
        <f t="shared" si="50"/>
        <v>80</v>
      </c>
      <c r="Q96" s="12">
        <f>IF(E96="HERRAJE",0,IFERROR(_xlfn.XLOOKUP(E96,'⚙️ Configuración Costos'!$E$5:$E$6,'⚙️ Configuración Costos'!$F$5:$F$6),""))</f>
        <v>0</v>
      </c>
      <c r="R96" s="12">
        <f t="shared" si="51"/>
        <v>0</v>
      </c>
      <c r="S96" s="38">
        <f t="shared" si="52"/>
        <v>80</v>
      </c>
      <c r="T96" s="94" t="str">
        <f t="shared" si="53"/>
        <v>OK</v>
      </c>
      <c r="U96" s="95" t="str">
        <f t="shared" si="54"/>
        <v/>
      </c>
      <c r="V96" s="96">
        <f t="shared" si="55"/>
        <v>0</v>
      </c>
    </row>
    <row r="97" spans="1:22" x14ac:dyDescent="0.2">
      <c r="A97" s="35">
        <v>2</v>
      </c>
      <c r="B97" s="6">
        <v>0</v>
      </c>
      <c r="C97" s="6">
        <v>0</v>
      </c>
      <c r="D97" s="7" t="s">
        <v>93</v>
      </c>
      <c r="E97" s="7" t="s">
        <v>91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9" t="s">
        <v>9</v>
      </c>
      <c r="L97" s="47" t="s">
        <v>94</v>
      </c>
      <c r="M97" s="10">
        <f t="shared" si="48"/>
        <v>0</v>
      </c>
      <c r="N97" s="11">
        <f t="shared" si="49"/>
        <v>0</v>
      </c>
      <c r="O97" s="12">
        <f>IF(E97="HERRAJE",IFERROR(_xlfn.XLOOKUP(D97,'⚙️ Configuración Costos'!$A$11:$A$20,'⚙️ Configuración Costos'!$B$11:$B$20),""),IFERROR(_xlfn.XLOOKUP(E97,'⚙️ Configuración Costos'!$A$5:$A$6,'⚙️ Configuración Costos'!$B$5:$B$6),""))</f>
        <v>15</v>
      </c>
      <c r="P97" s="12">
        <f t="shared" si="50"/>
        <v>30</v>
      </c>
      <c r="Q97" s="12">
        <f>IF(E97="HERRAJE",0,IFERROR(_xlfn.XLOOKUP(E97,'⚙️ Configuración Costos'!$E$5:$E$6,'⚙️ Configuración Costos'!$F$5:$F$6),""))</f>
        <v>0</v>
      </c>
      <c r="R97" s="12">
        <f t="shared" si="51"/>
        <v>0</v>
      </c>
      <c r="S97" s="38">
        <f t="shared" si="52"/>
        <v>30</v>
      </c>
      <c r="T97" s="94" t="str">
        <f t="shared" si="53"/>
        <v>OK</v>
      </c>
      <c r="U97" s="95" t="str">
        <f t="shared" si="54"/>
        <v/>
      </c>
      <c r="V97" s="96">
        <f t="shared" si="55"/>
        <v>0</v>
      </c>
    </row>
    <row r="98" spans="1:22" x14ac:dyDescent="0.2">
      <c r="A98" s="35">
        <v>4</v>
      </c>
      <c r="B98" s="6">
        <v>0</v>
      </c>
      <c r="C98" s="6">
        <v>0</v>
      </c>
      <c r="D98" s="7" t="s">
        <v>95</v>
      </c>
      <c r="E98" s="7" t="s">
        <v>91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9" t="s">
        <v>9</v>
      </c>
      <c r="L98" s="47" t="s">
        <v>96</v>
      </c>
      <c r="M98" s="10">
        <f t="shared" si="48"/>
        <v>0</v>
      </c>
      <c r="N98" s="11">
        <f t="shared" si="49"/>
        <v>0</v>
      </c>
      <c r="O98" s="12">
        <f>IF(E98="HERRAJE",IFERROR(_xlfn.XLOOKUP(D98,'⚙️ Configuración Costos'!$A$11:$A$20,'⚙️ Configuración Costos'!$B$11:$B$20),""),IFERROR(_xlfn.XLOOKUP(E98,'⚙️ Configuración Costos'!$A$5:$A$6,'⚙️ Configuración Costos'!$B$5:$B$6),""))</f>
        <v>2</v>
      </c>
      <c r="P98" s="12">
        <f t="shared" si="50"/>
        <v>8</v>
      </c>
      <c r="Q98" s="12">
        <f>IF(E98="HERRAJE",0,IFERROR(_xlfn.XLOOKUP(E98,'⚙️ Configuración Costos'!$E$5:$E$6,'⚙️ Configuración Costos'!$F$5:$F$6),""))</f>
        <v>0</v>
      </c>
      <c r="R98" s="12">
        <f t="shared" si="51"/>
        <v>0</v>
      </c>
      <c r="S98" s="38">
        <f t="shared" si="52"/>
        <v>8</v>
      </c>
      <c r="T98" s="94" t="str">
        <f t="shared" si="53"/>
        <v>OK</v>
      </c>
      <c r="U98" s="95" t="str">
        <f t="shared" si="54"/>
        <v/>
      </c>
      <c r="V98" s="96">
        <f t="shared" si="55"/>
        <v>0</v>
      </c>
    </row>
    <row r="99" spans="1:22" x14ac:dyDescent="0.2">
      <c r="A99" s="36">
        <v>40</v>
      </c>
      <c r="B99" s="20">
        <v>0</v>
      </c>
      <c r="C99" s="20">
        <v>0</v>
      </c>
      <c r="D99" s="21" t="s">
        <v>97</v>
      </c>
      <c r="E99" s="21" t="s">
        <v>91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3" t="s">
        <v>9</v>
      </c>
      <c r="L99" s="48" t="s">
        <v>98</v>
      </c>
      <c r="M99" s="24">
        <f t="shared" si="48"/>
        <v>0</v>
      </c>
      <c r="N99" s="25">
        <f t="shared" si="49"/>
        <v>0</v>
      </c>
      <c r="O99" s="26">
        <f>IF(E99="HERRAJE",IFERROR(_xlfn.XLOOKUP(D99,'⚙️ Configuración Costos'!$A$11:$A$20,'⚙️ Configuración Costos'!$B$11:$B$20),""),IFERROR(_xlfn.XLOOKUP(E99,'⚙️ Configuración Costos'!$A$5:$A$6,'⚙️ Configuración Costos'!$B$5:$B$6),""))</f>
        <v>1.5</v>
      </c>
      <c r="P99" s="26">
        <f t="shared" si="50"/>
        <v>60</v>
      </c>
      <c r="Q99" s="26">
        <f>IF(E99="HERRAJE",0,IFERROR(_xlfn.XLOOKUP(E99,'⚙️ Configuración Costos'!$E$5:$E$6,'⚙️ Configuración Costos'!$F$5:$F$6),""))</f>
        <v>0</v>
      </c>
      <c r="R99" s="26">
        <f t="shared" si="51"/>
        <v>0</v>
      </c>
      <c r="S99" s="39">
        <f t="shared" si="52"/>
        <v>60</v>
      </c>
      <c r="T99" s="94" t="str">
        <f t="shared" si="53"/>
        <v>OK</v>
      </c>
      <c r="U99" s="95" t="str">
        <f t="shared" si="54"/>
        <v/>
      </c>
      <c r="V99" s="96">
        <f t="shared" si="55"/>
        <v>0</v>
      </c>
    </row>
    <row r="100" spans="1:22" x14ac:dyDescent="0.2">
      <c r="A100" s="27" t="s">
        <v>99</v>
      </c>
      <c r="B100" s="27"/>
      <c r="C100" s="27"/>
      <c r="D100" s="28"/>
      <c r="E100" s="28"/>
      <c r="F100" s="29"/>
      <c r="G100" s="29"/>
      <c r="H100" s="29"/>
      <c r="I100" s="29"/>
      <c r="J100" s="29"/>
      <c r="K100" s="30"/>
      <c r="L100" s="49"/>
      <c r="M100" s="31">
        <f>SUM(M88:M99)</f>
        <v>2.1608429999999998</v>
      </c>
      <c r="N100" s="32">
        <f>SUM(N88:N99)</f>
        <v>12.91</v>
      </c>
      <c r="O100" s="33"/>
      <c r="P100" s="33">
        <f>SUM(P88:P99)</f>
        <v>746.25857416393455</v>
      </c>
      <c r="Q100" s="33"/>
      <c r="R100" s="33">
        <f>SUM(R88:R99)</f>
        <v>92.496000000000009</v>
      </c>
      <c r="S100" s="33">
        <f>SUM(S88:S99)</f>
        <v>838.75457416393454</v>
      </c>
      <c r="T100" s="97"/>
      <c r="U100" s="98"/>
      <c r="V100" s="99"/>
    </row>
    <row r="101" spans="1:22" x14ac:dyDescent="0.2">
      <c r="A101" s="186" t="s">
        <v>134</v>
      </c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8"/>
      <c r="T101" s="97"/>
      <c r="U101" s="98"/>
      <c r="V101" s="99"/>
    </row>
    <row r="102" spans="1:22" x14ac:dyDescent="0.2">
      <c r="A102" s="35">
        <v>1</v>
      </c>
      <c r="B102" s="6">
        <v>680</v>
      </c>
      <c r="C102" s="6">
        <v>320</v>
      </c>
      <c r="D102" s="7" t="s">
        <v>63</v>
      </c>
      <c r="E102" s="7" t="s">
        <v>64</v>
      </c>
      <c r="F102" s="8">
        <v>0</v>
      </c>
      <c r="G102" s="8">
        <v>1</v>
      </c>
      <c r="H102" s="8">
        <v>1</v>
      </c>
      <c r="I102" s="8">
        <v>1</v>
      </c>
      <c r="J102" s="8">
        <v>1</v>
      </c>
      <c r="K102" s="9" t="s">
        <v>10</v>
      </c>
      <c r="L102" s="47" t="s">
        <v>65</v>
      </c>
      <c r="M102" s="10">
        <f t="shared" ref="M102:M113" si="56">IF(AND(ISNUMBER(B102),ISNUMBER(C102),B102&gt;0,C102&gt;0),A102*(B102*C102/1000000),0)</f>
        <v>0.21759999999999999</v>
      </c>
      <c r="N102" s="11">
        <f t="shared" ref="N102:N113" si="57">IF(AND(ISNUMBER(B102),B102&gt;0),A102*(((G102+H102)*B102+(I102+J102)*C102)/1000),0)</f>
        <v>2</v>
      </c>
      <c r="O102" s="12">
        <f>IF(E102="HERRAJE",IFERROR(_xlfn.XLOOKUP(D102,'⚙️ Configuración Costos'!$A$11:$A$20,'⚙️ Configuración Costos'!$B$11:$B$20),""),IFERROR(_xlfn.XLOOKUP(E102,'⚙️ Configuración Costos'!$A$5:$A$6,'⚙️ Configuración Costos'!$B$5:$B$6),""))</f>
        <v>239.8426229508197</v>
      </c>
      <c r="P102" s="12">
        <f t="shared" ref="P102:P113" si="58">IF(E102="HERRAJE",A102*O102,M102*O102)</f>
        <v>52.189754754098367</v>
      </c>
      <c r="Q102" s="12">
        <f>IF(E102="HERRAJE",0,IFERROR(_xlfn.XLOOKUP(E102,'⚙️ Configuración Costos'!$E$5:$E$6,'⚙️ Configuración Costos'!$F$5:$F$6),""))</f>
        <v>6</v>
      </c>
      <c r="R102" s="12">
        <f t="shared" ref="R102:R113" si="59">N102*Q102</f>
        <v>12</v>
      </c>
      <c r="S102" s="38">
        <f t="shared" ref="S102:S113" si="60">P102+R102</f>
        <v>64.189754754098374</v>
      </c>
      <c r="T102" s="94" t="str">
        <f t="shared" ref="T102:T113" si="61">IF(K102="","SIN ID MÓDULO",IF(E102="HERRAJE",IF(OR(O102="",O102&lt;=0),"SIN PRECIO HERRAJE","OK"),IF(OR(O102="",O102&lt;=0),"SIN PRECIO MATERIAL",IF(AND(N102&gt;0,OR(Q102="",Q102&lt;=0)),"SIN PRECIO CINTILLA","OK"))))</f>
        <v>OK</v>
      </c>
      <c r="U102" s="95" t="str">
        <f t="shared" ref="U102:U113" si="62">IF(T102="OK","",IF(T102="SIN PRECIO HERRAJE","Capturar precio: "&amp;D102,IF(T102="SIN PRECIO MATERIAL","Configurar material: "&amp;E102,IF(T102="SIN PRECIO CINTILLA","Configurar cintilla: "&amp;E102,IF(T102="SIN ID MÓDULO","Revisar ID del módulo","")))))</f>
        <v/>
      </c>
      <c r="V102" s="96">
        <f t="shared" ref="V102:V113" si="63">IF(T102="OK",0,IF(T102="",0,1))</f>
        <v>0</v>
      </c>
    </row>
    <row r="103" spans="1:22" x14ac:dyDescent="0.2">
      <c r="A103" s="35">
        <v>1</v>
      </c>
      <c r="B103" s="6">
        <v>680</v>
      </c>
      <c r="C103" s="6">
        <v>320</v>
      </c>
      <c r="D103" s="7" t="s">
        <v>66</v>
      </c>
      <c r="E103" s="7" t="s">
        <v>64</v>
      </c>
      <c r="F103" s="8">
        <v>0</v>
      </c>
      <c r="G103" s="8">
        <v>1</v>
      </c>
      <c r="H103" s="8">
        <v>1</v>
      </c>
      <c r="I103" s="8">
        <v>1</v>
      </c>
      <c r="J103" s="8">
        <v>1</v>
      </c>
      <c r="K103" s="9" t="s">
        <v>10</v>
      </c>
      <c r="L103" s="47" t="s">
        <v>67</v>
      </c>
      <c r="M103" s="10">
        <f t="shared" si="56"/>
        <v>0.21759999999999999</v>
      </c>
      <c r="N103" s="11">
        <f t="shared" si="57"/>
        <v>2</v>
      </c>
      <c r="O103" s="12">
        <f>IF(E103="HERRAJE",IFERROR(_xlfn.XLOOKUP(D103,'⚙️ Configuración Costos'!$A$11:$A$20,'⚙️ Configuración Costos'!$B$11:$B$20),""),IFERROR(_xlfn.XLOOKUP(E103,'⚙️ Configuración Costos'!$A$5:$A$6,'⚙️ Configuración Costos'!$B$5:$B$6),""))</f>
        <v>239.8426229508197</v>
      </c>
      <c r="P103" s="12">
        <f t="shared" si="58"/>
        <v>52.189754754098367</v>
      </c>
      <c r="Q103" s="12">
        <f>IF(E103="HERRAJE",0,IFERROR(_xlfn.XLOOKUP(E103,'⚙️ Configuración Costos'!$E$5:$E$6,'⚙️ Configuración Costos'!$F$5:$F$6),""))</f>
        <v>6</v>
      </c>
      <c r="R103" s="12">
        <f t="shared" si="59"/>
        <v>12</v>
      </c>
      <c r="S103" s="38">
        <f t="shared" si="60"/>
        <v>64.189754754098374</v>
      </c>
      <c r="T103" s="94" t="str">
        <f t="shared" si="61"/>
        <v>OK</v>
      </c>
      <c r="U103" s="95" t="str">
        <f t="shared" si="62"/>
        <v/>
      </c>
      <c r="V103" s="96">
        <f t="shared" si="63"/>
        <v>0</v>
      </c>
    </row>
    <row r="104" spans="1:22" x14ac:dyDescent="0.2">
      <c r="A104" s="34">
        <v>1</v>
      </c>
      <c r="B104" s="13">
        <v>869</v>
      </c>
      <c r="C104" s="13">
        <v>649</v>
      </c>
      <c r="D104" s="14" t="s">
        <v>68</v>
      </c>
      <c r="E104" s="14" t="s">
        <v>64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6" t="s">
        <v>10</v>
      </c>
      <c r="L104" s="46" t="s">
        <v>135</v>
      </c>
      <c r="M104" s="17">
        <f t="shared" si="56"/>
        <v>0.56398099999999995</v>
      </c>
      <c r="N104" s="18">
        <f t="shared" si="57"/>
        <v>0</v>
      </c>
      <c r="O104" s="19">
        <f>IF(E104="HERRAJE",IFERROR(_xlfn.XLOOKUP(D104,'⚙️ Configuración Costos'!$A$11:$A$20,'⚙️ Configuración Costos'!$B$11:$B$20),""),IFERROR(_xlfn.XLOOKUP(E104,'⚙️ Configuración Costos'!$A$5:$A$6,'⚙️ Configuración Costos'!$B$5:$B$6),""))</f>
        <v>239.8426229508197</v>
      </c>
      <c r="P104" s="19">
        <f t="shared" si="58"/>
        <v>135.26668233442624</v>
      </c>
      <c r="Q104" s="19">
        <f>IF(E104="HERRAJE",0,IFERROR(_xlfn.XLOOKUP(E104,'⚙️ Configuración Costos'!$E$5:$E$6,'⚙️ Configuración Costos'!$F$5:$F$6),""))</f>
        <v>6</v>
      </c>
      <c r="R104" s="19">
        <f t="shared" si="59"/>
        <v>0</v>
      </c>
      <c r="S104" s="37">
        <f t="shared" si="60"/>
        <v>135.26668233442624</v>
      </c>
      <c r="T104" s="94" t="str">
        <f t="shared" si="61"/>
        <v>OK</v>
      </c>
      <c r="U104" s="95" t="str">
        <f t="shared" si="62"/>
        <v/>
      </c>
      <c r="V104" s="96">
        <f t="shared" si="63"/>
        <v>0</v>
      </c>
    </row>
    <row r="105" spans="1:22" x14ac:dyDescent="0.2">
      <c r="A105" s="35">
        <v>1</v>
      </c>
      <c r="B105" s="6">
        <v>869</v>
      </c>
      <c r="C105" s="6">
        <v>320</v>
      </c>
      <c r="D105" s="7" t="s">
        <v>70</v>
      </c>
      <c r="E105" s="7" t="s">
        <v>64</v>
      </c>
      <c r="F105" s="8">
        <v>0</v>
      </c>
      <c r="G105" s="8">
        <v>1</v>
      </c>
      <c r="H105" s="8">
        <v>1</v>
      </c>
      <c r="I105" s="8">
        <v>0</v>
      </c>
      <c r="J105" s="8">
        <v>0</v>
      </c>
      <c r="K105" s="9" t="s">
        <v>10</v>
      </c>
      <c r="L105" s="47" t="s">
        <v>136</v>
      </c>
      <c r="M105" s="10">
        <f t="shared" si="56"/>
        <v>0.27807999999999999</v>
      </c>
      <c r="N105" s="11">
        <f t="shared" si="57"/>
        <v>1.738</v>
      </c>
      <c r="O105" s="12">
        <f>IF(E105="HERRAJE",IFERROR(_xlfn.XLOOKUP(D105,'⚙️ Configuración Costos'!$A$11:$A$20,'⚙️ Configuración Costos'!$B$11:$B$20),""),IFERROR(_xlfn.XLOOKUP(E105,'⚙️ Configuración Costos'!$A$5:$A$6,'⚙️ Configuración Costos'!$B$5:$B$6),""))</f>
        <v>239.8426229508197</v>
      </c>
      <c r="P105" s="12">
        <f t="shared" si="58"/>
        <v>66.695436590163936</v>
      </c>
      <c r="Q105" s="12">
        <f>IF(E105="HERRAJE",0,IFERROR(_xlfn.XLOOKUP(E105,'⚙️ Configuración Costos'!$E$5:$E$6,'⚙️ Configuración Costos'!$F$5:$F$6),""))</f>
        <v>6</v>
      </c>
      <c r="R105" s="12">
        <f t="shared" si="59"/>
        <v>10.428000000000001</v>
      </c>
      <c r="S105" s="38">
        <f t="shared" si="60"/>
        <v>77.123436590163934</v>
      </c>
      <c r="T105" s="94" t="str">
        <f t="shared" si="61"/>
        <v>OK</v>
      </c>
      <c r="U105" s="95" t="str">
        <f t="shared" si="62"/>
        <v/>
      </c>
      <c r="V105" s="96">
        <f t="shared" si="63"/>
        <v>0</v>
      </c>
    </row>
    <row r="106" spans="1:22" x14ac:dyDescent="0.2">
      <c r="A106" s="35">
        <v>1</v>
      </c>
      <c r="B106" s="6">
        <v>869</v>
      </c>
      <c r="C106" s="6">
        <v>320</v>
      </c>
      <c r="D106" s="7" t="s">
        <v>72</v>
      </c>
      <c r="E106" s="7" t="s">
        <v>64</v>
      </c>
      <c r="F106" s="8">
        <v>0</v>
      </c>
      <c r="G106" s="8">
        <v>1</v>
      </c>
      <c r="H106" s="8">
        <v>1</v>
      </c>
      <c r="I106" s="8">
        <v>0</v>
      </c>
      <c r="J106" s="8">
        <v>0</v>
      </c>
      <c r="K106" s="9" t="s">
        <v>10</v>
      </c>
      <c r="L106" s="47" t="s">
        <v>137</v>
      </c>
      <c r="M106" s="10">
        <f t="shared" si="56"/>
        <v>0.27807999999999999</v>
      </c>
      <c r="N106" s="11">
        <f t="shared" si="57"/>
        <v>1.738</v>
      </c>
      <c r="O106" s="12">
        <f>IF(E106="HERRAJE",IFERROR(_xlfn.XLOOKUP(D106,'⚙️ Configuración Costos'!$A$11:$A$20,'⚙️ Configuración Costos'!$B$11:$B$20),""),IFERROR(_xlfn.XLOOKUP(E106,'⚙️ Configuración Costos'!$A$5:$A$6,'⚙️ Configuración Costos'!$B$5:$B$6),""))</f>
        <v>239.8426229508197</v>
      </c>
      <c r="P106" s="12">
        <f t="shared" si="58"/>
        <v>66.695436590163936</v>
      </c>
      <c r="Q106" s="12">
        <f>IF(E106="HERRAJE",0,IFERROR(_xlfn.XLOOKUP(E106,'⚙️ Configuración Costos'!$E$5:$E$6,'⚙️ Configuración Costos'!$F$5:$F$6),""))</f>
        <v>6</v>
      </c>
      <c r="R106" s="12">
        <f t="shared" si="59"/>
        <v>10.428000000000001</v>
      </c>
      <c r="S106" s="38">
        <f t="shared" si="60"/>
        <v>77.123436590163934</v>
      </c>
      <c r="T106" s="94" t="str">
        <f t="shared" si="61"/>
        <v>OK</v>
      </c>
      <c r="U106" s="95" t="str">
        <f t="shared" si="62"/>
        <v/>
      </c>
      <c r="V106" s="96">
        <f t="shared" si="63"/>
        <v>0</v>
      </c>
    </row>
    <row r="107" spans="1:22" x14ac:dyDescent="0.2">
      <c r="A107" s="35">
        <v>1</v>
      </c>
      <c r="B107" s="6">
        <v>869</v>
      </c>
      <c r="C107" s="6">
        <v>256</v>
      </c>
      <c r="D107" s="7" t="s">
        <v>76</v>
      </c>
      <c r="E107" s="7" t="s">
        <v>64</v>
      </c>
      <c r="F107" s="8">
        <v>0</v>
      </c>
      <c r="G107" s="8">
        <v>1</v>
      </c>
      <c r="H107" s="8">
        <v>1</v>
      </c>
      <c r="I107" s="8">
        <v>0</v>
      </c>
      <c r="J107" s="8">
        <v>0</v>
      </c>
      <c r="K107" s="9" t="s">
        <v>10</v>
      </c>
      <c r="L107" s="47" t="s">
        <v>138</v>
      </c>
      <c r="M107" s="10">
        <f t="shared" si="56"/>
        <v>0.222464</v>
      </c>
      <c r="N107" s="11">
        <f t="shared" si="57"/>
        <v>1.738</v>
      </c>
      <c r="O107" s="12">
        <f>IF(E107="HERRAJE",IFERROR(_xlfn.XLOOKUP(D107,'⚙️ Configuración Costos'!$A$11:$A$20,'⚙️ Configuración Costos'!$B$11:$B$20),""),IFERROR(_xlfn.XLOOKUP(E107,'⚙️ Configuración Costos'!$A$5:$A$6,'⚙️ Configuración Costos'!$B$5:$B$6),""))</f>
        <v>239.8426229508197</v>
      </c>
      <c r="P107" s="12">
        <f t="shared" si="58"/>
        <v>53.356349272131155</v>
      </c>
      <c r="Q107" s="12">
        <f>IF(E107="HERRAJE",0,IFERROR(_xlfn.XLOOKUP(E107,'⚙️ Configuración Costos'!$E$5:$E$6,'⚙️ Configuración Costos'!$F$5:$F$6),""))</f>
        <v>6</v>
      </c>
      <c r="R107" s="12">
        <f t="shared" si="59"/>
        <v>10.428000000000001</v>
      </c>
      <c r="S107" s="38">
        <f t="shared" si="60"/>
        <v>63.784349272131152</v>
      </c>
      <c r="T107" s="94" t="str">
        <f t="shared" si="61"/>
        <v>OK</v>
      </c>
      <c r="U107" s="95" t="str">
        <f t="shared" si="62"/>
        <v/>
      </c>
      <c r="V107" s="96">
        <f t="shared" si="63"/>
        <v>0</v>
      </c>
    </row>
    <row r="108" spans="1:22" x14ac:dyDescent="0.2">
      <c r="A108" s="35">
        <v>1</v>
      </c>
      <c r="B108" s="6">
        <v>676</v>
      </c>
      <c r="C108" s="6">
        <v>447</v>
      </c>
      <c r="D108" s="7" t="s">
        <v>131</v>
      </c>
      <c r="E108" s="7" t="s">
        <v>85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9" t="s">
        <v>10</v>
      </c>
      <c r="L108" s="47" t="s">
        <v>139</v>
      </c>
      <c r="M108" s="10">
        <f t="shared" si="56"/>
        <v>0.302172</v>
      </c>
      <c r="N108" s="11">
        <f t="shared" si="57"/>
        <v>2.246</v>
      </c>
      <c r="O108" s="12">
        <f>IF(E108="HERRAJE",IFERROR(_xlfn.XLOOKUP(D108,'⚙️ Configuración Costos'!$A$11:$A$20,'⚙️ Configuración Costos'!$B$11:$B$20),""),IFERROR(_xlfn.XLOOKUP(E108,'⚙️ Configuración Costos'!$A$5:$A$6,'⚙️ Configuración Costos'!$B$5:$B$6),""))</f>
        <v>332.85245901639348</v>
      </c>
      <c r="P108" s="12">
        <f t="shared" si="58"/>
        <v>100.57869324590165</v>
      </c>
      <c r="Q108" s="12">
        <f>IF(E108="HERRAJE",0,IFERROR(_xlfn.XLOOKUP(E108,'⚙️ Configuración Costos'!$E$5:$E$6,'⚙️ Configuración Costos'!$F$5:$F$6),""))</f>
        <v>9.5</v>
      </c>
      <c r="R108" s="12">
        <f t="shared" si="59"/>
        <v>21.337</v>
      </c>
      <c r="S108" s="38">
        <f t="shared" si="60"/>
        <v>121.91569324590165</v>
      </c>
      <c r="T108" s="94" t="str">
        <f t="shared" si="61"/>
        <v>OK</v>
      </c>
      <c r="U108" s="95" t="str">
        <f t="shared" si="62"/>
        <v/>
      </c>
      <c r="V108" s="96">
        <f t="shared" si="63"/>
        <v>0</v>
      </c>
    </row>
    <row r="109" spans="1:22" x14ac:dyDescent="0.2">
      <c r="A109" s="35">
        <v>1</v>
      </c>
      <c r="B109" s="6">
        <v>676</v>
      </c>
      <c r="C109" s="6">
        <v>447</v>
      </c>
      <c r="D109" s="7" t="s">
        <v>129</v>
      </c>
      <c r="E109" s="7" t="s">
        <v>85</v>
      </c>
      <c r="F109" s="8">
        <v>1</v>
      </c>
      <c r="G109" s="8">
        <v>1</v>
      </c>
      <c r="H109" s="8">
        <v>1</v>
      </c>
      <c r="I109" s="8">
        <v>1</v>
      </c>
      <c r="J109" s="8">
        <v>1</v>
      </c>
      <c r="K109" s="9" t="s">
        <v>10</v>
      </c>
      <c r="L109" s="47" t="s">
        <v>140</v>
      </c>
      <c r="M109" s="10">
        <f t="shared" si="56"/>
        <v>0.302172</v>
      </c>
      <c r="N109" s="11">
        <f t="shared" si="57"/>
        <v>2.246</v>
      </c>
      <c r="O109" s="12">
        <f>IF(E109="HERRAJE",IFERROR(_xlfn.XLOOKUP(D109,'⚙️ Configuración Costos'!$A$11:$A$20,'⚙️ Configuración Costos'!$B$11:$B$20),""),IFERROR(_xlfn.XLOOKUP(E109,'⚙️ Configuración Costos'!$A$5:$A$6,'⚙️ Configuración Costos'!$B$5:$B$6),""))</f>
        <v>332.85245901639348</v>
      </c>
      <c r="P109" s="12">
        <f t="shared" si="58"/>
        <v>100.57869324590165</v>
      </c>
      <c r="Q109" s="12">
        <f>IF(E109="HERRAJE",0,IFERROR(_xlfn.XLOOKUP(E109,'⚙️ Configuración Costos'!$E$5:$E$6,'⚙️ Configuración Costos'!$F$5:$F$6),""))</f>
        <v>9.5</v>
      </c>
      <c r="R109" s="12">
        <f t="shared" si="59"/>
        <v>21.337</v>
      </c>
      <c r="S109" s="38">
        <f t="shared" si="60"/>
        <v>121.91569324590165</v>
      </c>
      <c r="T109" s="94" t="str">
        <f t="shared" si="61"/>
        <v>OK</v>
      </c>
      <c r="U109" s="95" t="str">
        <f t="shared" si="62"/>
        <v/>
      </c>
      <c r="V109" s="96">
        <f t="shared" si="63"/>
        <v>0</v>
      </c>
    </row>
    <row r="110" spans="1:22" x14ac:dyDescent="0.2">
      <c r="A110" s="35">
        <v>4</v>
      </c>
      <c r="B110" s="6">
        <v>0</v>
      </c>
      <c r="C110" s="6">
        <v>0</v>
      </c>
      <c r="D110" s="7" t="s">
        <v>90</v>
      </c>
      <c r="E110" s="7" t="s">
        <v>91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9" t="s">
        <v>10</v>
      </c>
      <c r="L110" s="47" t="s">
        <v>92</v>
      </c>
      <c r="M110" s="10">
        <f t="shared" si="56"/>
        <v>0</v>
      </c>
      <c r="N110" s="11">
        <f t="shared" si="57"/>
        <v>0</v>
      </c>
      <c r="O110" s="12">
        <f>IF(E110="HERRAJE",IFERROR(_xlfn.XLOOKUP(D110,'⚙️ Configuración Costos'!$A$11:$A$20,'⚙️ Configuración Costos'!$B$11:$B$20),""),IFERROR(_xlfn.XLOOKUP(E110,'⚙️ Configuración Costos'!$A$5:$A$6,'⚙️ Configuración Costos'!$B$5:$B$6),""))</f>
        <v>20</v>
      </c>
      <c r="P110" s="12">
        <f t="shared" si="58"/>
        <v>80</v>
      </c>
      <c r="Q110" s="12">
        <f>IF(E110="HERRAJE",0,IFERROR(_xlfn.XLOOKUP(E110,'⚙️ Configuración Costos'!$E$5:$E$6,'⚙️ Configuración Costos'!$F$5:$F$6),""))</f>
        <v>0</v>
      </c>
      <c r="R110" s="12">
        <f t="shared" si="59"/>
        <v>0</v>
      </c>
      <c r="S110" s="38">
        <f t="shared" si="60"/>
        <v>80</v>
      </c>
      <c r="T110" s="94" t="str">
        <f t="shared" si="61"/>
        <v>OK</v>
      </c>
      <c r="U110" s="95" t="str">
        <f t="shared" si="62"/>
        <v/>
      </c>
      <c r="V110" s="96">
        <f t="shared" si="63"/>
        <v>0</v>
      </c>
    </row>
    <row r="111" spans="1:22" x14ac:dyDescent="0.2">
      <c r="A111" s="35">
        <v>2</v>
      </c>
      <c r="B111" s="6">
        <v>0</v>
      </c>
      <c r="C111" s="6">
        <v>0</v>
      </c>
      <c r="D111" s="7" t="s">
        <v>93</v>
      </c>
      <c r="E111" s="7" t="s">
        <v>91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9" t="s">
        <v>10</v>
      </c>
      <c r="L111" s="47" t="s">
        <v>94</v>
      </c>
      <c r="M111" s="10">
        <f t="shared" si="56"/>
        <v>0</v>
      </c>
      <c r="N111" s="11">
        <f t="shared" si="57"/>
        <v>0</v>
      </c>
      <c r="O111" s="12">
        <f>IF(E111="HERRAJE",IFERROR(_xlfn.XLOOKUP(D111,'⚙️ Configuración Costos'!$A$11:$A$20,'⚙️ Configuración Costos'!$B$11:$B$20),""),IFERROR(_xlfn.XLOOKUP(E111,'⚙️ Configuración Costos'!$A$5:$A$6,'⚙️ Configuración Costos'!$B$5:$B$6),""))</f>
        <v>15</v>
      </c>
      <c r="P111" s="12">
        <f t="shared" si="58"/>
        <v>30</v>
      </c>
      <c r="Q111" s="12">
        <f>IF(E111="HERRAJE",0,IFERROR(_xlfn.XLOOKUP(E111,'⚙️ Configuración Costos'!$E$5:$E$6,'⚙️ Configuración Costos'!$F$5:$F$6),""))</f>
        <v>0</v>
      </c>
      <c r="R111" s="12">
        <f t="shared" si="59"/>
        <v>0</v>
      </c>
      <c r="S111" s="38">
        <f t="shared" si="60"/>
        <v>30</v>
      </c>
      <c r="T111" s="94" t="str">
        <f t="shared" si="61"/>
        <v>OK</v>
      </c>
      <c r="U111" s="95" t="str">
        <f t="shared" si="62"/>
        <v/>
      </c>
      <c r="V111" s="96">
        <f t="shared" si="63"/>
        <v>0</v>
      </c>
    </row>
    <row r="112" spans="1:22" x14ac:dyDescent="0.2">
      <c r="A112" s="35">
        <v>4</v>
      </c>
      <c r="B112" s="6">
        <v>0</v>
      </c>
      <c r="C112" s="6">
        <v>0</v>
      </c>
      <c r="D112" s="7" t="s">
        <v>95</v>
      </c>
      <c r="E112" s="7" t="s">
        <v>91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9" t="s">
        <v>10</v>
      </c>
      <c r="L112" s="47" t="s">
        <v>96</v>
      </c>
      <c r="M112" s="10">
        <f t="shared" si="56"/>
        <v>0</v>
      </c>
      <c r="N112" s="11">
        <f t="shared" si="57"/>
        <v>0</v>
      </c>
      <c r="O112" s="12">
        <f>IF(E112="HERRAJE",IFERROR(_xlfn.XLOOKUP(D112,'⚙️ Configuración Costos'!$A$11:$A$20,'⚙️ Configuración Costos'!$B$11:$B$20),""),IFERROR(_xlfn.XLOOKUP(E112,'⚙️ Configuración Costos'!$A$5:$A$6,'⚙️ Configuración Costos'!$B$5:$B$6),""))</f>
        <v>2</v>
      </c>
      <c r="P112" s="12">
        <f t="shared" si="58"/>
        <v>8</v>
      </c>
      <c r="Q112" s="12">
        <f>IF(E112="HERRAJE",0,IFERROR(_xlfn.XLOOKUP(E112,'⚙️ Configuración Costos'!$E$5:$E$6,'⚙️ Configuración Costos'!$F$5:$F$6),""))</f>
        <v>0</v>
      </c>
      <c r="R112" s="12">
        <f t="shared" si="59"/>
        <v>0</v>
      </c>
      <c r="S112" s="38">
        <f t="shared" si="60"/>
        <v>8</v>
      </c>
      <c r="T112" s="94" t="str">
        <f t="shared" si="61"/>
        <v>OK</v>
      </c>
      <c r="U112" s="95" t="str">
        <f t="shared" si="62"/>
        <v/>
      </c>
      <c r="V112" s="96">
        <f t="shared" si="63"/>
        <v>0</v>
      </c>
    </row>
    <row r="113" spans="1:22" x14ac:dyDescent="0.2">
      <c r="A113" s="36">
        <v>40</v>
      </c>
      <c r="B113" s="20">
        <v>0</v>
      </c>
      <c r="C113" s="20">
        <v>0</v>
      </c>
      <c r="D113" s="21" t="s">
        <v>97</v>
      </c>
      <c r="E113" s="21" t="s">
        <v>91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3" t="s">
        <v>10</v>
      </c>
      <c r="L113" s="48" t="s">
        <v>98</v>
      </c>
      <c r="M113" s="24">
        <f t="shared" si="56"/>
        <v>0</v>
      </c>
      <c r="N113" s="25">
        <f t="shared" si="57"/>
        <v>0</v>
      </c>
      <c r="O113" s="26">
        <f>IF(E113="HERRAJE",IFERROR(_xlfn.XLOOKUP(D113,'⚙️ Configuración Costos'!$A$11:$A$20,'⚙️ Configuración Costos'!$B$11:$B$20),""),IFERROR(_xlfn.XLOOKUP(E113,'⚙️ Configuración Costos'!$A$5:$A$6,'⚙️ Configuración Costos'!$B$5:$B$6),""))</f>
        <v>1.5</v>
      </c>
      <c r="P113" s="26">
        <f t="shared" si="58"/>
        <v>60</v>
      </c>
      <c r="Q113" s="26">
        <f>IF(E113="HERRAJE",0,IFERROR(_xlfn.XLOOKUP(E113,'⚙️ Configuración Costos'!$E$5:$E$6,'⚙️ Configuración Costos'!$F$5:$F$6),""))</f>
        <v>0</v>
      </c>
      <c r="R113" s="26">
        <f t="shared" si="59"/>
        <v>0</v>
      </c>
      <c r="S113" s="39">
        <f t="shared" si="60"/>
        <v>60</v>
      </c>
      <c r="T113" s="94" t="str">
        <f t="shared" si="61"/>
        <v>OK</v>
      </c>
      <c r="U113" s="95" t="str">
        <f t="shared" si="62"/>
        <v/>
      </c>
      <c r="V113" s="96">
        <f t="shared" si="63"/>
        <v>0</v>
      </c>
    </row>
    <row r="114" spans="1:22" x14ac:dyDescent="0.2">
      <c r="A114" s="27" t="s">
        <v>99</v>
      </c>
      <c r="B114" s="27"/>
      <c r="C114" s="27"/>
      <c r="D114" s="28"/>
      <c r="E114" s="28"/>
      <c r="F114" s="29"/>
      <c r="G114" s="29"/>
      <c r="H114" s="29"/>
      <c r="I114" s="29"/>
      <c r="J114" s="29"/>
      <c r="K114" s="30"/>
      <c r="L114" s="49"/>
      <c r="M114" s="31">
        <f>SUM(M102:M113)</f>
        <v>2.3821490000000001</v>
      </c>
      <c r="N114" s="32">
        <f>SUM(N102:N113)</f>
        <v>13.706</v>
      </c>
      <c r="O114" s="33"/>
      <c r="P114" s="33">
        <f>SUM(P102:P113)</f>
        <v>805.55080078688513</v>
      </c>
      <c r="Q114" s="33"/>
      <c r="R114" s="33">
        <f>SUM(R102:R113)</f>
        <v>97.957999999999998</v>
      </c>
      <c r="S114" s="33">
        <f>SUM(S102:S113)</f>
        <v>903.50880078688533</v>
      </c>
      <c r="T114" s="97"/>
      <c r="U114" s="98"/>
      <c r="V114" s="99"/>
    </row>
    <row r="115" spans="1:22" x14ac:dyDescent="0.2">
      <c r="A115" s="186" t="s">
        <v>628</v>
      </c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8"/>
      <c r="T115" s="97"/>
      <c r="U115" s="98"/>
      <c r="V115" s="99"/>
    </row>
    <row r="116" spans="1:22" x14ac:dyDescent="0.2">
      <c r="A116" s="35">
        <v>1</v>
      </c>
      <c r="B116" s="6">
        <v>340</v>
      </c>
      <c r="C116" s="6">
        <v>320</v>
      </c>
      <c r="D116" s="7" t="s">
        <v>63</v>
      </c>
      <c r="E116" s="7" t="s">
        <v>64</v>
      </c>
      <c r="F116" s="8">
        <v>0</v>
      </c>
      <c r="G116" s="8">
        <v>1</v>
      </c>
      <c r="H116" s="8">
        <v>1</v>
      </c>
      <c r="I116" s="8">
        <v>1</v>
      </c>
      <c r="J116" s="8">
        <v>1</v>
      </c>
      <c r="K116" s="9" t="s">
        <v>629</v>
      </c>
      <c r="L116" s="47" t="s">
        <v>142</v>
      </c>
      <c r="M116" s="10">
        <f t="shared" ref="M116:M125" si="64">IF(AND(ISNUMBER(B116),ISNUMBER(C116),B116&gt;0,C116&gt;0),A116*(B116*C116/1000000),0)</f>
        <v>0.10879999999999999</v>
      </c>
      <c r="N116" s="11">
        <f t="shared" ref="N116:N125" si="65">IF(AND(ISNUMBER(B116),B116&gt;0),A116*(((G116+H116)*B116+(I116+J116)*C116)/1000),0)</f>
        <v>1.32</v>
      </c>
      <c r="O116" s="12">
        <f>IF(E116="HERRAJE",IFERROR(_xlfn.XLOOKUP(D116,'⚙️ Configuración Costos'!$A$11:$A$20,'⚙️ Configuración Costos'!$B$11:$B$20),""),IFERROR(_xlfn.XLOOKUP(E116,'⚙️ Configuración Costos'!$A$5:$A$6,'⚙️ Configuración Costos'!$B$5:$B$6),""))</f>
        <v>239.8426229508197</v>
      </c>
      <c r="P116" s="12">
        <f t="shared" ref="P116:P125" si="66">IF(E116="HERRAJE",A116*O116,M116*O116)</f>
        <v>26.094877377049183</v>
      </c>
      <c r="Q116" s="12">
        <f>IF(E116="HERRAJE",0,IFERROR(_xlfn.XLOOKUP(E116,'⚙️ Configuración Costos'!$E$5:$E$6,'⚙️ Configuración Costos'!$F$5:$F$6),""))</f>
        <v>6</v>
      </c>
      <c r="R116" s="12">
        <f t="shared" ref="R116:R125" si="67">N116*Q116</f>
        <v>7.92</v>
      </c>
      <c r="S116" s="38">
        <f t="shared" ref="S116:S125" si="68">P116+R116</f>
        <v>34.014877377049181</v>
      </c>
      <c r="T116" s="94" t="str">
        <f t="shared" ref="T116:T125" si="69">IF(K116="","SIN ID MÓDULO",IF(E116="HERRAJE",IF(OR(O116="",O116&lt;=0),"SIN PRECIO HERRAJE","OK"),IF(OR(O116="",O116&lt;=0),"SIN PRECIO MATERIAL",IF(AND(N116&gt;0,OR(Q116="",Q116&lt;=0)),"SIN PRECIO CINTILLA","OK"))))</f>
        <v>OK</v>
      </c>
      <c r="U116" s="95" t="str">
        <f t="shared" ref="U116:U125" si="70">IF(T116="OK","",IF(T116="SIN PRECIO HERRAJE","Capturar precio: "&amp;D116,IF(T116="SIN PRECIO MATERIAL","Configurar material: "&amp;E116,IF(T116="SIN PRECIO CINTILLA","Configurar cintilla: "&amp;E116,IF(T116="SIN ID MÓDULO","Revisar ID del módulo","")))))</f>
        <v/>
      </c>
      <c r="V116" s="96">
        <f t="shared" ref="V116:V125" si="71">IF(T116="OK",0,IF(T116="",0,1))</f>
        <v>0</v>
      </c>
    </row>
    <row r="117" spans="1:22" x14ac:dyDescent="0.2">
      <c r="A117" s="35">
        <v>1</v>
      </c>
      <c r="B117" s="6">
        <v>340</v>
      </c>
      <c r="C117" s="6">
        <v>320</v>
      </c>
      <c r="D117" s="7" t="s">
        <v>66</v>
      </c>
      <c r="E117" s="7" t="s">
        <v>64</v>
      </c>
      <c r="F117" s="8">
        <v>0</v>
      </c>
      <c r="G117" s="8">
        <v>1</v>
      </c>
      <c r="H117" s="8">
        <v>1</v>
      </c>
      <c r="I117" s="8">
        <v>1</v>
      </c>
      <c r="J117" s="8">
        <v>1</v>
      </c>
      <c r="K117" s="9" t="s">
        <v>629</v>
      </c>
      <c r="L117" s="47" t="s">
        <v>143</v>
      </c>
      <c r="M117" s="10">
        <f t="shared" si="64"/>
        <v>0.10879999999999999</v>
      </c>
      <c r="N117" s="11">
        <f t="shared" si="65"/>
        <v>1.32</v>
      </c>
      <c r="O117" s="12">
        <f>IF(E117="HERRAJE",IFERROR(_xlfn.XLOOKUP(D117,'⚙️ Configuración Costos'!$A$11:$A$20,'⚙️ Configuración Costos'!$B$11:$B$20),""),IFERROR(_xlfn.XLOOKUP(E117,'⚙️ Configuración Costos'!$A$5:$A$6,'⚙️ Configuración Costos'!$B$5:$B$6),""))</f>
        <v>239.8426229508197</v>
      </c>
      <c r="P117" s="12">
        <f t="shared" si="66"/>
        <v>26.094877377049183</v>
      </c>
      <c r="Q117" s="12">
        <f>IF(E117="HERRAJE",0,IFERROR(_xlfn.XLOOKUP(E117,'⚙️ Configuración Costos'!$E$5:$E$6,'⚙️ Configuración Costos'!$F$5:$F$6),""))</f>
        <v>6</v>
      </c>
      <c r="R117" s="12">
        <f t="shared" si="67"/>
        <v>7.92</v>
      </c>
      <c r="S117" s="38">
        <f t="shared" si="68"/>
        <v>34.014877377049181</v>
      </c>
      <c r="T117" s="94" t="str">
        <f t="shared" si="69"/>
        <v>OK</v>
      </c>
      <c r="U117" s="95" t="str">
        <f t="shared" si="70"/>
        <v/>
      </c>
      <c r="V117" s="96">
        <f t="shared" si="71"/>
        <v>0</v>
      </c>
    </row>
    <row r="118" spans="1:22" x14ac:dyDescent="0.2">
      <c r="A118" s="35">
        <v>1</v>
      </c>
      <c r="B118" s="6">
        <v>469</v>
      </c>
      <c r="C118" s="6">
        <v>309</v>
      </c>
      <c r="D118" s="7" t="s">
        <v>68</v>
      </c>
      <c r="E118" s="7" t="s">
        <v>64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9" t="s">
        <v>629</v>
      </c>
      <c r="L118" s="47" t="s">
        <v>630</v>
      </c>
      <c r="M118" s="10">
        <f t="shared" si="64"/>
        <v>0.14492099999999999</v>
      </c>
      <c r="N118" s="11">
        <f t="shared" si="65"/>
        <v>0</v>
      </c>
      <c r="O118" s="12">
        <f>IF(E118="HERRAJE",IFERROR(_xlfn.XLOOKUP(D118,'⚙️ Configuración Costos'!$A$11:$A$20,'⚙️ Configuración Costos'!$B$11:$B$20),""),IFERROR(_xlfn.XLOOKUP(E118,'⚙️ Configuración Costos'!$A$5:$A$6,'⚙️ Configuración Costos'!$B$5:$B$6),""))</f>
        <v>239.8426229508197</v>
      </c>
      <c r="P118" s="12">
        <f t="shared" si="66"/>
        <v>34.758232760655744</v>
      </c>
      <c r="Q118" s="12">
        <f>IF(E118="HERRAJE",0,IFERROR(_xlfn.XLOOKUP(E118,'⚙️ Configuración Costos'!$E$5:$E$6,'⚙️ Configuración Costos'!$F$5:$F$6),""))</f>
        <v>6</v>
      </c>
      <c r="R118" s="12">
        <f t="shared" si="67"/>
        <v>0</v>
      </c>
      <c r="S118" s="38">
        <f t="shared" si="68"/>
        <v>34.758232760655744</v>
      </c>
      <c r="T118" s="94" t="str">
        <f t="shared" si="69"/>
        <v>OK</v>
      </c>
      <c r="U118" s="95" t="str">
        <f t="shared" si="70"/>
        <v/>
      </c>
      <c r="V118" s="96">
        <f t="shared" si="71"/>
        <v>0</v>
      </c>
    </row>
    <row r="119" spans="1:22" x14ac:dyDescent="0.2">
      <c r="A119" s="34">
        <v>1</v>
      </c>
      <c r="B119" s="13">
        <v>469</v>
      </c>
      <c r="C119" s="13">
        <v>320</v>
      </c>
      <c r="D119" s="14" t="s">
        <v>70</v>
      </c>
      <c r="E119" s="14" t="s">
        <v>64</v>
      </c>
      <c r="F119" s="15">
        <v>0</v>
      </c>
      <c r="G119" s="15">
        <v>1</v>
      </c>
      <c r="H119" s="15">
        <v>1</v>
      </c>
      <c r="I119" s="15">
        <v>0</v>
      </c>
      <c r="J119" s="15">
        <v>0</v>
      </c>
      <c r="K119" s="16" t="s">
        <v>629</v>
      </c>
      <c r="L119" s="46" t="s">
        <v>114</v>
      </c>
      <c r="M119" s="17">
        <f t="shared" si="64"/>
        <v>0.15007999999999999</v>
      </c>
      <c r="N119" s="18">
        <f t="shared" si="65"/>
        <v>0.93799999999999994</v>
      </c>
      <c r="O119" s="19">
        <f>IF(E119="HERRAJE",IFERROR(_xlfn.XLOOKUP(D119,'⚙️ Configuración Costos'!$A$11:$A$20,'⚙️ Configuración Costos'!$B$11:$B$20),""),IFERROR(_xlfn.XLOOKUP(E119,'⚙️ Configuración Costos'!$A$5:$A$6,'⚙️ Configuración Costos'!$B$5:$B$6),""))</f>
        <v>239.8426229508197</v>
      </c>
      <c r="P119" s="19">
        <f t="shared" si="66"/>
        <v>35.995580852459021</v>
      </c>
      <c r="Q119" s="19">
        <f>IF(E119="HERRAJE",0,IFERROR(_xlfn.XLOOKUP(E119,'⚙️ Configuración Costos'!$E$5:$E$6,'⚙️ Configuración Costos'!$F$5:$F$6),""))</f>
        <v>6</v>
      </c>
      <c r="R119" s="19">
        <f t="shared" si="67"/>
        <v>5.6280000000000001</v>
      </c>
      <c r="S119" s="37">
        <f t="shared" si="68"/>
        <v>41.623580852459021</v>
      </c>
      <c r="T119" s="94" t="str">
        <f t="shared" si="69"/>
        <v>OK</v>
      </c>
      <c r="U119" s="95" t="str">
        <f t="shared" si="70"/>
        <v/>
      </c>
      <c r="V119" s="96">
        <f t="shared" si="71"/>
        <v>0</v>
      </c>
    </row>
    <row r="120" spans="1:22" x14ac:dyDescent="0.2">
      <c r="A120" s="35">
        <v>1</v>
      </c>
      <c r="B120" s="6">
        <v>469</v>
      </c>
      <c r="C120" s="6">
        <v>320</v>
      </c>
      <c r="D120" s="7" t="s">
        <v>72</v>
      </c>
      <c r="E120" s="7" t="s">
        <v>64</v>
      </c>
      <c r="F120" s="8">
        <v>0</v>
      </c>
      <c r="G120" s="8">
        <v>1</v>
      </c>
      <c r="H120" s="8">
        <v>1</v>
      </c>
      <c r="I120" s="8">
        <v>0</v>
      </c>
      <c r="J120" s="8">
        <v>0</v>
      </c>
      <c r="K120" s="9" t="s">
        <v>629</v>
      </c>
      <c r="L120" s="47" t="s">
        <v>115</v>
      </c>
      <c r="M120" s="10">
        <f t="shared" si="64"/>
        <v>0.15007999999999999</v>
      </c>
      <c r="N120" s="11">
        <f t="shared" si="65"/>
        <v>0.93799999999999994</v>
      </c>
      <c r="O120" s="12">
        <f>IF(E120="HERRAJE",IFERROR(_xlfn.XLOOKUP(D120,'⚙️ Configuración Costos'!$A$11:$A$20,'⚙️ Configuración Costos'!$B$11:$B$20),""),IFERROR(_xlfn.XLOOKUP(E120,'⚙️ Configuración Costos'!$A$5:$A$6,'⚙️ Configuración Costos'!$B$5:$B$6),""))</f>
        <v>239.8426229508197</v>
      </c>
      <c r="P120" s="12">
        <f t="shared" si="66"/>
        <v>35.995580852459021</v>
      </c>
      <c r="Q120" s="12">
        <f>IF(E120="HERRAJE",0,IFERROR(_xlfn.XLOOKUP(E120,'⚙️ Configuración Costos'!$E$5:$E$6,'⚙️ Configuración Costos'!$F$5:$F$6),""))</f>
        <v>6</v>
      </c>
      <c r="R120" s="12">
        <f t="shared" si="67"/>
        <v>5.6280000000000001</v>
      </c>
      <c r="S120" s="38">
        <f t="shared" si="68"/>
        <v>41.623580852459021</v>
      </c>
      <c r="T120" s="94" t="str">
        <f t="shared" si="69"/>
        <v>OK</v>
      </c>
      <c r="U120" s="95" t="str">
        <f t="shared" si="70"/>
        <v/>
      </c>
      <c r="V120" s="96">
        <f t="shared" si="71"/>
        <v>0</v>
      </c>
    </row>
    <row r="121" spans="1:22" x14ac:dyDescent="0.2">
      <c r="A121" s="35">
        <v>1</v>
      </c>
      <c r="B121" s="6">
        <v>497</v>
      </c>
      <c r="C121" s="6">
        <v>337</v>
      </c>
      <c r="D121" s="7" t="s">
        <v>84</v>
      </c>
      <c r="E121" s="7" t="s">
        <v>85</v>
      </c>
      <c r="F121" s="8">
        <v>1</v>
      </c>
      <c r="G121" s="8">
        <v>1</v>
      </c>
      <c r="H121" s="8">
        <v>1</v>
      </c>
      <c r="I121" s="8">
        <v>1</v>
      </c>
      <c r="J121" s="8">
        <v>1</v>
      </c>
      <c r="K121" s="9" t="s">
        <v>629</v>
      </c>
      <c r="L121" s="47" t="s">
        <v>631</v>
      </c>
      <c r="M121" s="10">
        <f t="shared" si="64"/>
        <v>0.167489</v>
      </c>
      <c r="N121" s="11">
        <f t="shared" si="65"/>
        <v>1.6679999999999999</v>
      </c>
      <c r="O121" s="12">
        <f>IF(E121="HERRAJE",IFERROR(_xlfn.XLOOKUP(D121,'⚙️ Configuración Costos'!$A$11:$A$20,'⚙️ Configuración Costos'!$B$11:$B$20),""),IFERROR(_xlfn.XLOOKUP(E121,'⚙️ Configuración Costos'!$A$5:$A$6,'⚙️ Configuración Costos'!$B$5:$B$6),""))</f>
        <v>332.85245901639348</v>
      </c>
      <c r="P121" s="12">
        <f t="shared" si="66"/>
        <v>55.749125508196727</v>
      </c>
      <c r="Q121" s="12">
        <f>IF(E121="HERRAJE",0,IFERROR(_xlfn.XLOOKUP(E121,'⚙️ Configuración Costos'!$E$5:$E$6,'⚙️ Configuración Costos'!$F$5:$F$6),""))</f>
        <v>9.5</v>
      </c>
      <c r="R121" s="12">
        <f t="shared" si="67"/>
        <v>15.846</v>
      </c>
      <c r="S121" s="38">
        <f t="shared" si="68"/>
        <v>71.59512550819673</v>
      </c>
      <c r="T121" s="94" t="str">
        <f t="shared" si="69"/>
        <v>OK</v>
      </c>
      <c r="U121" s="95" t="str">
        <f t="shared" si="70"/>
        <v/>
      </c>
      <c r="V121" s="96">
        <f t="shared" si="71"/>
        <v>0</v>
      </c>
    </row>
    <row r="122" spans="1:22" x14ac:dyDescent="0.2">
      <c r="A122" s="35">
        <v>2</v>
      </c>
      <c r="B122" s="6">
        <v>0</v>
      </c>
      <c r="C122" s="6">
        <v>0</v>
      </c>
      <c r="D122" s="7" t="s">
        <v>90</v>
      </c>
      <c r="E122" s="7" t="s">
        <v>91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9" t="s">
        <v>629</v>
      </c>
      <c r="L122" s="47" t="s">
        <v>92</v>
      </c>
      <c r="M122" s="10">
        <f t="shared" si="64"/>
        <v>0</v>
      </c>
      <c r="N122" s="11">
        <f t="shared" si="65"/>
        <v>0</v>
      </c>
      <c r="O122" s="12">
        <f>IF(E122="HERRAJE",IFERROR(_xlfn.XLOOKUP(D122,'⚙️ Configuración Costos'!$A$11:$A$20,'⚙️ Configuración Costos'!$B$11:$B$20),""),IFERROR(_xlfn.XLOOKUP(E122,'⚙️ Configuración Costos'!$A$5:$A$6,'⚙️ Configuración Costos'!$B$5:$B$6),""))</f>
        <v>20</v>
      </c>
      <c r="P122" s="12">
        <f t="shared" si="66"/>
        <v>40</v>
      </c>
      <c r="Q122" s="12">
        <f>IF(E122="HERRAJE",0,IFERROR(_xlfn.XLOOKUP(E122,'⚙️ Configuración Costos'!$E$5:$E$6,'⚙️ Configuración Costos'!$F$5:$F$6),""))</f>
        <v>0</v>
      </c>
      <c r="R122" s="12">
        <f t="shared" si="67"/>
        <v>0</v>
      </c>
      <c r="S122" s="38">
        <f t="shared" si="68"/>
        <v>40</v>
      </c>
      <c r="T122" s="94" t="str">
        <f t="shared" si="69"/>
        <v>OK</v>
      </c>
      <c r="U122" s="95" t="str">
        <f t="shared" si="70"/>
        <v/>
      </c>
      <c r="V122" s="96">
        <f t="shared" si="71"/>
        <v>0</v>
      </c>
    </row>
    <row r="123" spans="1:22" x14ac:dyDescent="0.2">
      <c r="A123" s="35">
        <v>1</v>
      </c>
      <c r="B123" s="6">
        <v>0</v>
      </c>
      <c r="C123" s="6">
        <v>0</v>
      </c>
      <c r="D123" s="7" t="s">
        <v>146</v>
      </c>
      <c r="E123" s="7" t="s">
        <v>91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9" t="s">
        <v>629</v>
      </c>
      <c r="L123" s="47" t="s">
        <v>147</v>
      </c>
      <c r="M123" s="10">
        <f t="shared" si="64"/>
        <v>0</v>
      </c>
      <c r="N123" s="11">
        <f t="shared" si="65"/>
        <v>0</v>
      </c>
      <c r="O123" s="12">
        <f>IF(E123="HERRAJE",IFERROR(_xlfn.XLOOKUP(D123,'⚙️ Configuración Costos'!$A$11:$A$20,'⚙️ Configuración Costos'!$B$11:$B$20),""),IFERROR(_xlfn.XLOOKUP(E123,'⚙️ Configuración Costos'!$A$5:$A$6,'⚙️ Configuración Costos'!$B$5:$B$6),""))</f>
        <v>40</v>
      </c>
      <c r="P123" s="12">
        <f t="shared" si="66"/>
        <v>40</v>
      </c>
      <c r="Q123" s="12">
        <f>IF(E123="HERRAJE",0,IFERROR(_xlfn.XLOOKUP(E123,'⚙️ Configuración Costos'!$E$5:$E$6,'⚙️ Configuración Costos'!$F$5:$F$6),""))</f>
        <v>0</v>
      </c>
      <c r="R123" s="12">
        <f t="shared" si="67"/>
        <v>0</v>
      </c>
      <c r="S123" s="38">
        <f t="shared" si="68"/>
        <v>40</v>
      </c>
      <c r="T123" s="94" t="str">
        <f t="shared" si="69"/>
        <v>OK</v>
      </c>
      <c r="U123" s="95" t="str">
        <f t="shared" si="70"/>
        <v/>
      </c>
      <c r="V123" s="96">
        <f t="shared" si="71"/>
        <v>0</v>
      </c>
    </row>
    <row r="124" spans="1:22" x14ac:dyDescent="0.2">
      <c r="A124" s="35">
        <v>1</v>
      </c>
      <c r="B124" s="6">
        <v>0</v>
      </c>
      <c r="C124" s="6">
        <v>0</v>
      </c>
      <c r="D124" s="7" t="s">
        <v>93</v>
      </c>
      <c r="E124" s="7" t="s">
        <v>91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9" t="s">
        <v>629</v>
      </c>
      <c r="L124" s="47" t="s">
        <v>94</v>
      </c>
      <c r="M124" s="10">
        <f t="shared" si="64"/>
        <v>0</v>
      </c>
      <c r="N124" s="11">
        <f t="shared" si="65"/>
        <v>0</v>
      </c>
      <c r="O124" s="12">
        <f>IF(E124="HERRAJE",IFERROR(_xlfn.XLOOKUP(D124,'⚙️ Configuración Costos'!$A$11:$A$20,'⚙️ Configuración Costos'!$B$11:$B$20),""),IFERROR(_xlfn.XLOOKUP(E124,'⚙️ Configuración Costos'!$A$5:$A$6,'⚙️ Configuración Costos'!$B$5:$B$6),""))</f>
        <v>15</v>
      </c>
      <c r="P124" s="12">
        <f t="shared" si="66"/>
        <v>15</v>
      </c>
      <c r="Q124" s="12">
        <f>IF(E124="HERRAJE",0,IFERROR(_xlfn.XLOOKUP(E124,'⚙️ Configuración Costos'!$E$5:$E$6,'⚙️ Configuración Costos'!$F$5:$F$6),""))</f>
        <v>0</v>
      </c>
      <c r="R124" s="12">
        <f t="shared" si="67"/>
        <v>0</v>
      </c>
      <c r="S124" s="38">
        <f t="shared" si="68"/>
        <v>15</v>
      </c>
      <c r="T124" s="94" t="str">
        <f t="shared" si="69"/>
        <v>OK</v>
      </c>
      <c r="U124" s="95" t="str">
        <f t="shared" si="70"/>
        <v/>
      </c>
      <c r="V124" s="96">
        <f t="shared" si="71"/>
        <v>0</v>
      </c>
    </row>
    <row r="125" spans="1:22" ht="16" thickBot="1" x14ac:dyDescent="0.25">
      <c r="A125" s="36">
        <v>24</v>
      </c>
      <c r="B125" s="20">
        <v>0</v>
      </c>
      <c r="C125" s="20">
        <v>0</v>
      </c>
      <c r="D125" s="21" t="s">
        <v>97</v>
      </c>
      <c r="E125" s="21" t="s">
        <v>91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3" t="s">
        <v>629</v>
      </c>
      <c r="L125" s="48" t="s">
        <v>98</v>
      </c>
      <c r="M125" s="24">
        <f t="shared" si="64"/>
        <v>0</v>
      </c>
      <c r="N125" s="25">
        <f t="shared" si="65"/>
        <v>0</v>
      </c>
      <c r="O125" s="26">
        <f>IF(E125="HERRAJE",IFERROR(_xlfn.XLOOKUP(D125,'⚙️ Configuración Costos'!$A$11:$A$20,'⚙️ Configuración Costos'!$B$11:$B$20),""),IFERROR(_xlfn.XLOOKUP(E125,'⚙️ Configuración Costos'!$A$5:$A$6,'⚙️ Configuración Costos'!$B$5:$B$6),""))</f>
        <v>1.5</v>
      </c>
      <c r="P125" s="26">
        <f t="shared" si="66"/>
        <v>36</v>
      </c>
      <c r="Q125" s="26">
        <f>IF(E125="HERRAJE",0,IFERROR(_xlfn.XLOOKUP(E125,'⚙️ Configuración Costos'!$E$5:$E$6,'⚙️ Configuración Costos'!$F$5:$F$6),""))</f>
        <v>0</v>
      </c>
      <c r="R125" s="26">
        <f t="shared" si="67"/>
        <v>0</v>
      </c>
      <c r="S125" s="39">
        <f t="shared" si="68"/>
        <v>36</v>
      </c>
      <c r="T125" s="94" t="str">
        <f t="shared" si="69"/>
        <v>OK</v>
      </c>
      <c r="U125" s="95" t="str">
        <f t="shared" si="70"/>
        <v/>
      </c>
      <c r="V125" s="96">
        <f t="shared" si="71"/>
        <v>0</v>
      </c>
    </row>
    <row r="126" spans="1:22" ht="16" thickTop="1" x14ac:dyDescent="0.2">
      <c r="A126" s="27" t="s">
        <v>99</v>
      </c>
      <c r="B126" s="27"/>
      <c r="C126" s="27"/>
      <c r="D126" s="28"/>
      <c r="E126" s="28"/>
      <c r="F126" s="29"/>
      <c r="G126" s="29"/>
      <c r="H126" s="29"/>
      <c r="I126" s="29"/>
      <c r="J126" s="29"/>
      <c r="K126" s="30"/>
      <c r="L126" s="49"/>
      <c r="M126" s="31">
        <f>SUM(M116:M125)</f>
        <v>0.83016999999999996</v>
      </c>
      <c r="N126" s="32">
        <f>SUM(N116:N125)</f>
        <v>6.1840000000000002</v>
      </c>
      <c r="O126" s="33"/>
      <c r="P126" s="33">
        <f>SUM(P116:P125)</f>
        <v>345.68827472786893</v>
      </c>
      <c r="Q126" s="33"/>
      <c r="R126" s="33">
        <f>SUM(R116:R125)</f>
        <v>42.942</v>
      </c>
      <c r="S126" s="33">
        <f>SUM(S116:S125)</f>
        <v>388.63027472786888</v>
      </c>
      <c r="T126" s="97"/>
      <c r="U126" s="98"/>
      <c r="V126" s="99"/>
    </row>
    <row r="127" spans="1:22" x14ac:dyDescent="0.2">
      <c r="A127" s="186" t="s">
        <v>141</v>
      </c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8"/>
      <c r="T127" s="97"/>
      <c r="U127" s="98"/>
      <c r="V127" s="99"/>
    </row>
    <row r="128" spans="1:22" x14ac:dyDescent="0.2">
      <c r="A128" s="35">
        <v>1</v>
      </c>
      <c r="B128" s="6">
        <v>340</v>
      </c>
      <c r="C128" s="6">
        <v>320</v>
      </c>
      <c r="D128" s="7" t="s">
        <v>63</v>
      </c>
      <c r="E128" s="7" t="s">
        <v>64</v>
      </c>
      <c r="F128" s="8">
        <v>0</v>
      </c>
      <c r="G128" s="8">
        <v>1</v>
      </c>
      <c r="H128" s="8">
        <v>1</v>
      </c>
      <c r="I128" s="8">
        <v>1</v>
      </c>
      <c r="J128" s="8">
        <v>1</v>
      </c>
      <c r="K128" s="9" t="s">
        <v>11</v>
      </c>
      <c r="L128" s="47" t="s">
        <v>142</v>
      </c>
      <c r="M128" s="10">
        <f t="shared" ref="M128:M137" si="72">IF(AND(ISNUMBER(B128),ISNUMBER(C128),B128&gt;0,C128&gt;0),A128*(B128*C128/1000000),0)</f>
        <v>0.10879999999999999</v>
      </c>
      <c r="N128" s="11">
        <f t="shared" ref="N128:N137" si="73">IF(AND(ISNUMBER(B128),B128&gt;0),A128*(((G128+H128)*B128+(I128+J128)*C128)/1000),0)</f>
        <v>1.32</v>
      </c>
      <c r="O128" s="12">
        <f>IF(E128="HERRAJE",IFERROR(_xlfn.XLOOKUP(D128,'⚙️ Configuración Costos'!$A$11:$A$20,'⚙️ Configuración Costos'!$B$11:$B$20),""),IFERROR(_xlfn.XLOOKUP(E128,'⚙️ Configuración Costos'!$A$5:$A$6,'⚙️ Configuración Costos'!$B$5:$B$6),""))</f>
        <v>239.8426229508197</v>
      </c>
      <c r="P128" s="12">
        <f t="shared" ref="P128:P137" si="74">IF(E128="HERRAJE",A128*O128,M128*O128)</f>
        <v>26.094877377049183</v>
      </c>
      <c r="Q128" s="12">
        <f>IF(E128="HERRAJE",0,IFERROR(_xlfn.XLOOKUP(E128,'⚙️ Configuración Costos'!$E$5:$E$6,'⚙️ Configuración Costos'!$F$5:$F$6),""))</f>
        <v>6</v>
      </c>
      <c r="R128" s="12">
        <f t="shared" ref="R128:R137" si="75">N128*Q128</f>
        <v>7.92</v>
      </c>
      <c r="S128" s="38">
        <f t="shared" ref="S128:S137" si="76">P128+R128</f>
        <v>34.014877377049181</v>
      </c>
      <c r="T128" s="94" t="str">
        <f t="shared" ref="T128:T137" si="77">IF(K128="","SIN ID MÓDULO",IF(E128="HERRAJE",IF(OR(O128="",O128&lt;=0),"SIN PRECIO HERRAJE","OK"),IF(OR(O128="",O128&lt;=0),"SIN PRECIO MATERIAL",IF(AND(N128&gt;0,OR(Q128="",Q128&lt;=0)),"SIN PRECIO CINTILLA","OK"))))</f>
        <v>OK</v>
      </c>
      <c r="U128" s="95" t="str">
        <f t="shared" ref="U128:U137" si="78">IF(T128="OK","",IF(T128="SIN PRECIO HERRAJE","Capturar precio: "&amp;D128,IF(T128="SIN PRECIO MATERIAL","Configurar material: "&amp;E128,IF(T128="SIN PRECIO CINTILLA","Configurar cintilla: "&amp;E128,IF(T128="SIN ID MÓDULO","Revisar ID del módulo","")))))</f>
        <v/>
      </c>
      <c r="V128" s="96">
        <f t="shared" ref="V128:V137" si="79">IF(T128="OK",0,IF(T128="",0,1))</f>
        <v>0</v>
      </c>
    </row>
    <row r="129" spans="1:22" x14ac:dyDescent="0.2">
      <c r="A129" s="35">
        <v>1</v>
      </c>
      <c r="B129" s="6">
        <v>340</v>
      </c>
      <c r="C129" s="6">
        <v>320</v>
      </c>
      <c r="D129" s="7" t="s">
        <v>66</v>
      </c>
      <c r="E129" s="7" t="s">
        <v>64</v>
      </c>
      <c r="F129" s="8">
        <v>0</v>
      </c>
      <c r="G129" s="8">
        <v>1</v>
      </c>
      <c r="H129" s="8">
        <v>1</v>
      </c>
      <c r="I129" s="8">
        <v>1</v>
      </c>
      <c r="J129" s="8">
        <v>1</v>
      </c>
      <c r="K129" s="9" t="s">
        <v>11</v>
      </c>
      <c r="L129" s="47" t="s">
        <v>143</v>
      </c>
      <c r="M129" s="10">
        <f t="shared" si="72"/>
        <v>0.10879999999999999</v>
      </c>
      <c r="N129" s="11">
        <f t="shared" si="73"/>
        <v>1.32</v>
      </c>
      <c r="O129" s="12">
        <f>IF(E129="HERRAJE",IFERROR(_xlfn.XLOOKUP(D129,'⚙️ Configuración Costos'!$A$11:$A$20,'⚙️ Configuración Costos'!$B$11:$B$20),""),IFERROR(_xlfn.XLOOKUP(E129,'⚙️ Configuración Costos'!$A$5:$A$6,'⚙️ Configuración Costos'!$B$5:$B$6),""))</f>
        <v>239.8426229508197</v>
      </c>
      <c r="P129" s="12">
        <f t="shared" si="74"/>
        <v>26.094877377049183</v>
      </c>
      <c r="Q129" s="12">
        <f>IF(E129="HERRAJE",0,IFERROR(_xlfn.XLOOKUP(E129,'⚙️ Configuración Costos'!$E$5:$E$6,'⚙️ Configuración Costos'!$F$5:$F$6),""))</f>
        <v>6</v>
      </c>
      <c r="R129" s="12">
        <f t="shared" si="75"/>
        <v>7.92</v>
      </c>
      <c r="S129" s="38">
        <f t="shared" si="76"/>
        <v>34.014877377049181</v>
      </c>
      <c r="T129" s="94" t="str">
        <f t="shared" si="77"/>
        <v>OK</v>
      </c>
      <c r="U129" s="95" t="str">
        <f t="shared" si="78"/>
        <v/>
      </c>
      <c r="V129" s="96">
        <f t="shared" si="79"/>
        <v>0</v>
      </c>
    </row>
    <row r="130" spans="1:22" x14ac:dyDescent="0.2">
      <c r="A130" s="35">
        <v>1</v>
      </c>
      <c r="B130" s="6">
        <v>569</v>
      </c>
      <c r="C130" s="6">
        <v>309</v>
      </c>
      <c r="D130" s="7" t="s">
        <v>68</v>
      </c>
      <c r="E130" s="7" t="s">
        <v>64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9" t="s">
        <v>11</v>
      </c>
      <c r="L130" s="47" t="s">
        <v>144</v>
      </c>
      <c r="M130" s="10">
        <f t="shared" si="72"/>
        <v>0.17582100000000001</v>
      </c>
      <c r="N130" s="11">
        <f t="shared" si="73"/>
        <v>0</v>
      </c>
      <c r="O130" s="12">
        <f>IF(E130="HERRAJE",IFERROR(_xlfn.XLOOKUP(D130,'⚙️ Configuración Costos'!$A$11:$A$20,'⚙️ Configuración Costos'!$B$11:$B$20),""),IFERROR(_xlfn.XLOOKUP(E130,'⚙️ Configuración Costos'!$A$5:$A$6,'⚙️ Configuración Costos'!$B$5:$B$6),""))</f>
        <v>239.8426229508197</v>
      </c>
      <c r="P130" s="12">
        <f t="shared" si="74"/>
        <v>42.16936980983607</v>
      </c>
      <c r="Q130" s="12">
        <f>IF(E130="HERRAJE",0,IFERROR(_xlfn.XLOOKUP(E130,'⚙️ Configuración Costos'!$E$5:$E$6,'⚙️ Configuración Costos'!$F$5:$F$6),""))</f>
        <v>6</v>
      </c>
      <c r="R130" s="12">
        <f t="shared" si="75"/>
        <v>0</v>
      </c>
      <c r="S130" s="38">
        <f t="shared" si="76"/>
        <v>42.16936980983607</v>
      </c>
      <c r="T130" s="94" t="str">
        <f t="shared" si="77"/>
        <v>OK</v>
      </c>
      <c r="U130" s="95" t="str">
        <f t="shared" si="78"/>
        <v/>
      </c>
      <c r="V130" s="96">
        <f t="shared" si="79"/>
        <v>0</v>
      </c>
    </row>
    <row r="131" spans="1:22" x14ac:dyDescent="0.2">
      <c r="A131" s="34">
        <v>1</v>
      </c>
      <c r="B131" s="13">
        <v>569</v>
      </c>
      <c r="C131" s="13">
        <v>320</v>
      </c>
      <c r="D131" s="14" t="s">
        <v>70</v>
      </c>
      <c r="E131" s="14" t="s">
        <v>64</v>
      </c>
      <c r="F131" s="15">
        <v>0</v>
      </c>
      <c r="G131" s="15">
        <v>1</v>
      </c>
      <c r="H131" s="15">
        <v>1</v>
      </c>
      <c r="I131" s="15">
        <v>0</v>
      </c>
      <c r="J131" s="15">
        <v>0</v>
      </c>
      <c r="K131" s="16" t="s">
        <v>11</v>
      </c>
      <c r="L131" s="46" t="s">
        <v>120</v>
      </c>
      <c r="M131" s="17">
        <f t="shared" si="72"/>
        <v>0.18207999999999999</v>
      </c>
      <c r="N131" s="18">
        <f t="shared" si="73"/>
        <v>1.1379999999999999</v>
      </c>
      <c r="O131" s="19">
        <f>IF(E131="HERRAJE",IFERROR(_xlfn.XLOOKUP(D131,'⚙️ Configuración Costos'!$A$11:$A$20,'⚙️ Configuración Costos'!$B$11:$B$20),""),IFERROR(_xlfn.XLOOKUP(E131,'⚙️ Configuración Costos'!$A$5:$A$6,'⚙️ Configuración Costos'!$B$5:$B$6),""))</f>
        <v>239.8426229508197</v>
      </c>
      <c r="P131" s="19">
        <f t="shared" si="74"/>
        <v>43.670544786885252</v>
      </c>
      <c r="Q131" s="19">
        <f>IF(E131="HERRAJE",0,IFERROR(_xlfn.XLOOKUP(E131,'⚙️ Configuración Costos'!$E$5:$E$6,'⚙️ Configuración Costos'!$F$5:$F$6),""))</f>
        <v>6</v>
      </c>
      <c r="R131" s="19">
        <f t="shared" si="75"/>
        <v>6.8279999999999994</v>
      </c>
      <c r="S131" s="37">
        <f t="shared" si="76"/>
        <v>50.498544786885248</v>
      </c>
      <c r="T131" s="94" t="str">
        <f t="shared" si="77"/>
        <v>OK</v>
      </c>
      <c r="U131" s="95" t="str">
        <f t="shared" si="78"/>
        <v/>
      </c>
      <c r="V131" s="96">
        <f t="shared" si="79"/>
        <v>0</v>
      </c>
    </row>
    <row r="132" spans="1:22" x14ac:dyDescent="0.2">
      <c r="A132" s="35">
        <v>1</v>
      </c>
      <c r="B132" s="6">
        <v>569</v>
      </c>
      <c r="C132" s="6">
        <v>320</v>
      </c>
      <c r="D132" s="7" t="s">
        <v>72</v>
      </c>
      <c r="E132" s="7" t="s">
        <v>64</v>
      </c>
      <c r="F132" s="8">
        <v>0</v>
      </c>
      <c r="G132" s="8">
        <v>1</v>
      </c>
      <c r="H132" s="8">
        <v>1</v>
      </c>
      <c r="I132" s="8">
        <v>0</v>
      </c>
      <c r="J132" s="8">
        <v>0</v>
      </c>
      <c r="K132" s="9" t="s">
        <v>11</v>
      </c>
      <c r="L132" s="47" t="s">
        <v>121</v>
      </c>
      <c r="M132" s="10">
        <f t="shared" si="72"/>
        <v>0.18207999999999999</v>
      </c>
      <c r="N132" s="11">
        <f t="shared" si="73"/>
        <v>1.1379999999999999</v>
      </c>
      <c r="O132" s="12">
        <f>IF(E132="HERRAJE",IFERROR(_xlfn.XLOOKUP(D132,'⚙️ Configuración Costos'!$A$11:$A$20,'⚙️ Configuración Costos'!$B$11:$B$20),""),IFERROR(_xlfn.XLOOKUP(E132,'⚙️ Configuración Costos'!$A$5:$A$6,'⚙️ Configuración Costos'!$B$5:$B$6),""))</f>
        <v>239.8426229508197</v>
      </c>
      <c r="P132" s="12">
        <f t="shared" si="74"/>
        <v>43.670544786885252</v>
      </c>
      <c r="Q132" s="12">
        <f>IF(E132="HERRAJE",0,IFERROR(_xlfn.XLOOKUP(E132,'⚙️ Configuración Costos'!$E$5:$E$6,'⚙️ Configuración Costos'!$F$5:$F$6),""))</f>
        <v>6</v>
      </c>
      <c r="R132" s="12">
        <f t="shared" si="75"/>
        <v>6.8279999999999994</v>
      </c>
      <c r="S132" s="38">
        <f t="shared" si="76"/>
        <v>50.498544786885248</v>
      </c>
      <c r="T132" s="94" t="str">
        <f t="shared" si="77"/>
        <v>OK</v>
      </c>
      <c r="U132" s="95" t="str">
        <f t="shared" si="78"/>
        <v/>
      </c>
      <c r="V132" s="96">
        <f t="shared" si="79"/>
        <v>0</v>
      </c>
    </row>
    <row r="133" spans="1:22" x14ac:dyDescent="0.2">
      <c r="A133" s="35">
        <v>1</v>
      </c>
      <c r="B133" s="6">
        <v>597</v>
      </c>
      <c r="C133" s="6">
        <v>337</v>
      </c>
      <c r="D133" s="7" t="s">
        <v>84</v>
      </c>
      <c r="E133" s="7" t="s">
        <v>85</v>
      </c>
      <c r="F133" s="8">
        <v>1</v>
      </c>
      <c r="G133" s="8">
        <v>1</v>
      </c>
      <c r="H133" s="8">
        <v>1</v>
      </c>
      <c r="I133" s="8">
        <v>1</v>
      </c>
      <c r="J133" s="8">
        <v>1</v>
      </c>
      <c r="K133" s="9" t="s">
        <v>11</v>
      </c>
      <c r="L133" s="47" t="s">
        <v>145</v>
      </c>
      <c r="M133" s="10">
        <f t="shared" si="72"/>
        <v>0.20118900000000001</v>
      </c>
      <c r="N133" s="11">
        <f t="shared" si="73"/>
        <v>1.8680000000000001</v>
      </c>
      <c r="O133" s="12">
        <f>IF(E133="HERRAJE",IFERROR(_xlfn.XLOOKUP(D133,'⚙️ Configuración Costos'!$A$11:$A$20,'⚙️ Configuración Costos'!$B$11:$B$20),""),IFERROR(_xlfn.XLOOKUP(E133,'⚙️ Configuración Costos'!$A$5:$A$6,'⚙️ Configuración Costos'!$B$5:$B$6),""))</f>
        <v>332.85245901639348</v>
      </c>
      <c r="P133" s="12">
        <f t="shared" si="74"/>
        <v>66.966253377049185</v>
      </c>
      <c r="Q133" s="12">
        <f>IF(E133="HERRAJE",0,IFERROR(_xlfn.XLOOKUP(E133,'⚙️ Configuración Costos'!$E$5:$E$6,'⚙️ Configuración Costos'!$F$5:$F$6),""))</f>
        <v>9.5</v>
      </c>
      <c r="R133" s="12">
        <f t="shared" si="75"/>
        <v>17.746000000000002</v>
      </c>
      <c r="S133" s="38">
        <f t="shared" si="76"/>
        <v>84.712253377049194</v>
      </c>
      <c r="T133" s="94" t="str">
        <f t="shared" si="77"/>
        <v>OK</v>
      </c>
      <c r="U133" s="95" t="str">
        <f t="shared" si="78"/>
        <v/>
      </c>
      <c r="V133" s="96">
        <f t="shared" si="79"/>
        <v>0</v>
      </c>
    </row>
    <row r="134" spans="1:22" x14ac:dyDescent="0.2">
      <c r="A134" s="35">
        <v>2</v>
      </c>
      <c r="B134" s="6">
        <v>0</v>
      </c>
      <c r="C134" s="6">
        <v>0</v>
      </c>
      <c r="D134" s="7" t="s">
        <v>90</v>
      </c>
      <c r="E134" s="7" t="s">
        <v>91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9" t="s">
        <v>11</v>
      </c>
      <c r="L134" s="47" t="s">
        <v>92</v>
      </c>
      <c r="M134" s="10">
        <f t="shared" si="72"/>
        <v>0</v>
      </c>
      <c r="N134" s="11">
        <f t="shared" si="73"/>
        <v>0</v>
      </c>
      <c r="O134" s="12">
        <f>IF(E134="HERRAJE",IFERROR(_xlfn.XLOOKUP(D134,'⚙️ Configuración Costos'!$A$11:$A$20,'⚙️ Configuración Costos'!$B$11:$B$20),""),IFERROR(_xlfn.XLOOKUP(E134,'⚙️ Configuración Costos'!$A$5:$A$6,'⚙️ Configuración Costos'!$B$5:$B$6),""))</f>
        <v>20</v>
      </c>
      <c r="P134" s="12">
        <f t="shared" si="74"/>
        <v>40</v>
      </c>
      <c r="Q134" s="12">
        <f>IF(E134="HERRAJE",0,IFERROR(_xlfn.XLOOKUP(E134,'⚙️ Configuración Costos'!$E$5:$E$6,'⚙️ Configuración Costos'!$F$5:$F$6),""))</f>
        <v>0</v>
      </c>
      <c r="R134" s="12">
        <f t="shared" si="75"/>
        <v>0</v>
      </c>
      <c r="S134" s="38">
        <f t="shared" si="76"/>
        <v>40</v>
      </c>
      <c r="T134" s="94" t="str">
        <f t="shared" si="77"/>
        <v>OK</v>
      </c>
      <c r="U134" s="95" t="str">
        <f t="shared" si="78"/>
        <v/>
      </c>
      <c r="V134" s="96">
        <f t="shared" si="79"/>
        <v>0</v>
      </c>
    </row>
    <row r="135" spans="1:22" x14ac:dyDescent="0.2">
      <c r="A135" s="35">
        <v>1</v>
      </c>
      <c r="B135" s="6">
        <v>0</v>
      </c>
      <c r="C135" s="6">
        <v>0</v>
      </c>
      <c r="D135" s="7" t="s">
        <v>146</v>
      </c>
      <c r="E135" s="7" t="s">
        <v>91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9" t="s">
        <v>11</v>
      </c>
      <c r="L135" s="47" t="s">
        <v>147</v>
      </c>
      <c r="M135" s="10">
        <f t="shared" si="72"/>
        <v>0</v>
      </c>
      <c r="N135" s="11">
        <f t="shared" si="73"/>
        <v>0</v>
      </c>
      <c r="O135" s="12">
        <f>IF(E135="HERRAJE",IFERROR(_xlfn.XLOOKUP(D135,'⚙️ Configuración Costos'!$A$11:$A$20,'⚙️ Configuración Costos'!$B$11:$B$20),""),IFERROR(_xlfn.XLOOKUP(E135,'⚙️ Configuración Costos'!$A$5:$A$6,'⚙️ Configuración Costos'!$B$5:$B$6),""))</f>
        <v>40</v>
      </c>
      <c r="P135" s="12">
        <f t="shared" si="74"/>
        <v>40</v>
      </c>
      <c r="Q135" s="12">
        <f>IF(E135="HERRAJE",0,IFERROR(_xlfn.XLOOKUP(E135,'⚙️ Configuración Costos'!$E$5:$E$6,'⚙️ Configuración Costos'!$F$5:$F$6),""))</f>
        <v>0</v>
      </c>
      <c r="R135" s="12">
        <f t="shared" si="75"/>
        <v>0</v>
      </c>
      <c r="S135" s="38">
        <f t="shared" si="76"/>
        <v>40</v>
      </c>
      <c r="T135" s="94" t="str">
        <f t="shared" si="77"/>
        <v>OK</v>
      </c>
      <c r="U135" s="95" t="str">
        <f t="shared" si="78"/>
        <v/>
      </c>
      <c r="V135" s="96">
        <f t="shared" si="79"/>
        <v>0</v>
      </c>
    </row>
    <row r="136" spans="1:22" x14ac:dyDescent="0.2">
      <c r="A136" s="35">
        <v>1</v>
      </c>
      <c r="B136" s="6">
        <v>0</v>
      </c>
      <c r="C136" s="6">
        <v>0</v>
      </c>
      <c r="D136" s="7" t="s">
        <v>93</v>
      </c>
      <c r="E136" s="7" t="s">
        <v>91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9" t="s">
        <v>11</v>
      </c>
      <c r="L136" s="47" t="s">
        <v>94</v>
      </c>
      <c r="M136" s="10">
        <f t="shared" si="72"/>
        <v>0</v>
      </c>
      <c r="N136" s="11">
        <f t="shared" si="73"/>
        <v>0</v>
      </c>
      <c r="O136" s="12">
        <f>IF(E136="HERRAJE",IFERROR(_xlfn.XLOOKUP(D136,'⚙️ Configuración Costos'!$A$11:$A$20,'⚙️ Configuración Costos'!$B$11:$B$20),""),IFERROR(_xlfn.XLOOKUP(E136,'⚙️ Configuración Costos'!$A$5:$A$6,'⚙️ Configuración Costos'!$B$5:$B$6),""))</f>
        <v>15</v>
      </c>
      <c r="P136" s="12">
        <f t="shared" si="74"/>
        <v>15</v>
      </c>
      <c r="Q136" s="12">
        <f>IF(E136="HERRAJE",0,IFERROR(_xlfn.XLOOKUP(E136,'⚙️ Configuración Costos'!$E$5:$E$6,'⚙️ Configuración Costos'!$F$5:$F$6),""))</f>
        <v>0</v>
      </c>
      <c r="R136" s="12">
        <f t="shared" si="75"/>
        <v>0</v>
      </c>
      <c r="S136" s="38">
        <f t="shared" si="76"/>
        <v>15</v>
      </c>
      <c r="T136" s="94" t="str">
        <f t="shared" si="77"/>
        <v>OK</v>
      </c>
      <c r="U136" s="95" t="str">
        <f t="shared" si="78"/>
        <v/>
      </c>
      <c r="V136" s="96">
        <f t="shared" si="79"/>
        <v>0</v>
      </c>
    </row>
    <row r="137" spans="1:22" x14ac:dyDescent="0.2">
      <c r="A137" s="36">
        <v>24</v>
      </c>
      <c r="B137" s="20">
        <v>0</v>
      </c>
      <c r="C137" s="20">
        <v>0</v>
      </c>
      <c r="D137" s="21" t="s">
        <v>97</v>
      </c>
      <c r="E137" s="21" t="s">
        <v>91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3" t="s">
        <v>11</v>
      </c>
      <c r="L137" s="48" t="s">
        <v>98</v>
      </c>
      <c r="M137" s="24">
        <f t="shared" si="72"/>
        <v>0</v>
      </c>
      <c r="N137" s="25">
        <f t="shared" si="73"/>
        <v>0</v>
      </c>
      <c r="O137" s="26">
        <f>IF(E137="HERRAJE",IFERROR(_xlfn.XLOOKUP(D137,'⚙️ Configuración Costos'!$A$11:$A$20,'⚙️ Configuración Costos'!$B$11:$B$20),""),IFERROR(_xlfn.XLOOKUP(E137,'⚙️ Configuración Costos'!$A$5:$A$6,'⚙️ Configuración Costos'!$B$5:$B$6),""))</f>
        <v>1.5</v>
      </c>
      <c r="P137" s="26">
        <f t="shared" si="74"/>
        <v>36</v>
      </c>
      <c r="Q137" s="26">
        <f>IF(E137="HERRAJE",0,IFERROR(_xlfn.XLOOKUP(E137,'⚙️ Configuración Costos'!$E$5:$E$6,'⚙️ Configuración Costos'!$F$5:$F$6),""))</f>
        <v>0</v>
      </c>
      <c r="R137" s="26">
        <f t="shared" si="75"/>
        <v>0</v>
      </c>
      <c r="S137" s="39">
        <f t="shared" si="76"/>
        <v>36</v>
      </c>
      <c r="T137" s="94" t="str">
        <f t="shared" si="77"/>
        <v>OK</v>
      </c>
      <c r="U137" s="95" t="str">
        <f t="shared" si="78"/>
        <v/>
      </c>
      <c r="V137" s="96">
        <f t="shared" si="79"/>
        <v>0</v>
      </c>
    </row>
    <row r="138" spans="1:22" x14ac:dyDescent="0.2">
      <c r="A138" s="27" t="s">
        <v>99</v>
      </c>
      <c r="B138" s="27"/>
      <c r="C138" s="27"/>
      <c r="D138" s="28"/>
      <c r="E138" s="28"/>
      <c r="F138" s="29"/>
      <c r="G138" s="29"/>
      <c r="H138" s="29"/>
      <c r="I138" s="29"/>
      <c r="J138" s="29"/>
      <c r="K138" s="30"/>
      <c r="L138" s="49"/>
      <c r="M138" s="31">
        <f>SUM(M128:M137)</f>
        <v>0.95877000000000012</v>
      </c>
      <c r="N138" s="32">
        <f>SUM(N128:N137)</f>
        <v>6.7840000000000007</v>
      </c>
      <c r="O138" s="33"/>
      <c r="P138" s="33">
        <f>SUM(P128:P137)</f>
        <v>379.66646751475412</v>
      </c>
      <c r="Q138" s="33"/>
      <c r="R138" s="33">
        <f>SUM(R128:R137)</f>
        <v>47.242000000000004</v>
      </c>
      <c r="S138" s="33">
        <f>SUM(S128:S137)</f>
        <v>426.90846751475414</v>
      </c>
      <c r="T138" s="97"/>
      <c r="U138" s="98"/>
      <c r="V138" s="99"/>
    </row>
    <row r="139" spans="1:22" x14ac:dyDescent="0.2">
      <c r="A139" s="186" t="s">
        <v>148</v>
      </c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8"/>
      <c r="T139" s="97"/>
      <c r="U139" s="98"/>
      <c r="V139" s="99"/>
    </row>
    <row r="140" spans="1:22" x14ac:dyDescent="0.2">
      <c r="A140" s="35">
        <v>1</v>
      </c>
      <c r="B140" s="6">
        <v>340</v>
      </c>
      <c r="C140" s="6">
        <v>320</v>
      </c>
      <c r="D140" s="7" t="s">
        <v>63</v>
      </c>
      <c r="E140" s="7" t="s">
        <v>64</v>
      </c>
      <c r="F140" s="8">
        <v>0</v>
      </c>
      <c r="G140" s="8">
        <v>1</v>
      </c>
      <c r="H140" s="8">
        <v>1</v>
      </c>
      <c r="I140" s="8">
        <v>1</v>
      </c>
      <c r="J140" s="8">
        <v>1</v>
      </c>
      <c r="K140" s="9" t="s">
        <v>12</v>
      </c>
      <c r="L140" s="47" t="s">
        <v>142</v>
      </c>
      <c r="M140" s="10">
        <f t="shared" ref="M140:M149" si="80">IF(AND(ISNUMBER(B140),ISNUMBER(C140),B140&gt;0,C140&gt;0),A140*(B140*C140/1000000),0)</f>
        <v>0.10879999999999999</v>
      </c>
      <c r="N140" s="11">
        <f t="shared" ref="N140:N149" si="81">IF(AND(ISNUMBER(B140),B140&gt;0),A140*(((G140+H140)*B140+(I140+J140)*C140)/1000),0)</f>
        <v>1.32</v>
      </c>
      <c r="O140" s="12">
        <f>IF(E140="HERRAJE",IFERROR(_xlfn.XLOOKUP(D140,'⚙️ Configuración Costos'!$A$11:$A$20,'⚙️ Configuración Costos'!$B$11:$B$20),""),IFERROR(_xlfn.XLOOKUP(E140,'⚙️ Configuración Costos'!$A$5:$A$6,'⚙️ Configuración Costos'!$B$5:$B$6),""))</f>
        <v>239.8426229508197</v>
      </c>
      <c r="P140" s="12">
        <f t="shared" ref="P140:P149" si="82">IF(E140="HERRAJE",A140*O140,M140*O140)</f>
        <v>26.094877377049183</v>
      </c>
      <c r="Q140" s="12">
        <f>IF(E140="HERRAJE",0,IFERROR(_xlfn.XLOOKUP(E140,'⚙️ Configuración Costos'!$E$5:$E$6,'⚙️ Configuración Costos'!$F$5:$F$6),""))</f>
        <v>6</v>
      </c>
      <c r="R140" s="12">
        <f t="shared" ref="R140:R149" si="83">N140*Q140</f>
        <v>7.92</v>
      </c>
      <c r="S140" s="38">
        <f t="shared" ref="S140:S149" si="84">P140+R140</f>
        <v>34.014877377049181</v>
      </c>
      <c r="T140" s="94" t="str">
        <f t="shared" ref="T140:T149" si="85">IF(K140="","SIN ID MÓDULO",IF(E140="HERRAJE",IF(OR(O140="",O140&lt;=0),"SIN PRECIO HERRAJE","OK"),IF(OR(O140="",O140&lt;=0),"SIN PRECIO MATERIAL",IF(AND(N140&gt;0,OR(Q140="",Q140&lt;=0)),"SIN PRECIO CINTILLA","OK"))))</f>
        <v>OK</v>
      </c>
      <c r="U140" s="95" t="str">
        <f t="shared" ref="U140:U149" si="86">IF(T140="OK","",IF(T140="SIN PRECIO HERRAJE","Capturar precio: "&amp;D140,IF(T140="SIN PRECIO MATERIAL","Configurar material: "&amp;E140,IF(T140="SIN PRECIO CINTILLA","Configurar cintilla: "&amp;E140,IF(T140="SIN ID MÓDULO","Revisar ID del módulo","")))))</f>
        <v/>
      </c>
      <c r="V140" s="96">
        <f t="shared" ref="V140:V149" si="87">IF(T140="OK",0,IF(T140="",0,1))</f>
        <v>0</v>
      </c>
    </row>
    <row r="141" spans="1:22" x14ac:dyDescent="0.2">
      <c r="A141" s="35">
        <v>1</v>
      </c>
      <c r="B141" s="6">
        <v>340</v>
      </c>
      <c r="C141" s="6">
        <v>320</v>
      </c>
      <c r="D141" s="7" t="s">
        <v>66</v>
      </c>
      <c r="E141" s="7" t="s">
        <v>64</v>
      </c>
      <c r="F141" s="8">
        <v>0</v>
      </c>
      <c r="G141" s="8">
        <v>1</v>
      </c>
      <c r="H141" s="8">
        <v>1</v>
      </c>
      <c r="I141" s="8">
        <v>1</v>
      </c>
      <c r="J141" s="8">
        <v>1</v>
      </c>
      <c r="K141" s="9" t="s">
        <v>12</v>
      </c>
      <c r="L141" s="47" t="s">
        <v>143</v>
      </c>
      <c r="M141" s="10">
        <f t="shared" si="80"/>
        <v>0.10879999999999999</v>
      </c>
      <c r="N141" s="11">
        <f t="shared" si="81"/>
        <v>1.32</v>
      </c>
      <c r="O141" s="12">
        <f>IF(E141="HERRAJE",IFERROR(_xlfn.XLOOKUP(D141,'⚙️ Configuración Costos'!$A$11:$A$20,'⚙️ Configuración Costos'!$B$11:$B$20),""),IFERROR(_xlfn.XLOOKUP(E141,'⚙️ Configuración Costos'!$A$5:$A$6,'⚙️ Configuración Costos'!$B$5:$B$6),""))</f>
        <v>239.8426229508197</v>
      </c>
      <c r="P141" s="12">
        <f t="shared" si="82"/>
        <v>26.094877377049183</v>
      </c>
      <c r="Q141" s="12">
        <f>IF(E141="HERRAJE",0,IFERROR(_xlfn.XLOOKUP(E141,'⚙️ Configuración Costos'!$E$5:$E$6,'⚙️ Configuración Costos'!$F$5:$F$6),""))</f>
        <v>6</v>
      </c>
      <c r="R141" s="12">
        <f t="shared" si="83"/>
        <v>7.92</v>
      </c>
      <c r="S141" s="38">
        <f t="shared" si="84"/>
        <v>34.014877377049181</v>
      </c>
      <c r="T141" s="94" t="str">
        <f t="shared" si="85"/>
        <v>OK</v>
      </c>
      <c r="U141" s="95" t="str">
        <f t="shared" si="86"/>
        <v/>
      </c>
      <c r="V141" s="96">
        <f t="shared" si="87"/>
        <v>0</v>
      </c>
    </row>
    <row r="142" spans="1:22" x14ac:dyDescent="0.2">
      <c r="A142" s="35">
        <v>1</v>
      </c>
      <c r="B142" s="6">
        <v>669</v>
      </c>
      <c r="C142" s="6">
        <v>309</v>
      </c>
      <c r="D142" s="7" t="s">
        <v>68</v>
      </c>
      <c r="E142" s="7" t="s">
        <v>64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9" t="s">
        <v>12</v>
      </c>
      <c r="L142" s="47" t="s">
        <v>149</v>
      </c>
      <c r="M142" s="10">
        <f t="shared" si="80"/>
        <v>0.20672099999999999</v>
      </c>
      <c r="N142" s="11">
        <f t="shared" si="81"/>
        <v>0</v>
      </c>
      <c r="O142" s="12">
        <f>IF(E142="HERRAJE",IFERROR(_xlfn.XLOOKUP(D142,'⚙️ Configuración Costos'!$A$11:$A$20,'⚙️ Configuración Costos'!$B$11:$B$20),""),IFERROR(_xlfn.XLOOKUP(E142,'⚙️ Configuración Costos'!$A$5:$A$6,'⚙️ Configuración Costos'!$B$5:$B$6),""))</f>
        <v>239.8426229508197</v>
      </c>
      <c r="P142" s="12">
        <f t="shared" si="82"/>
        <v>49.580506859016396</v>
      </c>
      <c r="Q142" s="12">
        <f>IF(E142="HERRAJE",0,IFERROR(_xlfn.XLOOKUP(E142,'⚙️ Configuración Costos'!$E$5:$E$6,'⚙️ Configuración Costos'!$F$5:$F$6),""))</f>
        <v>6</v>
      </c>
      <c r="R142" s="12">
        <f t="shared" si="83"/>
        <v>0</v>
      </c>
      <c r="S142" s="38">
        <f t="shared" si="84"/>
        <v>49.580506859016396</v>
      </c>
      <c r="T142" s="94" t="str">
        <f t="shared" si="85"/>
        <v>OK</v>
      </c>
      <c r="U142" s="95" t="str">
        <f t="shared" si="86"/>
        <v/>
      </c>
      <c r="V142" s="96">
        <f t="shared" si="87"/>
        <v>0</v>
      </c>
    </row>
    <row r="143" spans="1:22" x14ac:dyDescent="0.2">
      <c r="A143" s="34">
        <v>1</v>
      </c>
      <c r="B143" s="13">
        <v>669</v>
      </c>
      <c r="C143" s="13">
        <v>320</v>
      </c>
      <c r="D143" s="14" t="s">
        <v>70</v>
      </c>
      <c r="E143" s="14" t="s">
        <v>64</v>
      </c>
      <c r="F143" s="15">
        <v>0</v>
      </c>
      <c r="G143" s="15">
        <v>1</v>
      </c>
      <c r="H143" s="15">
        <v>1</v>
      </c>
      <c r="I143" s="15">
        <v>0</v>
      </c>
      <c r="J143" s="15">
        <v>0</v>
      </c>
      <c r="K143" s="16" t="s">
        <v>12</v>
      </c>
      <c r="L143" s="46" t="s">
        <v>150</v>
      </c>
      <c r="M143" s="17">
        <f t="shared" si="80"/>
        <v>0.21407999999999999</v>
      </c>
      <c r="N143" s="18">
        <f t="shared" si="81"/>
        <v>1.3380000000000001</v>
      </c>
      <c r="O143" s="19">
        <f>IF(E143="HERRAJE",IFERROR(_xlfn.XLOOKUP(D143,'⚙️ Configuración Costos'!$A$11:$A$20,'⚙️ Configuración Costos'!$B$11:$B$20),""),IFERROR(_xlfn.XLOOKUP(E143,'⚙️ Configuración Costos'!$A$5:$A$6,'⚙️ Configuración Costos'!$B$5:$B$6),""))</f>
        <v>239.8426229508197</v>
      </c>
      <c r="P143" s="19">
        <f t="shared" si="82"/>
        <v>51.345508721311482</v>
      </c>
      <c r="Q143" s="19">
        <f>IF(E143="HERRAJE",0,IFERROR(_xlfn.XLOOKUP(E143,'⚙️ Configuración Costos'!$E$5:$E$6,'⚙️ Configuración Costos'!$F$5:$F$6),""))</f>
        <v>6</v>
      </c>
      <c r="R143" s="19">
        <f t="shared" si="83"/>
        <v>8.0280000000000005</v>
      </c>
      <c r="S143" s="37">
        <f t="shared" si="84"/>
        <v>59.373508721311481</v>
      </c>
      <c r="T143" s="94" t="str">
        <f t="shared" si="85"/>
        <v>OK</v>
      </c>
      <c r="U143" s="95" t="str">
        <f t="shared" si="86"/>
        <v/>
      </c>
      <c r="V143" s="96">
        <f t="shared" si="87"/>
        <v>0</v>
      </c>
    </row>
    <row r="144" spans="1:22" x14ac:dyDescent="0.2">
      <c r="A144" s="35">
        <v>1</v>
      </c>
      <c r="B144" s="6">
        <v>669</v>
      </c>
      <c r="C144" s="6">
        <v>320</v>
      </c>
      <c r="D144" s="7" t="s">
        <v>72</v>
      </c>
      <c r="E144" s="7" t="s">
        <v>64</v>
      </c>
      <c r="F144" s="8">
        <v>0</v>
      </c>
      <c r="G144" s="8">
        <v>1</v>
      </c>
      <c r="H144" s="8">
        <v>1</v>
      </c>
      <c r="I144" s="8">
        <v>0</v>
      </c>
      <c r="J144" s="8">
        <v>0</v>
      </c>
      <c r="K144" s="9" t="s">
        <v>12</v>
      </c>
      <c r="L144" s="47" t="s">
        <v>151</v>
      </c>
      <c r="M144" s="10">
        <f t="shared" si="80"/>
        <v>0.21407999999999999</v>
      </c>
      <c r="N144" s="11">
        <f t="shared" si="81"/>
        <v>1.3380000000000001</v>
      </c>
      <c r="O144" s="12">
        <f>IF(E144="HERRAJE",IFERROR(_xlfn.XLOOKUP(D144,'⚙️ Configuración Costos'!$A$11:$A$20,'⚙️ Configuración Costos'!$B$11:$B$20),""),IFERROR(_xlfn.XLOOKUP(E144,'⚙️ Configuración Costos'!$A$5:$A$6,'⚙️ Configuración Costos'!$B$5:$B$6),""))</f>
        <v>239.8426229508197</v>
      </c>
      <c r="P144" s="12">
        <f t="shared" si="82"/>
        <v>51.345508721311482</v>
      </c>
      <c r="Q144" s="12">
        <f>IF(E144="HERRAJE",0,IFERROR(_xlfn.XLOOKUP(E144,'⚙️ Configuración Costos'!$E$5:$E$6,'⚙️ Configuración Costos'!$F$5:$F$6),""))</f>
        <v>6</v>
      </c>
      <c r="R144" s="12">
        <f t="shared" si="83"/>
        <v>8.0280000000000005</v>
      </c>
      <c r="S144" s="38">
        <f t="shared" si="84"/>
        <v>59.373508721311481</v>
      </c>
      <c r="T144" s="94" t="str">
        <f t="shared" si="85"/>
        <v>OK</v>
      </c>
      <c r="U144" s="95" t="str">
        <f t="shared" si="86"/>
        <v/>
      </c>
      <c r="V144" s="96">
        <f t="shared" si="87"/>
        <v>0</v>
      </c>
    </row>
    <row r="145" spans="1:22" x14ac:dyDescent="0.2">
      <c r="A145" s="35">
        <v>1</v>
      </c>
      <c r="B145" s="6">
        <v>697</v>
      </c>
      <c r="C145" s="6">
        <v>337</v>
      </c>
      <c r="D145" s="7" t="s">
        <v>84</v>
      </c>
      <c r="E145" s="7" t="s">
        <v>85</v>
      </c>
      <c r="F145" s="8">
        <v>1</v>
      </c>
      <c r="G145" s="8">
        <v>1</v>
      </c>
      <c r="H145" s="8">
        <v>1</v>
      </c>
      <c r="I145" s="8">
        <v>1</v>
      </c>
      <c r="J145" s="8">
        <v>1</v>
      </c>
      <c r="K145" s="9" t="s">
        <v>12</v>
      </c>
      <c r="L145" s="47" t="s">
        <v>152</v>
      </c>
      <c r="M145" s="10">
        <f t="shared" si="80"/>
        <v>0.23488899999999999</v>
      </c>
      <c r="N145" s="11">
        <f t="shared" si="81"/>
        <v>2.0680000000000001</v>
      </c>
      <c r="O145" s="12">
        <f>IF(E145="HERRAJE",IFERROR(_xlfn.XLOOKUP(D145,'⚙️ Configuración Costos'!$A$11:$A$20,'⚙️ Configuración Costos'!$B$11:$B$20),""),IFERROR(_xlfn.XLOOKUP(E145,'⚙️ Configuración Costos'!$A$5:$A$6,'⚙️ Configuración Costos'!$B$5:$B$6),""))</f>
        <v>332.85245901639348</v>
      </c>
      <c r="P145" s="12">
        <f t="shared" si="82"/>
        <v>78.183381245901643</v>
      </c>
      <c r="Q145" s="12">
        <f>IF(E145="HERRAJE",0,IFERROR(_xlfn.XLOOKUP(E145,'⚙️ Configuración Costos'!$E$5:$E$6,'⚙️ Configuración Costos'!$F$5:$F$6),""))</f>
        <v>9.5</v>
      </c>
      <c r="R145" s="12">
        <f t="shared" si="83"/>
        <v>19.646000000000001</v>
      </c>
      <c r="S145" s="38">
        <f t="shared" si="84"/>
        <v>97.829381245901644</v>
      </c>
      <c r="T145" s="94" t="str">
        <f t="shared" si="85"/>
        <v>OK</v>
      </c>
      <c r="U145" s="95" t="str">
        <f t="shared" si="86"/>
        <v/>
      </c>
      <c r="V145" s="96">
        <f t="shared" si="87"/>
        <v>0</v>
      </c>
    </row>
    <row r="146" spans="1:22" x14ac:dyDescent="0.2">
      <c r="A146" s="35">
        <v>2</v>
      </c>
      <c r="B146" s="6">
        <v>0</v>
      </c>
      <c r="C146" s="6">
        <v>0</v>
      </c>
      <c r="D146" s="7" t="s">
        <v>90</v>
      </c>
      <c r="E146" s="7" t="s">
        <v>91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9" t="s">
        <v>12</v>
      </c>
      <c r="L146" s="47" t="s">
        <v>92</v>
      </c>
      <c r="M146" s="10">
        <f t="shared" si="80"/>
        <v>0</v>
      </c>
      <c r="N146" s="11">
        <f t="shared" si="81"/>
        <v>0</v>
      </c>
      <c r="O146" s="12">
        <f>IF(E146="HERRAJE",IFERROR(_xlfn.XLOOKUP(D146,'⚙️ Configuración Costos'!$A$11:$A$20,'⚙️ Configuración Costos'!$B$11:$B$20),""),IFERROR(_xlfn.XLOOKUP(E146,'⚙️ Configuración Costos'!$A$5:$A$6,'⚙️ Configuración Costos'!$B$5:$B$6),""))</f>
        <v>20</v>
      </c>
      <c r="P146" s="12">
        <f t="shared" si="82"/>
        <v>40</v>
      </c>
      <c r="Q146" s="12">
        <f>IF(E146="HERRAJE",0,IFERROR(_xlfn.XLOOKUP(E146,'⚙️ Configuración Costos'!$E$5:$E$6,'⚙️ Configuración Costos'!$F$5:$F$6),""))</f>
        <v>0</v>
      </c>
      <c r="R146" s="12">
        <f t="shared" si="83"/>
        <v>0</v>
      </c>
      <c r="S146" s="38">
        <f t="shared" si="84"/>
        <v>40</v>
      </c>
      <c r="T146" s="94" t="str">
        <f t="shared" si="85"/>
        <v>OK</v>
      </c>
      <c r="U146" s="95" t="str">
        <f t="shared" si="86"/>
        <v/>
      </c>
      <c r="V146" s="96">
        <f t="shared" si="87"/>
        <v>0</v>
      </c>
    </row>
    <row r="147" spans="1:22" x14ac:dyDescent="0.2">
      <c r="A147" s="35">
        <v>1</v>
      </c>
      <c r="B147" s="6">
        <v>0</v>
      </c>
      <c r="C147" s="6">
        <v>0</v>
      </c>
      <c r="D147" s="7" t="s">
        <v>146</v>
      </c>
      <c r="E147" s="7" t="s">
        <v>91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9" t="s">
        <v>12</v>
      </c>
      <c r="L147" s="47" t="s">
        <v>147</v>
      </c>
      <c r="M147" s="10">
        <f t="shared" si="80"/>
        <v>0</v>
      </c>
      <c r="N147" s="11">
        <f t="shared" si="81"/>
        <v>0</v>
      </c>
      <c r="O147" s="12">
        <f>IF(E147="HERRAJE",IFERROR(_xlfn.XLOOKUP(D147,'⚙️ Configuración Costos'!$A$11:$A$20,'⚙️ Configuración Costos'!$B$11:$B$20),""),IFERROR(_xlfn.XLOOKUP(E147,'⚙️ Configuración Costos'!$A$5:$A$6,'⚙️ Configuración Costos'!$B$5:$B$6),""))</f>
        <v>40</v>
      </c>
      <c r="P147" s="12">
        <f t="shared" si="82"/>
        <v>40</v>
      </c>
      <c r="Q147" s="12">
        <f>IF(E147="HERRAJE",0,IFERROR(_xlfn.XLOOKUP(E147,'⚙️ Configuración Costos'!$E$5:$E$6,'⚙️ Configuración Costos'!$F$5:$F$6),""))</f>
        <v>0</v>
      </c>
      <c r="R147" s="12">
        <f t="shared" si="83"/>
        <v>0</v>
      </c>
      <c r="S147" s="38">
        <f t="shared" si="84"/>
        <v>40</v>
      </c>
      <c r="T147" s="94" t="str">
        <f t="shared" si="85"/>
        <v>OK</v>
      </c>
      <c r="U147" s="95" t="str">
        <f t="shared" si="86"/>
        <v/>
      </c>
      <c r="V147" s="96">
        <f t="shared" si="87"/>
        <v>0</v>
      </c>
    </row>
    <row r="148" spans="1:22" x14ac:dyDescent="0.2">
      <c r="A148" s="35">
        <v>1</v>
      </c>
      <c r="B148" s="6">
        <v>0</v>
      </c>
      <c r="C148" s="6">
        <v>0</v>
      </c>
      <c r="D148" s="7" t="s">
        <v>93</v>
      </c>
      <c r="E148" s="7" t="s">
        <v>91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9" t="s">
        <v>12</v>
      </c>
      <c r="L148" s="47" t="s">
        <v>94</v>
      </c>
      <c r="M148" s="10">
        <f t="shared" si="80"/>
        <v>0</v>
      </c>
      <c r="N148" s="11">
        <f t="shared" si="81"/>
        <v>0</v>
      </c>
      <c r="O148" s="12">
        <f>IF(E148="HERRAJE",IFERROR(_xlfn.XLOOKUP(D148,'⚙️ Configuración Costos'!$A$11:$A$20,'⚙️ Configuración Costos'!$B$11:$B$20),""),IFERROR(_xlfn.XLOOKUP(E148,'⚙️ Configuración Costos'!$A$5:$A$6,'⚙️ Configuración Costos'!$B$5:$B$6),""))</f>
        <v>15</v>
      </c>
      <c r="P148" s="12">
        <f t="shared" si="82"/>
        <v>15</v>
      </c>
      <c r="Q148" s="12">
        <f>IF(E148="HERRAJE",0,IFERROR(_xlfn.XLOOKUP(E148,'⚙️ Configuración Costos'!$E$5:$E$6,'⚙️ Configuración Costos'!$F$5:$F$6),""))</f>
        <v>0</v>
      </c>
      <c r="R148" s="12">
        <f t="shared" si="83"/>
        <v>0</v>
      </c>
      <c r="S148" s="38">
        <f t="shared" si="84"/>
        <v>15</v>
      </c>
      <c r="T148" s="94" t="str">
        <f t="shared" si="85"/>
        <v>OK</v>
      </c>
      <c r="U148" s="95" t="str">
        <f t="shared" si="86"/>
        <v/>
      </c>
      <c r="V148" s="96">
        <f t="shared" si="87"/>
        <v>0</v>
      </c>
    </row>
    <row r="149" spans="1:22" x14ac:dyDescent="0.2">
      <c r="A149" s="36">
        <v>24</v>
      </c>
      <c r="B149" s="20">
        <v>0</v>
      </c>
      <c r="C149" s="20">
        <v>0</v>
      </c>
      <c r="D149" s="21" t="s">
        <v>97</v>
      </c>
      <c r="E149" s="21" t="s">
        <v>91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3" t="s">
        <v>12</v>
      </c>
      <c r="L149" s="48" t="s">
        <v>98</v>
      </c>
      <c r="M149" s="24">
        <f t="shared" si="80"/>
        <v>0</v>
      </c>
      <c r="N149" s="25">
        <f t="shared" si="81"/>
        <v>0</v>
      </c>
      <c r="O149" s="26">
        <f>IF(E149="HERRAJE",IFERROR(_xlfn.XLOOKUP(D149,'⚙️ Configuración Costos'!$A$11:$A$20,'⚙️ Configuración Costos'!$B$11:$B$20),""),IFERROR(_xlfn.XLOOKUP(E149,'⚙️ Configuración Costos'!$A$5:$A$6,'⚙️ Configuración Costos'!$B$5:$B$6),""))</f>
        <v>1.5</v>
      </c>
      <c r="P149" s="26">
        <f t="shared" si="82"/>
        <v>36</v>
      </c>
      <c r="Q149" s="26">
        <f>IF(E149="HERRAJE",0,IFERROR(_xlfn.XLOOKUP(E149,'⚙️ Configuración Costos'!$E$5:$E$6,'⚙️ Configuración Costos'!$F$5:$F$6),""))</f>
        <v>0</v>
      </c>
      <c r="R149" s="26">
        <f t="shared" si="83"/>
        <v>0</v>
      </c>
      <c r="S149" s="39">
        <f t="shared" si="84"/>
        <v>36</v>
      </c>
      <c r="T149" s="94" t="str">
        <f t="shared" si="85"/>
        <v>OK</v>
      </c>
      <c r="U149" s="95" t="str">
        <f t="shared" si="86"/>
        <v/>
      </c>
      <c r="V149" s="96">
        <f t="shared" si="87"/>
        <v>0</v>
      </c>
    </row>
    <row r="150" spans="1:22" x14ac:dyDescent="0.2">
      <c r="A150" s="27" t="s">
        <v>99</v>
      </c>
      <c r="B150" s="27"/>
      <c r="C150" s="27"/>
      <c r="D150" s="28"/>
      <c r="E150" s="28"/>
      <c r="F150" s="29"/>
      <c r="G150" s="29"/>
      <c r="H150" s="29"/>
      <c r="I150" s="29"/>
      <c r="J150" s="29"/>
      <c r="K150" s="30"/>
      <c r="L150" s="49"/>
      <c r="M150" s="31">
        <f>SUM(M140:M149)</f>
        <v>1.0873699999999999</v>
      </c>
      <c r="N150" s="32">
        <f>SUM(N140:N149)</f>
        <v>7.3840000000000003</v>
      </c>
      <c r="O150" s="33"/>
      <c r="P150" s="33">
        <f>SUM(P140:P149)</f>
        <v>413.64466030163942</v>
      </c>
      <c r="Q150" s="33"/>
      <c r="R150" s="33">
        <f>SUM(R140:R149)</f>
        <v>51.542000000000002</v>
      </c>
      <c r="S150" s="33">
        <f>SUM(S140:S149)</f>
        <v>465.18666030163939</v>
      </c>
      <c r="T150" s="97"/>
      <c r="U150" s="98"/>
      <c r="V150" s="99"/>
    </row>
    <row r="151" spans="1:22" x14ac:dyDescent="0.2">
      <c r="A151" s="186" t="s">
        <v>153</v>
      </c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8"/>
      <c r="T151" s="97"/>
      <c r="U151" s="98"/>
      <c r="V151" s="99"/>
    </row>
    <row r="152" spans="1:22" x14ac:dyDescent="0.2">
      <c r="A152" s="35">
        <v>1</v>
      </c>
      <c r="B152" s="6">
        <v>340</v>
      </c>
      <c r="C152" s="6">
        <v>320</v>
      </c>
      <c r="D152" s="7" t="s">
        <v>63</v>
      </c>
      <c r="E152" s="7" t="s">
        <v>64</v>
      </c>
      <c r="F152" s="8">
        <v>0</v>
      </c>
      <c r="G152" s="8">
        <v>1</v>
      </c>
      <c r="H152" s="8">
        <v>1</v>
      </c>
      <c r="I152" s="8">
        <v>1</v>
      </c>
      <c r="J152" s="8">
        <v>1</v>
      </c>
      <c r="K152" s="9" t="s">
        <v>13</v>
      </c>
      <c r="L152" s="47" t="s">
        <v>142</v>
      </c>
      <c r="M152" s="10">
        <f t="shared" ref="M152:M161" si="88">IF(AND(ISNUMBER(B152),ISNUMBER(C152),B152&gt;0,C152&gt;0),A152*(B152*C152/1000000),0)</f>
        <v>0.10879999999999999</v>
      </c>
      <c r="N152" s="11">
        <f t="shared" ref="N152:N161" si="89">IF(AND(ISNUMBER(B152),B152&gt;0),A152*(((G152+H152)*B152+(I152+J152)*C152)/1000),0)</f>
        <v>1.32</v>
      </c>
      <c r="O152" s="12">
        <f>IF(E152="HERRAJE",IFERROR(_xlfn.XLOOKUP(D152,'⚙️ Configuración Costos'!$A$11:$A$20,'⚙️ Configuración Costos'!$B$11:$B$20),""),IFERROR(_xlfn.XLOOKUP(E152,'⚙️ Configuración Costos'!$A$5:$A$6,'⚙️ Configuración Costos'!$B$5:$B$6),""))</f>
        <v>239.8426229508197</v>
      </c>
      <c r="P152" s="12">
        <f t="shared" ref="P152:P161" si="90">IF(E152="HERRAJE",A152*O152,M152*O152)</f>
        <v>26.094877377049183</v>
      </c>
      <c r="Q152" s="12">
        <f>IF(E152="HERRAJE",0,IFERROR(_xlfn.XLOOKUP(E152,'⚙️ Configuración Costos'!$E$5:$E$6,'⚙️ Configuración Costos'!$F$5:$F$6),""))</f>
        <v>6</v>
      </c>
      <c r="R152" s="12">
        <f t="shared" ref="R152:R161" si="91">N152*Q152</f>
        <v>7.92</v>
      </c>
      <c r="S152" s="38">
        <f t="shared" ref="S152:S161" si="92">P152+R152</f>
        <v>34.014877377049181</v>
      </c>
      <c r="T152" s="94" t="str">
        <f t="shared" ref="T152:T161" si="93">IF(K152="","SIN ID MÓDULO",IF(E152="HERRAJE",IF(OR(O152="",O152&lt;=0),"SIN PRECIO HERRAJE","OK"),IF(OR(O152="",O152&lt;=0),"SIN PRECIO MATERIAL",IF(AND(N152&gt;0,OR(Q152="",Q152&lt;=0)),"SIN PRECIO CINTILLA","OK"))))</f>
        <v>OK</v>
      </c>
      <c r="U152" s="95" t="str">
        <f t="shared" ref="U152:U161" si="94">IF(T152="OK","",IF(T152="SIN PRECIO HERRAJE","Capturar precio: "&amp;D152,IF(T152="SIN PRECIO MATERIAL","Configurar material: "&amp;E152,IF(T152="SIN PRECIO CINTILLA","Configurar cintilla: "&amp;E152,IF(T152="SIN ID MÓDULO","Revisar ID del módulo","")))))</f>
        <v/>
      </c>
      <c r="V152" s="96">
        <f t="shared" ref="V152:V161" si="95">IF(T152="OK",0,IF(T152="",0,1))</f>
        <v>0</v>
      </c>
    </row>
    <row r="153" spans="1:22" x14ac:dyDescent="0.2">
      <c r="A153" s="35">
        <v>1</v>
      </c>
      <c r="B153" s="6">
        <v>340</v>
      </c>
      <c r="C153" s="6">
        <v>320</v>
      </c>
      <c r="D153" s="7" t="s">
        <v>66</v>
      </c>
      <c r="E153" s="7" t="s">
        <v>64</v>
      </c>
      <c r="F153" s="8">
        <v>0</v>
      </c>
      <c r="G153" s="8">
        <v>1</v>
      </c>
      <c r="H153" s="8">
        <v>1</v>
      </c>
      <c r="I153" s="8">
        <v>1</v>
      </c>
      <c r="J153" s="8">
        <v>1</v>
      </c>
      <c r="K153" s="9" t="s">
        <v>13</v>
      </c>
      <c r="L153" s="47" t="s">
        <v>143</v>
      </c>
      <c r="M153" s="10">
        <f t="shared" si="88"/>
        <v>0.10879999999999999</v>
      </c>
      <c r="N153" s="11">
        <f t="shared" si="89"/>
        <v>1.32</v>
      </c>
      <c r="O153" s="12">
        <f>IF(E153="HERRAJE",IFERROR(_xlfn.XLOOKUP(D153,'⚙️ Configuración Costos'!$A$11:$A$20,'⚙️ Configuración Costos'!$B$11:$B$20),""),IFERROR(_xlfn.XLOOKUP(E153,'⚙️ Configuración Costos'!$A$5:$A$6,'⚙️ Configuración Costos'!$B$5:$B$6),""))</f>
        <v>239.8426229508197</v>
      </c>
      <c r="P153" s="12">
        <f t="shared" si="90"/>
        <v>26.094877377049183</v>
      </c>
      <c r="Q153" s="12">
        <f>IF(E153="HERRAJE",0,IFERROR(_xlfn.XLOOKUP(E153,'⚙️ Configuración Costos'!$E$5:$E$6,'⚙️ Configuración Costos'!$F$5:$F$6),""))</f>
        <v>6</v>
      </c>
      <c r="R153" s="12">
        <f t="shared" si="91"/>
        <v>7.92</v>
      </c>
      <c r="S153" s="38">
        <f t="shared" si="92"/>
        <v>34.014877377049181</v>
      </c>
      <c r="T153" s="94" t="str">
        <f t="shared" si="93"/>
        <v>OK</v>
      </c>
      <c r="U153" s="95" t="str">
        <f t="shared" si="94"/>
        <v/>
      </c>
      <c r="V153" s="96">
        <f t="shared" si="95"/>
        <v>0</v>
      </c>
    </row>
    <row r="154" spans="1:22" x14ac:dyDescent="0.2">
      <c r="A154" s="35">
        <v>1</v>
      </c>
      <c r="B154" s="6">
        <v>769</v>
      </c>
      <c r="C154" s="6">
        <v>309</v>
      </c>
      <c r="D154" s="7" t="s">
        <v>68</v>
      </c>
      <c r="E154" s="7" t="s">
        <v>64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9" t="s">
        <v>13</v>
      </c>
      <c r="L154" s="47" t="s">
        <v>154</v>
      </c>
      <c r="M154" s="10">
        <f t="shared" si="88"/>
        <v>0.237621</v>
      </c>
      <c r="N154" s="11">
        <f t="shared" si="89"/>
        <v>0</v>
      </c>
      <c r="O154" s="12">
        <f>IF(E154="HERRAJE",IFERROR(_xlfn.XLOOKUP(D154,'⚙️ Configuración Costos'!$A$11:$A$20,'⚙️ Configuración Costos'!$B$11:$B$20),""),IFERROR(_xlfn.XLOOKUP(E154,'⚙️ Configuración Costos'!$A$5:$A$6,'⚙️ Configuración Costos'!$B$5:$B$6),""))</f>
        <v>239.8426229508197</v>
      </c>
      <c r="P154" s="12">
        <f t="shared" si="90"/>
        <v>56.991643908196728</v>
      </c>
      <c r="Q154" s="12">
        <f>IF(E154="HERRAJE",0,IFERROR(_xlfn.XLOOKUP(E154,'⚙️ Configuración Costos'!$E$5:$E$6,'⚙️ Configuración Costos'!$F$5:$F$6),""))</f>
        <v>6</v>
      </c>
      <c r="R154" s="12">
        <f t="shared" si="91"/>
        <v>0</v>
      </c>
      <c r="S154" s="38">
        <f t="shared" si="92"/>
        <v>56.991643908196728</v>
      </c>
      <c r="T154" s="94" t="str">
        <f t="shared" si="93"/>
        <v>OK</v>
      </c>
      <c r="U154" s="95" t="str">
        <f t="shared" si="94"/>
        <v/>
      </c>
      <c r="V154" s="96">
        <f t="shared" si="95"/>
        <v>0</v>
      </c>
    </row>
    <row r="155" spans="1:22" x14ac:dyDescent="0.2">
      <c r="A155" s="34">
        <v>1</v>
      </c>
      <c r="B155" s="13">
        <v>769</v>
      </c>
      <c r="C155" s="13">
        <v>320</v>
      </c>
      <c r="D155" s="14" t="s">
        <v>70</v>
      </c>
      <c r="E155" s="14" t="s">
        <v>64</v>
      </c>
      <c r="F155" s="15">
        <v>0</v>
      </c>
      <c r="G155" s="15">
        <v>1</v>
      </c>
      <c r="H155" s="15">
        <v>1</v>
      </c>
      <c r="I155" s="15">
        <v>0</v>
      </c>
      <c r="J155" s="15">
        <v>0</v>
      </c>
      <c r="K155" s="16" t="s">
        <v>13</v>
      </c>
      <c r="L155" s="46" t="s">
        <v>126</v>
      </c>
      <c r="M155" s="17">
        <f t="shared" si="88"/>
        <v>0.24607999999999999</v>
      </c>
      <c r="N155" s="18">
        <f t="shared" si="89"/>
        <v>1.538</v>
      </c>
      <c r="O155" s="19">
        <f>IF(E155="HERRAJE",IFERROR(_xlfn.XLOOKUP(D155,'⚙️ Configuración Costos'!$A$11:$A$20,'⚙️ Configuración Costos'!$B$11:$B$20),""),IFERROR(_xlfn.XLOOKUP(E155,'⚙️ Configuración Costos'!$A$5:$A$6,'⚙️ Configuración Costos'!$B$5:$B$6),""))</f>
        <v>239.8426229508197</v>
      </c>
      <c r="P155" s="19">
        <f t="shared" si="90"/>
        <v>59.020472655737713</v>
      </c>
      <c r="Q155" s="19">
        <f>IF(E155="HERRAJE",0,IFERROR(_xlfn.XLOOKUP(E155,'⚙️ Configuración Costos'!$E$5:$E$6,'⚙️ Configuración Costos'!$F$5:$F$6),""))</f>
        <v>6</v>
      </c>
      <c r="R155" s="19">
        <f t="shared" si="91"/>
        <v>9.2279999999999998</v>
      </c>
      <c r="S155" s="37">
        <f t="shared" si="92"/>
        <v>68.248472655737714</v>
      </c>
      <c r="T155" s="94" t="str">
        <f t="shared" si="93"/>
        <v>OK</v>
      </c>
      <c r="U155" s="95" t="str">
        <f t="shared" si="94"/>
        <v/>
      </c>
      <c r="V155" s="96">
        <f t="shared" si="95"/>
        <v>0</v>
      </c>
    </row>
    <row r="156" spans="1:22" x14ac:dyDescent="0.2">
      <c r="A156" s="35">
        <v>1</v>
      </c>
      <c r="B156" s="6">
        <v>769</v>
      </c>
      <c r="C156" s="6">
        <v>320</v>
      </c>
      <c r="D156" s="7" t="s">
        <v>72</v>
      </c>
      <c r="E156" s="7" t="s">
        <v>64</v>
      </c>
      <c r="F156" s="8">
        <v>0</v>
      </c>
      <c r="G156" s="8">
        <v>1</v>
      </c>
      <c r="H156" s="8">
        <v>1</v>
      </c>
      <c r="I156" s="8">
        <v>0</v>
      </c>
      <c r="J156" s="8">
        <v>0</v>
      </c>
      <c r="K156" s="9" t="s">
        <v>13</v>
      </c>
      <c r="L156" s="47" t="s">
        <v>127</v>
      </c>
      <c r="M156" s="10">
        <f t="shared" si="88"/>
        <v>0.24607999999999999</v>
      </c>
      <c r="N156" s="11">
        <f t="shared" si="89"/>
        <v>1.538</v>
      </c>
      <c r="O156" s="12">
        <f>IF(E156="HERRAJE",IFERROR(_xlfn.XLOOKUP(D156,'⚙️ Configuración Costos'!$A$11:$A$20,'⚙️ Configuración Costos'!$B$11:$B$20),""),IFERROR(_xlfn.XLOOKUP(E156,'⚙️ Configuración Costos'!$A$5:$A$6,'⚙️ Configuración Costos'!$B$5:$B$6),""))</f>
        <v>239.8426229508197</v>
      </c>
      <c r="P156" s="12">
        <f t="shared" si="90"/>
        <v>59.020472655737713</v>
      </c>
      <c r="Q156" s="12">
        <f>IF(E156="HERRAJE",0,IFERROR(_xlfn.XLOOKUP(E156,'⚙️ Configuración Costos'!$E$5:$E$6,'⚙️ Configuración Costos'!$F$5:$F$6),""))</f>
        <v>6</v>
      </c>
      <c r="R156" s="12">
        <f t="shared" si="91"/>
        <v>9.2279999999999998</v>
      </c>
      <c r="S156" s="38">
        <f t="shared" si="92"/>
        <v>68.248472655737714</v>
      </c>
      <c r="T156" s="94" t="str">
        <f t="shared" si="93"/>
        <v>OK</v>
      </c>
      <c r="U156" s="95" t="str">
        <f t="shared" si="94"/>
        <v/>
      </c>
      <c r="V156" s="96">
        <f t="shared" si="95"/>
        <v>0</v>
      </c>
    </row>
    <row r="157" spans="1:22" x14ac:dyDescent="0.2">
      <c r="A157" s="35">
        <v>1</v>
      </c>
      <c r="B157" s="6">
        <v>797</v>
      </c>
      <c r="C157" s="6">
        <v>337</v>
      </c>
      <c r="D157" s="7" t="s">
        <v>84</v>
      </c>
      <c r="E157" s="7" t="s">
        <v>85</v>
      </c>
      <c r="F157" s="8">
        <v>1</v>
      </c>
      <c r="G157" s="8">
        <v>1</v>
      </c>
      <c r="H157" s="8">
        <v>1</v>
      </c>
      <c r="I157" s="8">
        <v>1</v>
      </c>
      <c r="J157" s="8">
        <v>1</v>
      </c>
      <c r="K157" s="9" t="s">
        <v>13</v>
      </c>
      <c r="L157" s="47" t="s">
        <v>155</v>
      </c>
      <c r="M157" s="10">
        <f t="shared" si="88"/>
        <v>0.26858900000000002</v>
      </c>
      <c r="N157" s="11">
        <f t="shared" si="89"/>
        <v>2.2679999999999998</v>
      </c>
      <c r="O157" s="12">
        <f>IF(E157="HERRAJE",IFERROR(_xlfn.XLOOKUP(D157,'⚙️ Configuración Costos'!$A$11:$A$20,'⚙️ Configuración Costos'!$B$11:$B$20),""),IFERROR(_xlfn.XLOOKUP(E157,'⚙️ Configuración Costos'!$A$5:$A$6,'⚙️ Configuración Costos'!$B$5:$B$6),""))</f>
        <v>332.85245901639348</v>
      </c>
      <c r="P157" s="12">
        <f t="shared" si="90"/>
        <v>89.400509114754115</v>
      </c>
      <c r="Q157" s="12">
        <f>IF(E157="HERRAJE",0,IFERROR(_xlfn.XLOOKUP(E157,'⚙️ Configuración Costos'!$E$5:$E$6,'⚙️ Configuración Costos'!$F$5:$F$6),""))</f>
        <v>9.5</v>
      </c>
      <c r="R157" s="12">
        <f t="shared" si="91"/>
        <v>21.545999999999999</v>
      </c>
      <c r="S157" s="38">
        <f t="shared" si="92"/>
        <v>110.94650911475412</v>
      </c>
      <c r="T157" s="94" t="str">
        <f t="shared" si="93"/>
        <v>OK</v>
      </c>
      <c r="U157" s="95" t="str">
        <f t="shared" si="94"/>
        <v/>
      </c>
      <c r="V157" s="96">
        <f t="shared" si="95"/>
        <v>0</v>
      </c>
    </row>
    <row r="158" spans="1:22" x14ac:dyDescent="0.2">
      <c r="A158" s="35">
        <v>2</v>
      </c>
      <c r="B158" s="6">
        <v>0</v>
      </c>
      <c r="C158" s="6">
        <v>0</v>
      </c>
      <c r="D158" s="7" t="s">
        <v>90</v>
      </c>
      <c r="E158" s="7" t="s">
        <v>91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9" t="s">
        <v>13</v>
      </c>
      <c r="L158" s="47" t="s">
        <v>92</v>
      </c>
      <c r="M158" s="10">
        <f t="shared" si="88"/>
        <v>0</v>
      </c>
      <c r="N158" s="11">
        <f t="shared" si="89"/>
        <v>0</v>
      </c>
      <c r="O158" s="12">
        <f>IF(E158="HERRAJE",IFERROR(_xlfn.XLOOKUP(D158,'⚙️ Configuración Costos'!$A$11:$A$20,'⚙️ Configuración Costos'!$B$11:$B$20),""),IFERROR(_xlfn.XLOOKUP(E158,'⚙️ Configuración Costos'!$A$5:$A$6,'⚙️ Configuración Costos'!$B$5:$B$6),""))</f>
        <v>20</v>
      </c>
      <c r="P158" s="12">
        <f t="shared" si="90"/>
        <v>40</v>
      </c>
      <c r="Q158" s="12">
        <f>IF(E158="HERRAJE",0,IFERROR(_xlfn.XLOOKUP(E158,'⚙️ Configuración Costos'!$E$5:$E$6,'⚙️ Configuración Costos'!$F$5:$F$6),""))</f>
        <v>0</v>
      </c>
      <c r="R158" s="12">
        <f t="shared" si="91"/>
        <v>0</v>
      </c>
      <c r="S158" s="38">
        <f t="shared" si="92"/>
        <v>40</v>
      </c>
      <c r="T158" s="94" t="str">
        <f t="shared" si="93"/>
        <v>OK</v>
      </c>
      <c r="U158" s="95" t="str">
        <f t="shared" si="94"/>
        <v/>
      </c>
      <c r="V158" s="96">
        <f t="shared" si="95"/>
        <v>0</v>
      </c>
    </row>
    <row r="159" spans="1:22" x14ac:dyDescent="0.2">
      <c r="A159" s="35">
        <v>1</v>
      </c>
      <c r="B159" s="6">
        <v>0</v>
      </c>
      <c r="C159" s="6">
        <v>0</v>
      </c>
      <c r="D159" s="7" t="s">
        <v>146</v>
      </c>
      <c r="E159" s="7" t="s">
        <v>91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9" t="s">
        <v>13</v>
      </c>
      <c r="L159" s="47" t="s">
        <v>147</v>
      </c>
      <c r="M159" s="10">
        <f t="shared" si="88"/>
        <v>0</v>
      </c>
      <c r="N159" s="11">
        <f t="shared" si="89"/>
        <v>0</v>
      </c>
      <c r="O159" s="12">
        <f>IF(E159="HERRAJE",IFERROR(_xlfn.XLOOKUP(D159,'⚙️ Configuración Costos'!$A$11:$A$20,'⚙️ Configuración Costos'!$B$11:$B$20),""),IFERROR(_xlfn.XLOOKUP(E159,'⚙️ Configuración Costos'!$A$5:$A$6,'⚙️ Configuración Costos'!$B$5:$B$6),""))</f>
        <v>40</v>
      </c>
      <c r="P159" s="12">
        <f t="shared" si="90"/>
        <v>40</v>
      </c>
      <c r="Q159" s="12">
        <f>IF(E159="HERRAJE",0,IFERROR(_xlfn.XLOOKUP(E159,'⚙️ Configuración Costos'!$E$5:$E$6,'⚙️ Configuración Costos'!$F$5:$F$6),""))</f>
        <v>0</v>
      </c>
      <c r="R159" s="12">
        <f t="shared" si="91"/>
        <v>0</v>
      </c>
      <c r="S159" s="38">
        <f t="shared" si="92"/>
        <v>40</v>
      </c>
      <c r="T159" s="94" t="str">
        <f t="shared" si="93"/>
        <v>OK</v>
      </c>
      <c r="U159" s="95" t="str">
        <f t="shared" si="94"/>
        <v/>
      </c>
      <c r="V159" s="96">
        <f t="shared" si="95"/>
        <v>0</v>
      </c>
    </row>
    <row r="160" spans="1:22" x14ac:dyDescent="0.2">
      <c r="A160" s="35">
        <v>1</v>
      </c>
      <c r="B160" s="6">
        <v>0</v>
      </c>
      <c r="C160" s="6">
        <v>0</v>
      </c>
      <c r="D160" s="7" t="s">
        <v>93</v>
      </c>
      <c r="E160" s="7" t="s">
        <v>91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9" t="s">
        <v>13</v>
      </c>
      <c r="L160" s="47" t="s">
        <v>94</v>
      </c>
      <c r="M160" s="10">
        <f t="shared" si="88"/>
        <v>0</v>
      </c>
      <c r="N160" s="11">
        <f t="shared" si="89"/>
        <v>0</v>
      </c>
      <c r="O160" s="12">
        <f>IF(E160="HERRAJE",IFERROR(_xlfn.XLOOKUP(D160,'⚙️ Configuración Costos'!$A$11:$A$20,'⚙️ Configuración Costos'!$B$11:$B$20),""),IFERROR(_xlfn.XLOOKUP(E160,'⚙️ Configuración Costos'!$A$5:$A$6,'⚙️ Configuración Costos'!$B$5:$B$6),""))</f>
        <v>15</v>
      </c>
      <c r="P160" s="12">
        <f t="shared" si="90"/>
        <v>15</v>
      </c>
      <c r="Q160" s="12">
        <f>IF(E160="HERRAJE",0,IFERROR(_xlfn.XLOOKUP(E160,'⚙️ Configuración Costos'!$E$5:$E$6,'⚙️ Configuración Costos'!$F$5:$F$6),""))</f>
        <v>0</v>
      </c>
      <c r="R160" s="12">
        <f t="shared" si="91"/>
        <v>0</v>
      </c>
      <c r="S160" s="38">
        <f t="shared" si="92"/>
        <v>15</v>
      </c>
      <c r="T160" s="94" t="str">
        <f t="shared" si="93"/>
        <v>OK</v>
      </c>
      <c r="U160" s="95" t="str">
        <f t="shared" si="94"/>
        <v/>
      </c>
      <c r="V160" s="96">
        <f t="shared" si="95"/>
        <v>0</v>
      </c>
    </row>
    <row r="161" spans="1:22" x14ac:dyDescent="0.2">
      <c r="A161" s="36">
        <v>24</v>
      </c>
      <c r="B161" s="20">
        <v>0</v>
      </c>
      <c r="C161" s="20">
        <v>0</v>
      </c>
      <c r="D161" s="21" t="s">
        <v>97</v>
      </c>
      <c r="E161" s="21" t="s">
        <v>91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3" t="s">
        <v>13</v>
      </c>
      <c r="L161" s="48" t="s">
        <v>98</v>
      </c>
      <c r="M161" s="24">
        <f t="shared" si="88"/>
        <v>0</v>
      </c>
      <c r="N161" s="25">
        <f t="shared" si="89"/>
        <v>0</v>
      </c>
      <c r="O161" s="26">
        <f>IF(E161="HERRAJE",IFERROR(_xlfn.XLOOKUP(D161,'⚙️ Configuración Costos'!$A$11:$A$20,'⚙️ Configuración Costos'!$B$11:$B$20),""),IFERROR(_xlfn.XLOOKUP(E161,'⚙️ Configuración Costos'!$A$5:$A$6,'⚙️ Configuración Costos'!$B$5:$B$6),""))</f>
        <v>1.5</v>
      </c>
      <c r="P161" s="26">
        <f t="shared" si="90"/>
        <v>36</v>
      </c>
      <c r="Q161" s="26">
        <f>IF(E161="HERRAJE",0,IFERROR(_xlfn.XLOOKUP(E161,'⚙️ Configuración Costos'!$E$5:$E$6,'⚙️ Configuración Costos'!$F$5:$F$6),""))</f>
        <v>0</v>
      </c>
      <c r="R161" s="26">
        <f t="shared" si="91"/>
        <v>0</v>
      </c>
      <c r="S161" s="39">
        <f t="shared" si="92"/>
        <v>36</v>
      </c>
      <c r="T161" s="94" t="str">
        <f t="shared" si="93"/>
        <v>OK</v>
      </c>
      <c r="U161" s="95" t="str">
        <f t="shared" si="94"/>
        <v/>
      </c>
      <c r="V161" s="96">
        <f t="shared" si="95"/>
        <v>0</v>
      </c>
    </row>
    <row r="162" spans="1:22" x14ac:dyDescent="0.2">
      <c r="A162" s="27" t="s">
        <v>99</v>
      </c>
      <c r="B162" s="27"/>
      <c r="C162" s="27"/>
      <c r="D162" s="28"/>
      <c r="E162" s="28"/>
      <c r="F162" s="29"/>
      <c r="G162" s="29"/>
      <c r="H162" s="29"/>
      <c r="I162" s="29"/>
      <c r="J162" s="29"/>
      <c r="K162" s="30"/>
      <c r="L162" s="49"/>
      <c r="M162" s="31">
        <f>SUM(M152:M161)</f>
        <v>1.21597</v>
      </c>
      <c r="N162" s="32">
        <f>SUM(N152:N161)</f>
        <v>7.984</v>
      </c>
      <c r="O162" s="33"/>
      <c r="P162" s="33">
        <f>SUM(P152:P161)</f>
        <v>447.62285308852461</v>
      </c>
      <c r="Q162" s="33"/>
      <c r="R162" s="33">
        <f>SUM(R152:R161)</f>
        <v>55.841999999999999</v>
      </c>
      <c r="S162" s="33">
        <f>SUM(S152:S161)</f>
        <v>503.46485308852465</v>
      </c>
      <c r="T162" s="97"/>
      <c r="U162" s="98"/>
      <c r="V162" s="99"/>
    </row>
    <row r="163" spans="1:22" x14ac:dyDescent="0.2">
      <c r="A163" s="195" t="s">
        <v>156</v>
      </c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7"/>
      <c r="T163" s="97"/>
      <c r="U163" s="98"/>
      <c r="V163" s="99"/>
    </row>
    <row r="164" spans="1:22" x14ac:dyDescent="0.2">
      <c r="A164" s="35">
        <v>1</v>
      </c>
      <c r="B164" s="44">
        <v>680</v>
      </c>
      <c r="C164" s="44">
        <v>340</v>
      </c>
      <c r="D164" s="43" t="s">
        <v>63</v>
      </c>
      <c r="E164" s="43" t="s">
        <v>85</v>
      </c>
      <c r="F164" s="53">
        <v>1</v>
      </c>
      <c r="G164" s="44">
        <v>1</v>
      </c>
      <c r="H164" s="44">
        <v>1</v>
      </c>
      <c r="I164" s="44">
        <v>1</v>
      </c>
      <c r="J164" s="44">
        <v>1</v>
      </c>
      <c r="K164" s="23" t="s">
        <v>14</v>
      </c>
      <c r="L164" t="s">
        <v>157</v>
      </c>
      <c r="M164" s="10">
        <f t="shared" ref="M164:M171" si="96">IF(AND(ISNUMBER(B164),ISNUMBER(C164),B164&gt;0,C164&gt;0),A164*(B164*C164/1000000),0)</f>
        <v>0.23119999999999999</v>
      </c>
      <c r="N164" s="11">
        <f t="shared" ref="N164:N171" si="97">IF(AND(ISNUMBER(B164),B164&gt;0),A164*(((G164+H164)*B164+(I164+J164)*C164)/1000),0)</f>
        <v>2.04</v>
      </c>
      <c r="O164" s="12">
        <f>IF(E164="HERRAJE",IFERROR(_xlfn.XLOOKUP(D164,'⚙️ Configuración Costos'!$A$11:$A$20,'⚙️ Configuración Costos'!$B$11:$B$20),""),IFERROR(_xlfn.XLOOKUP(E164,'⚙️ Configuración Costos'!$A$5:$A$6,'⚙️ Configuración Costos'!$B$5:$B$6),""))</f>
        <v>332.85245901639348</v>
      </c>
      <c r="P164" s="12">
        <f t="shared" ref="P164:P171" si="98">IF(E164="HERRAJE",A164*O164,M164*O164)</f>
        <v>76.955488524590166</v>
      </c>
      <c r="Q164">
        <f>IF(E164="HERRAJE",0,IFERROR(_xlfn.XLOOKUP(E164,'⚙️ Configuración Costos'!$E$5:$E$6,'⚙️ Configuración Costos'!$F$5:$F$6),""))</f>
        <v>9.5</v>
      </c>
      <c r="R164">
        <f t="shared" ref="R164:R171" si="99">N164*Q164</f>
        <v>19.38</v>
      </c>
      <c r="S164" s="38">
        <f t="shared" ref="S164:S171" si="100">P164+R164</f>
        <v>96.335488524590161</v>
      </c>
      <c r="T164" s="94" t="str">
        <f t="shared" ref="T164:T171" si="101">IF(K164="","SIN ID MÓDULO",IF(E164="HERRAJE",IF(OR(O164="",O164&lt;=0),"SIN PRECIO HERRAJE","OK"),IF(OR(O164="",O164&lt;=0),"SIN PRECIO MATERIAL",IF(AND(N164&gt;0,OR(Q164="",Q164&lt;=0)),"SIN PRECIO CINTILLA","OK"))))</f>
        <v>OK</v>
      </c>
      <c r="U164" s="95" t="str">
        <f t="shared" ref="U164:U171" si="102">IF(T164="OK","",IF(T164="SIN PRECIO HERRAJE","Capturar precio: "&amp;D164,IF(T164="SIN PRECIO MATERIAL","Configurar material: "&amp;E164,IF(T164="SIN PRECIO CINTILLA","Configurar cintilla: "&amp;E164,IF(T164="SIN ID MÓDULO","Revisar ID del módulo","")))))</f>
        <v/>
      </c>
      <c r="V164" s="96">
        <f t="shared" ref="V164:V171" si="103">IF(T164="OK",0,IF(T164="",0,1))</f>
        <v>0</v>
      </c>
    </row>
    <row r="165" spans="1:22" x14ac:dyDescent="0.2">
      <c r="A165" s="35">
        <v>1</v>
      </c>
      <c r="B165" s="44">
        <v>680</v>
      </c>
      <c r="C165" s="44">
        <v>340</v>
      </c>
      <c r="D165" s="43" t="s">
        <v>66</v>
      </c>
      <c r="E165" s="43" t="s">
        <v>85</v>
      </c>
      <c r="F165" s="53">
        <v>1</v>
      </c>
      <c r="G165" s="44">
        <v>1</v>
      </c>
      <c r="H165" s="44">
        <v>1</v>
      </c>
      <c r="I165" s="44">
        <v>1</v>
      </c>
      <c r="J165" s="44">
        <v>1</v>
      </c>
      <c r="K165" s="23" t="s">
        <v>14</v>
      </c>
      <c r="L165" t="s">
        <v>158</v>
      </c>
      <c r="M165" s="10">
        <f t="shared" si="96"/>
        <v>0.23119999999999999</v>
      </c>
      <c r="N165" s="11">
        <f t="shared" si="97"/>
        <v>2.04</v>
      </c>
      <c r="O165" s="12">
        <f>IF(E165="HERRAJE",IFERROR(_xlfn.XLOOKUP(D165,'⚙️ Configuración Costos'!$A$11:$A$20,'⚙️ Configuración Costos'!$B$11:$B$20),""),IFERROR(_xlfn.XLOOKUP(E165,'⚙️ Configuración Costos'!$A$5:$A$6,'⚙️ Configuración Costos'!$B$5:$B$6),""))</f>
        <v>332.85245901639348</v>
      </c>
      <c r="P165" s="12">
        <f t="shared" si="98"/>
        <v>76.955488524590166</v>
      </c>
      <c r="Q165">
        <f>IF(E165="HERRAJE",0,IFERROR(_xlfn.XLOOKUP(E165,'⚙️ Configuración Costos'!$E$5:$E$6,'⚙️ Configuración Costos'!$F$5:$F$6),""))</f>
        <v>9.5</v>
      </c>
      <c r="R165">
        <f t="shared" si="99"/>
        <v>19.38</v>
      </c>
      <c r="S165" s="38">
        <f t="shared" si="100"/>
        <v>96.335488524590161</v>
      </c>
      <c r="T165" s="94" t="str">
        <f t="shared" si="101"/>
        <v>OK</v>
      </c>
      <c r="U165" s="95" t="str">
        <f t="shared" si="102"/>
        <v/>
      </c>
      <c r="V165" s="96">
        <f t="shared" si="103"/>
        <v>0</v>
      </c>
    </row>
    <row r="166" spans="1:22" x14ac:dyDescent="0.2">
      <c r="A166" s="35">
        <v>1</v>
      </c>
      <c r="B166" s="44">
        <v>649</v>
      </c>
      <c r="C166" s="44">
        <v>239</v>
      </c>
      <c r="D166" s="43" t="s">
        <v>68</v>
      </c>
      <c r="E166" s="43" t="s">
        <v>85</v>
      </c>
      <c r="F166" s="53">
        <v>1</v>
      </c>
      <c r="G166" s="44">
        <v>0</v>
      </c>
      <c r="H166" s="44">
        <v>0</v>
      </c>
      <c r="I166" s="44">
        <v>0</v>
      </c>
      <c r="J166" s="44">
        <v>0</v>
      </c>
      <c r="K166" s="23" t="s">
        <v>14</v>
      </c>
      <c r="L166" t="s">
        <v>159</v>
      </c>
      <c r="M166" s="10">
        <f t="shared" si="96"/>
        <v>0.155111</v>
      </c>
      <c r="N166" s="11">
        <f t="shared" si="97"/>
        <v>0</v>
      </c>
      <c r="O166" s="12">
        <f>IF(E166="HERRAJE",IFERROR(_xlfn.XLOOKUP(D166,'⚙️ Configuración Costos'!$A$11:$A$20,'⚙️ Configuración Costos'!$B$11:$B$20),""),IFERROR(_xlfn.XLOOKUP(E166,'⚙️ Configuración Costos'!$A$5:$A$6,'⚙️ Configuración Costos'!$B$5:$B$6),""))</f>
        <v>332.85245901639348</v>
      </c>
      <c r="P166" s="12">
        <f t="shared" si="98"/>
        <v>51.629077770491811</v>
      </c>
      <c r="Q166">
        <f>IF(E166="HERRAJE",0,IFERROR(_xlfn.XLOOKUP(E166,'⚙️ Configuración Costos'!$E$5:$E$6,'⚙️ Configuración Costos'!$F$5:$F$6),""))</f>
        <v>9.5</v>
      </c>
      <c r="R166">
        <f t="shared" si="99"/>
        <v>0</v>
      </c>
      <c r="S166" s="38">
        <f t="shared" si="100"/>
        <v>51.629077770491811</v>
      </c>
      <c r="T166" s="94" t="str">
        <f t="shared" si="101"/>
        <v>OK</v>
      </c>
      <c r="U166" s="95" t="str">
        <f t="shared" si="102"/>
        <v/>
      </c>
      <c r="V166" s="96">
        <f t="shared" si="103"/>
        <v>0</v>
      </c>
    </row>
    <row r="167" spans="1:22" x14ac:dyDescent="0.2">
      <c r="A167" s="35">
        <v>1</v>
      </c>
      <c r="B167" s="44">
        <v>239</v>
      </c>
      <c r="C167" s="44">
        <v>340</v>
      </c>
      <c r="D167" s="43" t="s">
        <v>70</v>
      </c>
      <c r="E167" s="43" t="s">
        <v>85</v>
      </c>
      <c r="F167" s="53">
        <v>1</v>
      </c>
      <c r="G167" s="44">
        <v>0</v>
      </c>
      <c r="H167" s="44">
        <v>0</v>
      </c>
      <c r="I167" s="44">
        <v>1</v>
      </c>
      <c r="J167" s="44">
        <v>1</v>
      </c>
      <c r="K167" s="23" t="s">
        <v>14</v>
      </c>
      <c r="L167" t="s">
        <v>160</v>
      </c>
      <c r="M167" s="10">
        <f t="shared" si="96"/>
        <v>8.1259999999999999E-2</v>
      </c>
      <c r="N167" s="11">
        <f t="shared" si="97"/>
        <v>0.68</v>
      </c>
      <c r="O167" s="12">
        <f>IF(E167="HERRAJE",IFERROR(_xlfn.XLOOKUP(D167,'⚙️ Configuración Costos'!$A$11:$A$20,'⚙️ Configuración Costos'!$B$11:$B$20),""),IFERROR(_xlfn.XLOOKUP(E167,'⚙️ Configuración Costos'!$A$5:$A$6,'⚙️ Configuración Costos'!$B$5:$B$6),""))</f>
        <v>332.85245901639348</v>
      </c>
      <c r="P167" s="12">
        <f t="shared" si="98"/>
        <v>27.047590819672134</v>
      </c>
      <c r="Q167">
        <f>IF(E167="HERRAJE",0,IFERROR(_xlfn.XLOOKUP(E167,'⚙️ Configuración Costos'!$E$5:$E$6,'⚙️ Configuración Costos'!$F$5:$F$6),""))</f>
        <v>9.5</v>
      </c>
      <c r="R167">
        <f t="shared" si="99"/>
        <v>6.4600000000000009</v>
      </c>
      <c r="S167" s="38">
        <f t="shared" si="100"/>
        <v>33.507590819672131</v>
      </c>
      <c r="T167" s="94" t="str">
        <f t="shared" si="101"/>
        <v>OK</v>
      </c>
      <c r="U167" s="95" t="str">
        <f t="shared" si="102"/>
        <v/>
      </c>
      <c r="V167" s="96">
        <f t="shared" si="103"/>
        <v>0</v>
      </c>
    </row>
    <row r="168" spans="1:22" x14ac:dyDescent="0.2">
      <c r="A168" s="35">
        <v>1</v>
      </c>
      <c r="B168" s="44">
        <v>239</v>
      </c>
      <c r="C168" s="44">
        <v>340</v>
      </c>
      <c r="D168" s="43" t="s">
        <v>72</v>
      </c>
      <c r="E168" s="43" t="s">
        <v>85</v>
      </c>
      <c r="F168" s="53">
        <v>1</v>
      </c>
      <c r="G168" s="44">
        <v>0</v>
      </c>
      <c r="H168" s="44">
        <v>0</v>
      </c>
      <c r="I168" s="44">
        <v>1</v>
      </c>
      <c r="J168" s="44">
        <v>1</v>
      </c>
      <c r="K168" s="23" t="s">
        <v>14</v>
      </c>
      <c r="L168" t="s">
        <v>161</v>
      </c>
      <c r="M168" s="10">
        <f t="shared" si="96"/>
        <v>8.1259999999999999E-2</v>
      </c>
      <c r="N168" s="11">
        <f t="shared" si="97"/>
        <v>0.68</v>
      </c>
      <c r="O168" s="12">
        <f>IF(E168="HERRAJE",IFERROR(_xlfn.XLOOKUP(D168,'⚙️ Configuración Costos'!$A$11:$A$20,'⚙️ Configuración Costos'!$B$11:$B$20),""),IFERROR(_xlfn.XLOOKUP(E168,'⚙️ Configuración Costos'!$A$5:$A$6,'⚙️ Configuración Costos'!$B$5:$B$6),""))</f>
        <v>332.85245901639348</v>
      </c>
      <c r="P168" s="12">
        <f t="shared" si="98"/>
        <v>27.047590819672134</v>
      </c>
      <c r="Q168">
        <f>IF(E168="HERRAJE",0,IFERROR(_xlfn.XLOOKUP(E168,'⚙️ Configuración Costos'!$E$5:$E$6,'⚙️ Configuración Costos'!$F$5:$F$6),""))</f>
        <v>9.5</v>
      </c>
      <c r="R168">
        <f t="shared" si="99"/>
        <v>6.4600000000000009</v>
      </c>
      <c r="S168" s="38">
        <f t="shared" si="100"/>
        <v>33.507590819672131</v>
      </c>
      <c r="T168" s="94" t="str">
        <f t="shared" si="101"/>
        <v>OK</v>
      </c>
      <c r="U168" s="95" t="str">
        <f t="shared" si="102"/>
        <v/>
      </c>
      <c r="V168" s="96">
        <f t="shared" si="103"/>
        <v>0</v>
      </c>
    </row>
    <row r="169" spans="1:22" x14ac:dyDescent="0.2">
      <c r="A169" s="35">
        <v>1</v>
      </c>
      <c r="B169" s="44">
        <v>239</v>
      </c>
      <c r="C169" s="44">
        <v>276</v>
      </c>
      <c r="D169" s="43" t="s">
        <v>76</v>
      </c>
      <c r="E169" s="43" t="s">
        <v>85</v>
      </c>
      <c r="F169" s="53">
        <v>1</v>
      </c>
      <c r="G169" s="44">
        <v>1</v>
      </c>
      <c r="H169" s="44">
        <v>0</v>
      </c>
      <c r="I169" s="44">
        <v>0</v>
      </c>
      <c r="J169" s="44">
        <v>0</v>
      </c>
      <c r="K169" s="23" t="s">
        <v>14</v>
      </c>
      <c r="L169" t="s">
        <v>162</v>
      </c>
      <c r="M169" s="10">
        <f t="shared" si="96"/>
        <v>6.5963999999999995E-2</v>
      </c>
      <c r="N169" s="11">
        <f t="shared" si="97"/>
        <v>0.23899999999999999</v>
      </c>
      <c r="O169" s="12">
        <f>IF(E169="HERRAJE",IFERROR(_xlfn.XLOOKUP(D169,'⚙️ Configuración Costos'!$A$11:$A$20,'⚙️ Configuración Costos'!$B$11:$B$20),""),IFERROR(_xlfn.XLOOKUP(E169,'⚙️ Configuración Costos'!$A$5:$A$6,'⚙️ Configuración Costos'!$B$5:$B$6),""))</f>
        <v>332.85245901639348</v>
      </c>
      <c r="P169" s="12">
        <f t="shared" si="98"/>
        <v>21.956279606557377</v>
      </c>
      <c r="Q169">
        <f>IF(E169="HERRAJE",0,IFERROR(_xlfn.XLOOKUP(E169,'⚙️ Configuración Costos'!$E$5:$E$6,'⚙️ Configuración Costos'!$F$5:$F$6),""))</f>
        <v>9.5</v>
      </c>
      <c r="R169">
        <f t="shared" si="99"/>
        <v>2.2704999999999997</v>
      </c>
      <c r="S169" s="38">
        <f t="shared" si="100"/>
        <v>24.226779606557376</v>
      </c>
      <c r="T169" s="94" t="str">
        <f t="shared" si="101"/>
        <v>OK</v>
      </c>
      <c r="U169" s="95" t="str">
        <f t="shared" si="102"/>
        <v/>
      </c>
      <c r="V169" s="96">
        <f t="shared" si="103"/>
        <v>0</v>
      </c>
    </row>
    <row r="170" spans="1:22" x14ac:dyDescent="0.2">
      <c r="A170" s="35">
        <v>4</v>
      </c>
      <c r="B170" s="6">
        <v>0</v>
      </c>
      <c r="C170" s="6">
        <v>0</v>
      </c>
      <c r="D170" s="7" t="s">
        <v>95</v>
      </c>
      <c r="E170" s="7" t="s">
        <v>91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9" t="s">
        <v>14</v>
      </c>
      <c r="L170" s="47" t="s">
        <v>96</v>
      </c>
      <c r="M170" s="10">
        <f t="shared" si="96"/>
        <v>0</v>
      </c>
      <c r="N170" s="11">
        <f t="shared" si="97"/>
        <v>0</v>
      </c>
      <c r="O170" s="12">
        <f>IF(E170="HERRAJE",IFERROR(_xlfn.XLOOKUP(D170,'⚙️ Configuración Costos'!$A$11:$A$20,'⚙️ Configuración Costos'!$B$11:$B$20),""),IFERROR(_xlfn.XLOOKUP(E170,'⚙️ Configuración Costos'!$A$5:$A$6,'⚙️ Configuración Costos'!$B$5:$B$6),""))</f>
        <v>2</v>
      </c>
      <c r="P170" s="12">
        <f t="shared" si="98"/>
        <v>8</v>
      </c>
      <c r="Q170" s="12">
        <f>IF(E170="HERRAJE",0,IFERROR(_xlfn.XLOOKUP(E170,'⚙️ Configuración Costos'!$E$5:$E$6,'⚙️ Configuración Costos'!$F$5:$F$6),""))</f>
        <v>0</v>
      </c>
      <c r="R170" s="12">
        <f t="shared" si="99"/>
        <v>0</v>
      </c>
      <c r="S170" s="38">
        <f t="shared" si="100"/>
        <v>8</v>
      </c>
      <c r="T170" s="94" t="str">
        <f t="shared" si="101"/>
        <v>OK</v>
      </c>
      <c r="U170" s="95" t="str">
        <f t="shared" si="102"/>
        <v/>
      </c>
      <c r="V170" s="96">
        <f t="shared" si="103"/>
        <v>0</v>
      </c>
    </row>
    <row r="171" spans="1:22" x14ac:dyDescent="0.2">
      <c r="A171" s="36">
        <v>24</v>
      </c>
      <c r="B171" s="20">
        <v>0</v>
      </c>
      <c r="C171" s="20">
        <v>0</v>
      </c>
      <c r="D171" s="21" t="s">
        <v>97</v>
      </c>
      <c r="E171" s="21" t="s">
        <v>91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3" t="s">
        <v>14</v>
      </c>
      <c r="L171" s="48" t="s">
        <v>98</v>
      </c>
      <c r="M171" s="24">
        <f t="shared" si="96"/>
        <v>0</v>
      </c>
      <c r="N171" s="25">
        <f t="shared" si="97"/>
        <v>0</v>
      </c>
      <c r="O171" s="26">
        <f>IF(E171="HERRAJE",IFERROR(_xlfn.XLOOKUP(D171,'⚙️ Configuración Costos'!$A$11:$A$20,'⚙️ Configuración Costos'!$B$11:$B$20),""),IFERROR(_xlfn.XLOOKUP(E171,'⚙️ Configuración Costos'!$A$5:$A$6,'⚙️ Configuración Costos'!$B$5:$B$6),""))</f>
        <v>1.5</v>
      </c>
      <c r="P171" s="26">
        <f t="shared" si="98"/>
        <v>36</v>
      </c>
      <c r="Q171" s="26">
        <f>IF(E171="HERRAJE",0,IFERROR(_xlfn.XLOOKUP(E171,'⚙️ Configuración Costos'!$E$5:$E$6,'⚙️ Configuración Costos'!$F$5:$F$6),""))</f>
        <v>0</v>
      </c>
      <c r="R171" s="26">
        <f t="shared" si="99"/>
        <v>0</v>
      </c>
      <c r="S171" s="39">
        <f t="shared" si="100"/>
        <v>36</v>
      </c>
      <c r="T171" s="94" t="str">
        <f t="shared" si="101"/>
        <v>OK</v>
      </c>
      <c r="U171" s="95" t="str">
        <f t="shared" si="102"/>
        <v/>
      </c>
      <c r="V171" s="96">
        <f t="shared" si="103"/>
        <v>0</v>
      </c>
    </row>
    <row r="172" spans="1:22" ht="16" thickTop="1" x14ac:dyDescent="0.2">
      <c r="A172" s="27" t="s">
        <v>99</v>
      </c>
      <c r="B172" s="27"/>
      <c r="C172" s="27"/>
      <c r="D172" s="28"/>
      <c r="E172" s="28"/>
      <c r="F172" s="29"/>
      <c r="G172" s="29"/>
      <c r="H172" s="29"/>
      <c r="I172" s="29"/>
      <c r="J172" s="29"/>
      <c r="K172" s="30"/>
      <c r="L172" s="49"/>
      <c r="M172" s="31">
        <f>SUM(M164:M171)</f>
        <v>0.84599499999999994</v>
      </c>
      <c r="N172" s="32">
        <f>SUM(N164:N171)</f>
        <v>5.6789999999999994</v>
      </c>
      <c r="O172" s="33"/>
      <c r="P172" s="33">
        <f>SUM(P164:P171)</f>
        <v>325.59151606557378</v>
      </c>
      <c r="Q172" s="33"/>
      <c r="R172" s="33">
        <f>SUM(R164:R171)</f>
        <v>53.950499999999998</v>
      </c>
      <c r="S172" s="33">
        <f>SUM(S164:S171)</f>
        <v>379.54201606557382</v>
      </c>
      <c r="T172" s="97"/>
      <c r="U172" s="98"/>
      <c r="V172" s="99"/>
    </row>
    <row r="173" spans="1:22" x14ac:dyDescent="0.2">
      <c r="A173" s="186" t="s">
        <v>632</v>
      </c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8"/>
      <c r="T173" s="97"/>
      <c r="U173" s="98"/>
      <c r="V173" s="99"/>
    </row>
    <row r="174" spans="1:22" x14ac:dyDescent="0.2">
      <c r="A174" s="35">
        <v>1</v>
      </c>
      <c r="B174" s="44">
        <v>340</v>
      </c>
      <c r="C174" s="44">
        <v>340</v>
      </c>
      <c r="D174" s="43" t="s">
        <v>63</v>
      </c>
      <c r="E174" s="43" t="s">
        <v>85</v>
      </c>
      <c r="F174" s="53">
        <v>1</v>
      </c>
      <c r="G174" s="44">
        <v>1</v>
      </c>
      <c r="H174" s="44">
        <v>1</v>
      </c>
      <c r="I174" s="44">
        <v>1</v>
      </c>
      <c r="J174" s="44">
        <v>1</v>
      </c>
      <c r="K174" s="23" t="s">
        <v>633</v>
      </c>
      <c r="L174" t="s">
        <v>157</v>
      </c>
      <c r="M174" s="10">
        <f t="shared" ref="M174:M179" si="104">IF(AND(ISNUMBER(B174),ISNUMBER(C174),B174&gt;0,C174&gt;0),A174*(B174*C174/1000000),0)</f>
        <v>0.11559999999999999</v>
      </c>
      <c r="N174" s="11">
        <f t="shared" ref="N174:N179" si="105">IF(AND(ISNUMBER(B174),B174&gt;0),A174*(((G174+H174)*B174+(I174+J174)*C174)/1000),0)</f>
        <v>1.36</v>
      </c>
      <c r="O174" s="12">
        <f>IF(E174="HERRAJE",IFERROR(_xlfn.XLOOKUP(D174,'⚙️ Configuración Costos'!$A$11:$A$20,'⚙️ Configuración Costos'!$B$11:$B$20),""),IFERROR(_xlfn.XLOOKUP(E174,'⚙️ Configuración Costos'!$A$5:$A$6,'⚙️ Configuración Costos'!$B$5:$B$6),""))</f>
        <v>332.85245901639348</v>
      </c>
      <c r="P174" s="12">
        <f t="shared" ref="P174:P179" si="106">IF(E174="HERRAJE",A174*O174,M174*O174)</f>
        <v>38.477744262295083</v>
      </c>
      <c r="Q174">
        <f>IF(E174="HERRAJE",0,IFERROR(_xlfn.XLOOKUP(E174,'⚙️ Configuración Costos'!$E$5:$E$6,'⚙️ Configuración Costos'!$F$5:$F$6),""))</f>
        <v>9.5</v>
      </c>
      <c r="R174">
        <f t="shared" ref="R174:R179" si="107">N174*Q174</f>
        <v>12.920000000000002</v>
      </c>
      <c r="S174" s="38">
        <f t="shared" ref="S174:S179" si="108">P174+R174</f>
        <v>51.397744262295085</v>
      </c>
      <c r="T174" s="94" t="str">
        <f t="shared" ref="T174:T179" si="109">IF(K174="","SIN ID MÓDULO",IF(E174="HERRAJE",IF(OR(O174="",O174&lt;=0),"SIN PRECIO HERRAJE","OK"),IF(OR(O174="",O174&lt;=0),"SIN PRECIO MATERIAL",IF(AND(N174&gt;0,OR(Q174="",Q174&lt;=0)),"SIN PRECIO CINTILLA","OK"))))</f>
        <v>OK</v>
      </c>
      <c r="U174" s="95" t="str">
        <f t="shared" ref="U174:U179" si="110">IF(T174="OK","",IF(T174="SIN PRECIO HERRAJE","Capturar precio: "&amp;D174,IF(T174="SIN PRECIO MATERIAL","Configurar material: "&amp;E174,IF(T174="SIN PRECIO CINTILLA","Configurar cintilla: "&amp;E174,IF(T174="SIN ID MÓDULO","Revisar ID del módulo","")))))</f>
        <v/>
      </c>
      <c r="V174" s="96">
        <f t="shared" ref="V174:V179" si="111">IF(T174="OK",0,IF(T174="",0,1))</f>
        <v>0</v>
      </c>
    </row>
    <row r="175" spans="1:22" x14ac:dyDescent="0.2">
      <c r="A175" s="35">
        <v>1</v>
      </c>
      <c r="B175" s="44">
        <v>340</v>
      </c>
      <c r="C175" s="44">
        <v>340</v>
      </c>
      <c r="D175" s="43" t="s">
        <v>66</v>
      </c>
      <c r="E175" s="43" t="s">
        <v>85</v>
      </c>
      <c r="F175" s="53">
        <v>1</v>
      </c>
      <c r="G175" s="44">
        <v>1</v>
      </c>
      <c r="H175" s="44">
        <v>1</v>
      </c>
      <c r="I175" s="44">
        <v>1</v>
      </c>
      <c r="J175" s="44">
        <v>1</v>
      </c>
      <c r="K175" s="23" t="s">
        <v>633</v>
      </c>
      <c r="L175" t="s">
        <v>158</v>
      </c>
      <c r="M175" s="10">
        <f t="shared" si="104"/>
        <v>0.11559999999999999</v>
      </c>
      <c r="N175" s="11">
        <f t="shared" si="105"/>
        <v>1.36</v>
      </c>
      <c r="O175" s="12">
        <f>IF(E175="HERRAJE",IFERROR(_xlfn.XLOOKUP(D175,'⚙️ Configuración Costos'!$A$11:$A$20,'⚙️ Configuración Costos'!$B$11:$B$20),""),IFERROR(_xlfn.XLOOKUP(E175,'⚙️ Configuración Costos'!$A$5:$A$6,'⚙️ Configuración Costos'!$B$5:$B$6),""))</f>
        <v>332.85245901639348</v>
      </c>
      <c r="P175" s="12">
        <f t="shared" si="106"/>
        <v>38.477744262295083</v>
      </c>
      <c r="Q175">
        <f>IF(E175="HERRAJE",0,IFERROR(_xlfn.XLOOKUP(E175,'⚙️ Configuración Costos'!$E$5:$E$6,'⚙️ Configuración Costos'!$F$5:$F$6),""))</f>
        <v>9.5</v>
      </c>
      <c r="R175">
        <f t="shared" si="107"/>
        <v>12.920000000000002</v>
      </c>
      <c r="S175" s="38">
        <f t="shared" si="108"/>
        <v>51.397744262295085</v>
      </c>
      <c r="T175" s="94" t="str">
        <f t="shared" si="109"/>
        <v>OK</v>
      </c>
      <c r="U175" s="95" t="str">
        <f t="shared" si="110"/>
        <v/>
      </c>
      <c r="V175" s="96">
        <f t="shared" si="111"/>
        <v>0</v>
      </c>
    </row>
    <row r="176" spans="1:22" x14ac:dyDescent="0.2">
      <c r="A176" s="35">
        <v>1</v>
      </c>
      <c r="B176" s="44">
        <v>309</v>
      </c>
      <c r="C176" s="44">
        <v>469</v>
      </c>
      <c r="D176" s="43" t="s">
        <v>68</v>
      </c>
      <c r="E176" s="43" t="s">
        <v>85</v>
      </c>
      <c r="F176" s="53">
        <v>1</v>
      </c>
      <c r="G176" s="44">
        <v>0</v>
      </c>
      <c r="H176" s="44">
        <v>0</v>
      </c>
      <c r="I176" s="44">
        <v>0</v>
      </c>
      <c r="J176" s="44">
        <v>0</v>
      </c>
      <c r="K176" s="23" t="s">
        <v>633</v>
      </c>
      <c r="L176" t="s">
        <v>634</v>
      </c>
      <c r="M176" s="10">
        <f t="shared" si="104"/>
        <v>0.14492099999999999</v>
      </c>
      <c r="N176" s="11">
        <f t="shared" si="105"/>
        <v>0</v>
      </c>
      <c r="O176" s="12">
        <f>IF(E176="HERRAJE",IFERROR(_xlfn.XLOOKUP(D176,'⚙️ Configuración Costos'!$A$11:$A$20,'⚙️ Configuración Costos'!$B$11:$B$20),""),IFERROR(_xlfn.XLOOKUP(E176,'⚙️ Configuración Costos'!$A$5:$A$6,'⚙️ Configuración Costos'!$B$5:$B$6),""))</f>
        <v>332.85245901639348</v>
      </c>
      <c r="P176" s="12">
        <f t="shared" si="106"/>
        <v>48.237311213114758</v>
      </c>
      <c r="Q176">
        <f>IF(E176="HERRAJE",0,IFERROR(_xlfn.XLOOKUP(E176,'⚙️ Configuración Costos'!$E$5:$E$6,'⚙️ Configuración Costos'!$F$5:$F$6),""))</f>
        <v>9.5</v>
      </c>
      <c r="R176">
        <f t="shared" si="107"/>
        <v>0</v>
      </c>
      <c r="S176" s="38">
        <f t="shared" si="108"/>
        <v>48.237311213114758</v>
      </c>
      <c r="T176" s="94" t="str">
        <f t="shared" si="109"/>
        <v>OK</v>
      </c>
      <c r="U176" s="95" t="str">
        <f t="shared" si="110"/>
        <v/>
      </c>
      <c r="V176" s="96">
        <f t="shared" si="111"/>
        <v>0</v>
      </c>
    </row>
    <row r="177" spans="1:22" x14ac:dyDescent="0.2">
      <c r="A177" s="35">
        <v>1</v>
      </c>
      <c r="B177" s="44">
        <v>469</v>
      </c>
      <c r="C177" s="44">
        <v>400</v>
      </c>
      <c r="D177" s="43" t="s">
        <v>70</v>
      </c>
      <c r="E177" s="43" t="s">
        <v>85</v>
      </c>
      <c r="F177" s="53">
        <v>1</v>
      </c>
      <c r="G177" s="44">
        <v>0</v>
      </c>
      <c r="H177" s="44">
        <v>0</v>
      </c>
      <c r="I177" s="44">
        <v>1</v>
      </c>
      <c r="J177" s="44">
        <v>1</v>
      </c>
      <c r="K177" s="23" t="s">
        <v>633</v>
      </c>
      <c r="L177" t="s">
        <v>635</v>
      </c>
      <c r="M177" s="10">
        <f t="shared" si="104"/>
        <v>0.18759999999999999</v>
      </c>
      <c r="N177" s="11">
        <f t="shared" si="105"/>
        <v>0.8</v>
      </c>
      <c r="O177" s="12">
        <f>IF(E177="HERRAJE",IFERROR(_xlfn.XLOOKUP(D177,'⚙️ Configuración Costos'!$A$11:$A$20,'⚙️ Configuración Costos'!$B$11:$B$20),""),IFERROR(_xlfn.XLOOKUP(E177,'⚙️ Configuración Costos'!$A$5:$A$6,'⚙️ Configuración Costos'!$B$5:$B$6),""))</f>
        <v>332.85245901639348</v>
      </c>
      <c r="P177" s="12">
        <f t="shared" si="106"/>
        <v>62.443121311475416</v>
      </c>
      <c r="Q177">
        <f>IF(E177="HERRAJE",0,IFERROR(_xlfn.XLOOKUP(E177,'⚙️ Configuración Costos'!$E$5:$E$6,'⚙️ Configuración Costos'!$F$5:$F$6),""))</f>
        <v>9.5</v>
      </c>
      <c r="R177">
        <f t="shared" si="107"/>
        <v>7.6000000000000005</v>
      </c>
      <c r="S177" s="38">
        <f t="shared" si="108"/>
        <v>70.043121311475417</v>
      </c>
      <c r="T177" s="94" t="str">
        <f t="shared" si="109"/>
        <v>OK</v>
      </c>
      <c r="U177" s="95" t="str">
        <f t="shared" si="110"/>
        <v/>
      </c>
      <c r="V177" s="96">
        <f t="shared" si="111"/>
        <v>0</v>
      </c>
    </row>
    <row r="178" spans="1:22" x14ac:dyDescent="0.2">
      <c r="A178" s="35">
        <v>1</v>
      </c>
      <c r="B178" s="44">
        <v>469</v>
      </c>
      <c r="C178" s="44">
        <v>340</v>
      </c>
      <c r="D178" s="43" t="s">
        <v>72</v>
      </c>
      <c r="E178" s="43" t="s">
        <v>85</v>
      </c>
      <c r="F178" s="53">
        <v>1</v>
      </c>
      <c r="G178" s="44">
        <v>0</v>
      </c>
      <c r="H178" s="44">
        <v>0</v>
      </c>
      <c r="I178" s="44">
        <v>1</v>
      </c>
      <c r="J178" s="44">
        <v>1</v>
      </c>
      <c r="K178" s="23" t="s">
        <v>633</v>
      </c>
      <c r="L178" t="s">
        <v>636</v>
      </c>
      <c r="M178" s="10">
        <f t="shared" si="104"/>
        <v>0.15945999999999999</v>
      </c>
      <c r="N178" s="11">
        <f t="shared" si="105"/>
        <v>0.68</v>
      </c>
      <c r="O178" s="12">
        <f>IF(E178="HERRAJE",IFERROR(_xlfn.XLOOKUP(D178,'⚙️ Configuración Costos'!$A$11:$A$20,'⚙️ Configuración Costos'!$B$11:$B$20),""),IFERROR(_xlfn.XLOOKUP(E178,'⚙️ Configuración Costos'!$A$5:$A$6,'⚙️ Configuración Costos'!$B$5:$B$6),""))</f>
        <v>332.85245901639348</v>
      </c>
      <c r="P178" s="12">
        <f t="shared" si="106"/>
        <v>53.076653114754102</v>
      </c>
      <c r="Q178">
        <f>IF(E178="HERRAJE",0,IFERROR(_xlfn.XLOOKUP(E178,'⚙️ Configuración Costos'!$E$5:$E$6,'⚙️ Configuración Costos'!$F$5:$F$6),""))</f>
        <v>9.5</v>
      </c>
      <c r="R178">
        <f t="shared" si="107"/>
        <v>6.4600000000000009</v>
      </c>
      <c r="S178" s="38">
        <f t="shared" si="108"/>
        <v>59.536653114754102</v>
      </c>
      <c r="T178" s="94" t="str">
        <f t="shared" si="109"/>
        <v>OK</v>
      </c>
      <c r="U178" s="95" t="str">
        <f t="shared" si="110"/>
        <v/>
      </c>
      <c r="V178" s="96">
        <f t="shared" si="111"/>
        <v>0</v>
      </c>
    </row>
    <row r="179" spans="1:22" ht="16" thickBot="1" x14ac:dyDescent="0.25">
      <c r="A179" s="36">
        <v>24</v>
      </c>
      <c r="B179" s="20">
        <v>0</v>
      </c>
      <c r="C179" s="20">
        <v>0</v>
      </c>
      <c r="D179" s="21" t="s">
        <v>97</v>
      </c>
      <c r="E179" s="21" t="s">
        <v>91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3" t="s">
        <v>633</v>
      </c>
      <c r="L179" s="48" t="s">
        <v>98</v>
      </c>
      <c r="M179" s="24">
        <f t="shared" si="104"/>
        <v>0</v>
      </c>
      <c r="N179" s="25">
        <f t="shared" si="105"/>
        <v>0</v>
      </c>
      <c r="O179" s="26">
        <f>IF(E179="HERRAJE",IFERROR(_xlfn.XLOOKUP(D179,'⚙️ Configuración Costos'!$A$11:$A$20,'⚙️ Configuración Costos'!$B$11:$B$20),""),IFERROR(_xlfn.XLOOKUP(E179,'⚙️ Configuración Costos'!$A$5:$A$6,'⚙️ Configuración Costos'!$B$5:$B$6),""))</f>
        <v>1.5</v>
      </c>
      <c r="P179" s="26">
        <f t="shared" si="106"/>
        <v>36</v>
      </c>
      <c r="Q179" s="26">
        <f>IF(E179="HERRAJE",0,IFERROR(_xlfn.XLOOKUP(E179,'⚙️ Configuración Costos'!$E$5:$E$6,'⚙️ Configuración Costos'!$F$5:$F$6),""))</f>
        <v>0</v>
      </c>
      <c r="R179" s="26">
        <f t="shared" si="107"/>
        <v>0</v>
      </c>
      <c r="S179" s="39">
        <f t="shared" si="108"/>
        <v>36</v>
      </c>
      <c r="T179" s="94" t="str">
        <f t="shared" si="109"/>
        <v>OK</v>
      </c>
      <c r="U179" s="95" t="str">
        <f t="shared" si="110"/>
        <v/>
      </c>
      <c r="V179" s="96">
        <f t="shared" si="111"/>
        <v>0</v>
      </c>
    </row>
    <row r="180" spans="1:22" ht="16" thickTop="1" x14ac:dyDescent="0.2">
      <c r="A180" s="27" t="s">
        <v>99</v>
      </c>
      <c r="B180" s="27"/>
      <c r="C180" s="27"/>
      <c r="D180" s="28"/>
      <c r="E180" s="28"/>
      <c r="F180" s="29"/>
      <c r="G180" s="29"/>
      <c r="H180" s="29"/>
      <c r="I180" s="29"/>
      <c r="J180" s="29"/>
      <c r="K180" s="30"/>
      <c r="L180" s="49"/>
      <c r="M180" s="31">
        <f>SUM(M174:M179)</f>
        <v>0.72318099999999985</v>
      </c>
      <c r="N180" s="32">
        <f>SUM(N174:N179)</f>
        <v>4.2</v>
      </c>
      <c r="O180" s="33"/>
      <c r="P180" s="33">
        <f>SUM(P174:P179)</f>
        <v>276.71257416393439</v>
      </c>
      <c r="Q180" s="33"/>
      <c r="R180" s="33">
        <f>SUM(R174:R179)</f>
        <v>39.900000000000006</v>
      </c>
      <c r="S180" s="33">
        <f>SUM(S174:S179)</f>
        <v>316.61257416393448</v>
      </c>
      <c r="T180" s="97"/>
      <c r="U180" s="98"/>
      <c r="V180" s="99"/>
    </row>
    <row r="181" spans="1:22" x14ac:dyDescent="0.2">
      <c r="A181" s="186" t="s">
        <v>163</v>
      </c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8"/>
      <c r="T181" s="97"/>
      <c r="U181" s="98"/>
      <c r="V181" s="99"/>
    </row>
    <row r="182" spans="1:22" x14ac:dyDescent="0.2">
      <c r="A182" s="35">
        <v>1</v>
      </c>
      <c r="B182" s="44">
        <v>340</v>
      </c>
      <c r="C182" s="44">
        <v>340</v>
      </c>
      <c r="D182" s="43" t="s">
        <v>63</v>
      </c>
      <c r="E182" s="43" t="s">
        <v>85</v>
      </c>
      <c r="F182" s="53">
        <v>1</v>
      </c>
      <c r="G182" s="44">
        <v>1</v>
      </c>
      <c r="H182" s="44">
        <v>1</v>
      </c>
      <c r="I182" s="44">
        <v>1</v>
      </c>
      <c r="J182" s="44">
        <v>1</v>
      </c>
      <c r="K182" s="23" t="s">
        <v>15</v>
      </c>
      <c r="L182" t="s">
        <v>157</v>
      </c>
      <c r="M182" s="10">
        <f t="shared" ref="M182:M187" si="112">IF(AND(ISNUMBER(B182),ISNUMBER(C182),B182&gt;0,C182&gt;0),A182*(B182*C182/1000000),0)</f>
        <v>0.11559999999999999</v>
      </c>
      <c r="N182" s="11">
        <f t="shared" ref="N182:N187" si="113">IF(AND(ISNUMBER(B182),B182&gt;0),A182*(((G182+H182)*B182+(I182+J182)*C182)/1000),0)</f>
        <v>1.36</v>
      </c>
      <c r="O182" s="12">
        <f>IF(E182="HERRAJE",IFERROR(_xlfn.XLOOKUP(D182,'⚙️ Configuración Costos'!$A$11:$A$20,'⚙️ Configuración Costos'!$B$11:$B$20),""),IFERROR(_xlfn.XLOOKUP(E182,'⚙️ Configuración Costos'!$A$5:$A$6,'⚙️ Configuración Costos'!$B$5:$B$6),""))</f>
        <v>332.85245901639348</v>
      </c>
      <c r="P182" s="12">
        <f t="shared" ref="P182:P187" si="114">IF(E182="HERRAJE",A182*O182,M182*O182)</f>
        <v>38.477744262295083</v>
      </c>
      <c r="Q182">
        <f>IF(E182="HERRAJE",0,IFERROR(_xlfn.XLOOKUP(E182,'⚙️ Configuración Costos'!$E$5:$E$6,'⚙️ Configuración Costos'!$F$5:$F$6),""))</f>
        <v>9.5</v>
      </c>
      <c r="R182">
        <f t="shared" ref="R182:R187" si="115">N182*Q182</f>
        <v>12.920000000000002</v>
      </c>
      <c r="S182" s="38">
        <f t="shared" ref="S182:S187" si="116">P182+R182</f>
        <v>51.397744262295085</v>
      </c>
      <c r="T182" s="94" t="str">
        <f t="shared" ref="T182:T187" si="117">IF(K182="","SIN ID MÓDULO",IF(E182="HERRAJE",IF(OR(O182="",O182&lt;=0),"SIN PRECIO HERRAJE","OK"),IF(OR(O182="",O182&lt;=0),"SIN PRECIO MATERIAL",IF(AND(N182&gt;0,OR(Q182="",Q182&lt;=0)),"SIN PRECIO CINTILLA","OK"))))</f>
        <v>OK</v>
      </c>
      <c r="U182" s="95" t="str">
        <f t="shared" ref="U182:U187" si="118">IF(T182="OK","",IF(T182="SIN PRECIO HERRAJE","Capturar precio: "&amp;D182,IF(T182="SIN PRECIO MATERIAL","Configurar material: "&amp;E182,IF(T182="SIN PRECIO CINTILLA","Configurar cintilla: "&amp;E182,IF(T182="SIN ID MÓDULO","Revisar ID del módulo","")))))</f>
        <v/>
      </c>
      <c r="V182" s="96">
        <f t="shared" ref="V182:V187" si="119">IF(T182="OK",0,IF(T182="",0,1))</f>
        <v>0</v>
      </c>
    </row>
    <row r="183" spans="1:22" x14ac:dyDescent="0.2">
      <c r="A183" s="35">
        <v>1</v>
      </c>
      <c r="B183" s="44">
        <v>340</v>
      </c>
      <c r="C183" s="44">
        <v>340</v>
      </c>
      <c r="D183" s="43" t="s">
        <v>66</v>
      </c>
      <c r="E183" s="43" t="s">
        <v>85</v>
      </c>
      <c r="F183" s="53">
        <v>1</v>
      </c>
      <c r="G183" s="44">
        <v>1</v>
      </c>
      <c r="H183" s="44">
        <v>1</v>
      </c>
      <c r="I183" s="44">
        <v>1</v>
      </c>
      <c r="J183" s="44">
        <v>1</v>
      </c>
      <c r="K183" s="23" t="s">
        <v>15</v>
      </c>
      <c r="L183" t="s">
        <v>158</v>
      </c>
      <c r="M183" s="10">
        <f t="shared" si="112"/>
        <v>0.11559999999999999</v>
      </c>
      <c r="N183" s="11">
        <f t="shared" si="113"/>
        <v>1.36</v>
      </c>
      <c r="O183" s="12">
        <f>IF(E183="HERRAJE",IFERROR(_xlfn.XLOOKUP(D183,'⚙️ Configuración Costos'!$A$11:$A$20,'⚙️ Configuración Costos'!$B$11:$B$20),""),IFERROR(_xlfn.XLOOKUP(E183,'⚙️ Configuración Costos'!$A$5:$A$6,'⚙️ Configuración Costos'!$B$5:$B$6),""))</f>
        <v>332.85245901639348</v>
      </c>
      <c r="P183" s="12">
        <f t="shared" si="114"/>
        <v>38.477744262295083</v>
      </c>
      <c r="Q183">
        <f>IF(E183="HERRAJE",0,IFERROR(_xlfn.XLOOKUP(E183,'⚙️ Configuración Costos'!$E$5:$E$6,'⚙️ Configuración Costos'!$F$5:$F$6),""))</f>
        <v>9.5</v>
      </c>
      <c r="R183">
        <f t="shared" si="115"/>
        <v>12.920000000000002</v>
      </c>
      <c r="S183" s="38">
        <f t="shared" si="116"/>
        <v>51.397744262295085</v>
      </c>
      <c r="T183" s="94" t="str">
        <f t="shared" si="117"/>
        <v>OK</v>
      </c>
      <c r="U183" s="95" t="str">
        <f t="shared" si="118"/>
        <v/>
      </c>
      <c r="V183" s="96">
        <f t="shared" si="119"/>
        <v>0</v>
      </c>
    </row>
    <row r="184" spans="1:22" x14ac:dyDescent="0.2">
      <c r="A184" s="35">
        <v>1</v>
      </c>
      <c r="B184" s="44">
        <v>309</v>
      </c>
      <c r="C184" s="44">
        <v>569</v>
      </c>
      <c r="D184" s="43" t="s">
        <v>68</v>
      </c>
      <c r="E184" s="43" t="s">
        <v>85</v>
      </c>
      <c r="F184" s="53">
        <v>1</v>
      </c>
      <c r="G184" s="44">
        <v>0</v>
      </c>
      <c r="H184" s="44">
        <v>0</v>
      </c>
      <c r="I184" s="44">
        <v>0</v>
      </c>
      <c r="J184" s="44">
        <v>0</v>
      </c>
      <c r="K184" s="23" t="s">
        <v>15</v>
      </c>
      <c r="L184" t="s">
        <v>159</v>
      </c>
      <c r="M184" s="10">
        <f t="shared" si="112"/>
        <v>0.17582100000000001</v>
      </c>
      <c r="N184" s="11">
        <f t="shared" si="113"/>
        <v>0</v>
      </c>
      <c r="O184" s="12">
        <f>IF(E184="HERRAJE",IFERROR(_xlfn.XLOOKUP(D184,'⚙️ Configuración Costos'!$A$11:$A$20,'⚙️ Configuración Costos'!$B$11:$B$20),""),IFERROR(_xlfn.XLOOKUP(E184,'⚙️ Configuración Costos'!$A$5:$A$6,'⚙️ Configuración Costos'!$B$5:$B$6),""))</f>
        <v>332.85245901639348</v>
      </c>
      <c r="P184" s="12">
        <f t="shared" si="114"/>
        <v>58.522452196721318</v>
      </c>
      <c r="Q184">
        <f>IF(E184="HERRAJE",0,IFERROR(_xlfn.XLOOKUP(E184,'⚙️ Configuración Costos'!$E$5:$E$6,'⚙️ Configuración Costos'!$F$5:$F$6),""))</f>
        <v>9.5</v>
      </c>
      <c r="R184">
        <f t="shared" si="115"/>
        <v>0</v>
      </c>
      <c r="S184" s="38">
        <f t="shared" si="116"/>
        <v>58.522452196721318</v>
      </c>
      <c r="T184" s="94" t="str">
        <f t="shared" si="117"/>
        <v>OK</v>
      </c>
      <c r="U184" s="95" t="str">
        <f t="shared" si="118"/>
        <v/>
      </c>
      <c r="V184" s="96">
        <f t="shared" si="119"/>
        <v>0</v>
      </c>
    </row>
    <row r="185" spans="1:22" x14ac:dyDescent="0.2">
      <c r="A185" s="35">
        <v>1</v>
      </c>
      <c r="B185" s="44">
        <v>569</v>
      </c>
      <c r="C185" s="44">
        <v>400</v>
      </c>
      <c r="D185" s="43" t="s">
        <v>70</v>
      </c>
      <c r="E185" s="43" t="s">
        <v>85</v>
      </c>
      <c r="F185" s="53">
        <v>1</v>
      </c>
      <c r="G185" s="44">
        <v>0</v>
      </c>
      <c r="H185" s="44">
        <v>0</v>
      </c>
      <c r="I185" s="44">
        <v>1</v>
      </c>
      <c r="J185" s="44">
        <v>1</v>
      </c>
      <c r="K185" s="23" t="s">
        <v>15</v>
      </c>
      <c r="L185" t="s">
        <v>160</v>
      </c>
      <c r="M185" s="10">
        <f t="shared" si="112"/>
        <v>0.2276</v>
      </c>
      <c r="N185" s="11">
        <f t="shared" si="113"/>
        <v>0.8</v>
      </c>
      <c r="O185" s="12">
        <f>IF(E185="HERRAJE",IFERROR(_xlfn.XLOOKUP(D185,'⚙️ Configuración Costos'!$A$11:$A$20,'⚙️ Configuración Costos'!$B$11:$B$20),""),IFERROR(_xlfn.XLOOKUP(E185,'⚙️ Configuración Costos'!$A$5:$A$6,'⚙️ Configuración Costos'!$B$5:$B$6),""))</f>
        <v>332.85245901639348</v>
      </c>
      <c r="P185" s="12">
        <f t="shared" si="114"/>
        <v>75.757219672131157</v>
      </c>
      <c r="Q185">
        <f>IF(E185="HERRAJE",0,IFERROR(_xlfn.XLOOKUP(E185,'⚙️ Configuración Costos'!$E$5:$E$6,'⚙️ Configuración Costos'!$F$5:$F$6),""))</f>
        <v>9.5</v>
      </c>
      <c r="R185">
        <f t="shared" si="115"/>
        <v>7.6000000000000005</v>
      </c>
      <c r="S185" s="38">
        <f t="shared" si="116"/>
        <v>83.357219672131151</v>
      </c>
      <c r="T185" s="94" t="str">
        <f t="shared" si="117"/>
        <v>OK</v>
      </c>
      <c r="U185" s="95" t="str">
        <f t="shared" si="118"/>
        <v/>
      </c>
      <c r="V185" s="96">
        <f t="shared" si="119"/>
        <v>0</v>
      </c>
    </row>
    <row r="186" spans="1:22" x14ac:dyDescent="0.2">
      <c r="A186" s="35">
        <v>1</v>
      </c>
      <c r="B186" s="44">
        <v>569</v>
      </c>
      <c r="C186" s="44">
        <v>340</v>
      </c>
      <c r="D186" s="43" t="s">
        <v>72</v>
      </c>
      <c r="E186" s="43" t="s">
        <v>85</v>
      </c>
      <c r="F186" s="53">
        <v>1</v>
      </c>
      <c r="G186" s="44">
        <v>0</v>
      </c>
      <c r="H186" s="44">
        <v>0</v>
      </c>
      <c r="I186" s="44">
        <v>1</v>
      </c>
      <c r="J186" s="44">
        <v>1</v>
      </c>
      <c r="K186" s="23" t="s">
        <v>15</v>
      </c>
      <c r="L186" t="s">
        <v>161</v>
      </c>
      <c r="M186" s="10">
        <f t="shared" si="112"/>
        <v>0.19345999999999999</v>
      </c>
      <c r="N186" s="11">
        <f t="shared" si="113"/>
        <v>0.68</v>
      </c>
      <c r="O186" s="12">
        <f>IF(E186="HERRAJE",IFERROR(_xlfn.XLOOKUP(D186,'⚙️ Configuración Costos'!$A$11:$A$20,'⚙️ Configuración Costos'!$B$11:$B$20),""),IFERROR(_xlfn.XLOOKUP(E186,'⚙️ Configuración Costos'!$A$5:$A$6,'⚙️ Configuración Costos'!$B$5:$B$6),""))</f>
        <v>332.85245901639348</v>
      </c>
      <c r="P186" s="12">
        <f t="shared" si="114"/>
        <v>64.393636721311481</v>
      </c>
      <c r="Q186">
        <f>IF(E186="HERRAJE",0,IFERROR(_xlfn.XLOOKUP(E186,'⚙️ Configuración Costos'!$E$5:$E$6,'⚙️ Configuración Costos'!$F$5:$F$6),""))</f>
        <v>9.5</v>
      </c>
      <c r="R186">
        <f t="shared" si="115"/>
        <v>6.4600000000000009</v>
      </c>
      <c r="S186" s="38">
        <f t="shared" si="116"/>
        <v>70.853636721311489</v>
      </c>
      <c r="T186" s="94" t="str">
        <f t="shared" si="117"/>
        <v>OK</v>
      </c>
      <c r="U186" s="95" t="str">
        <f t="shared" si="118"/>
        <v/>
      </c>
      <c r="V186" s="96">
        <f t="shared" si="119"/>
        <v>0</v>
      </c>
    </row>
    <row r="187" spans="1:22" ht="16" thickBot="1" x14ac:dyDescent="0.25">
      <c r="A187" s="36">
        <v>24</v>
      </c>
      <c r="B187" s="20">
        <v>0</v>
      </c>
      <c r="C187" s="20">
        <v>0</v>
      </c>
      <c r="D187" s="21" t="s">
        <v>97</v>
      </c>
      <c r="E187" s="21" t="s">
        <v>91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3" t="s">
        <v>15</v>
      </c>
      <c r="L187" s="48" t="s">
        <v>98</v>
      </c>
      <c r="M187" s="24">
        <f t="shared" si="112"/>
        <v>0</v>
      </c>
      <c r="N187" s="25">
        <f t="shared" si="113"/>
        <v>0</v>
      </c>
      <c r="O187" s="26">
        <f>IF(E187="HERRAJE",IFERROR(_xlfn.XLOOKUP(D187,'⚙️ Configuración Costos'!$A$11:$A$20,'⚙️ Configuración Costos'!$B$11:$B$20),""),IFERROR(_xlfn.XLOOKUP(E187,'⚙️ Configuración Costos'!$A$5:$A$6,'⚙️ Configuración Costos'!$B$5:$B$6),""))</f>
        <v>1.5</v>
      </c>
      <c r="P187" s="26">
        <f t="shared" si="114"/>
        <v>36</v>
      </c>
      <c r="Q187" s="26">
        <f>IF(E187="HERRAJE",0,IFERROR(_xlfn.XLOOKUP(E187,'⚙️ Configuración Costos'!$E$5:$E$6,'⚙️ Configuración Costos'!$F$5:$F$6),""))</f>
        <v>0</v>
      </c>
      <c r="R187" s="26">
        <f t="shared" si="115"/>
        <v>0</v>
      </c>
      <c r="S187" s="39">
        <f t="shared" si="116"/>
        <v>36</v>
      </c>
      <c r="T187" s="94" t="str">
        <f t="shared" si="117"/>
        <v>OK</v>
      </c>
      <c r="U187" s="95" t="str">
        <f t="shared" si="118"/>
        <v/>
      </c>
      <c r="V187" s="96">
        <f t="shared" si="119"/>
        <v>0</v>
      </c>
    </row>
    <row r="188" spans="1:22" ht="16" thickTop="1" x14ac:dyDescent="0.2">
      <c r="A188" s="27" t="s">
        <v>99</v>
      </c>
      <c r="B188" s="27"/>
      <c r="C188" s="27"/>
      <c r="D188" s="28"/>
      <c r="E188" s="28"/>
      <c r="F188" s="29"/>
      <c r="G188" s="29"/>
      <c r="H188" s="29"/>
      <c r="I188" s="29"/>
      <c r="J188" s="29"/>
      <c r="K188" s="30"/>
      <c r="L188" s="49"/>
      <c r="M188" s="31">
        <f>SUM(M182:M187)</f>
        <v>0.82808099999999996</v>
      </c>
      <c r="N188" s="32">
        <f>SUM(N182:N187)</f>
        <v>4.2</v>
      </c>
      <c r="O188" s="33"/>
      <c r="P188" s="33">
        <f>SUM(P182:P187)</f>
        <v>311.62879711475409</v>
      </c>
      <c r="Q188" s="33"/>
      <c r="R188" s="33">
        <f>SUM(R182:R187)</f>
        <v>39.900000000000006</v>
      </c>
      <c r="S188" s="33">
        <f>SUM(S182:S187)</f>
        <v>351.52879711475413</v>
      </c>
      <c r="T188" s="97"/>
      <c r="U188" s="98"/>
      <c r="V188" s="99"/>
    </row>
    <row r="189" spans="1:22" x14ac:dyDescent="0.2">
      <c r="A189" s="186" t="s">
        <v>164</v>
      </c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8"/>
      <c r="T189" s="97"/>
      <c r="U189" s="98"/>
      <c r="V189" s="99"/>
    </row>
    <row r="190" spans="1:22" x14ac:dyDescent="0.2">
      <c r="A190" s="35">
        <v>1</v>
      </c>
      <c r="B190" s="44">
        <v>720</v>
      </c>
      <c r="C190" s="44">
        <v>580</v>
      </c>
      <c r="D190" s="43" t="s">
        <v>165</v>
      </c>
      <c r="E190" s="43" t="s">
        <v>64</v>
      </c>
      <c r="F190" s="44">
        <v>0</v>
      </c>
      <c r="G190" s="44">
        <v>1</v>
      </c>
      <c r="H190" s="44">
        <v>1</v>
      </c>
      <c r="I190" s="44">
        <v>1</v>
      </c>
      <c r="J190" s="44">
        <v>1</v>
      </c>
      <c r="K190" s="16" t="s">
        <v>16</v>
      </c>
      <c r="L190" s="46" t="s">
        <v>166</v>
      </c>
      <c r="M190" s="10">
        <f t="shared" ref="M190:M205" si="120">IF(AND(ISNUMBER(B190),ISNUMBER(C190),B190&gt;0,C190&gt;0),A190*(B190*C190/1000000),0)</f>
        <v>0.41760000000000003</v>
      </c>
      <c r="N190" s="11">
        <f t="shared" ref="N190:N205" si="121">IF(AND(ISNUMBER(B190),B190&gt;0),A190*(((G190+H190)*B190+(I190+J190)*C190)/1000),0)</f>
        <v>2.6</v>
      </c>
      <c r="O190" s="12">
        <f>IF(E190="HERRAJE",IFERROR(_xlfn.XLOOKUP(D190,'⚙️ Configuración Costos'!$A$11:$A$20,'⚙️ Configuración Costos'!$B$11:$B$20),""),IFERROR(_xlfn.XLOOKUP(E190,'⚙️ Configuración Costos'!$A$5:$A$6,'⚙️ Configuración Costos'!$B$5:$B$6),""))</f>
        <v>239.8426229508197</v>
      </c>
      <c r="P190" s="12">
        <f t="shared" ref="P190:P205" si="122">IF(E190="HERRAJE",A190*O190,M190*O190)</f>
        <v>100.15827934426231</v>
      </c>
      <c r="Q190" s="12">
        <f>IF(E190="HERRAJE",0,IFERROR(_xlfn.XLOOKUP(E190,'⚙️ Configuración Costos'!$E$5:$E$6,'⚙️ Configuración Costos'!$F$5:$F$6),""))</f>
        <v>6</v>
      </c>
      <c r="R190" s="12">
        <f t="shared" ref="R190:R205" si="123">N190*Q190</f>
        <v>15.600000000000001</v>
      </c>
      <c r="S190" s="38">
        <f t="shared" ref="S190:S205" si="124">P190+R190</f>
        <v>115.75827934426232</v>
      </c>
      <c r="T190" s="94" t="str">
        <f t="shared" ref="T190:T205" si="125">IF(K190="","SIN ID MÓDULO",IF(E190="HERRAJE",IF(OR(O190="",O190&lt;=0),"SIN PRECIO HERRAJE","OK"),IF(OR(O190="",O190&lt;=0),"SIN PRECIO MATERIAL",IF(AND(N190&gt;0,OR(Q190="",Q190&lt;=0)),"SIN PRECIO CINTILLA","OK"))))</f>
        <v>OK</v>
      </c>
      <c r="U190" s="95" t="str">
        <f t="shared" ref="U190:U205" si="126">IF(T190="OK","",IF(T190="SIN PRECIO HERRAJE","Capturar precio: "&amp;D190,IF(T190="SIN PRECIO MATERIAL","Configurar material: "&amp;E190,IF(T190="SIN PRECIO CINTILLA","Configurar cintilla: "&amp;E190,IF(T190="SIN ID MÓDULO","Revisar ID del módulo","")))))</f>
        <v/>
      </c>
      <c r="V190" s="96">
        <f t="shared" ref="V190:V205" si="127">IF(T190="OK",0,IF(T190="",0,1))</f>
        <v>0</v>
      </c>
    </row>
    <row r="191" spans="1:22" x14ac:dyDescent="0.2">
      <c r="A191" s="35">
        <v>1</v>
      </c>
      <c r="B191" s="44">
        <v>720</v>
      </c>
      <c r="C191" s="44">
        <v>580</v>
      </c>
      <c r="D191" s="43" t="s">
        <v>167</v>
      </c>
      <c r="E191" s="43" t="s">
        <v>64</v>
      </c>
      <c r="F191" s="44">
        <v>0</v>
      </c>
      <c r="G191" s="44">
        <v>1</v>
      </c>
      <c r="H191" s="44">
        <v>1</v>
      </c>
      <c r="I191" s="44">
        <v>1</v>
      </c>
      <c r="J191" s="44">
        <v>1</v>
      </c>
      <c r="K191" s="16" t="s">
        <v>16</v>
      </c>
      <c r="L191" s="46" t="s">
        <v>168</v>
      </c>
      <c r="M191" s="10">
        <f t="shared" si="120"/>
        <v>0.41760000000000003</v>
      </c>
      <c r="N191" s="11">
        <f t="shared" si="121"/>
        <v>2.6</v>
      </c>
      <c r="O191" s="12">
        <f>IF(E191="HERRAJE",IFERROR(_xlfn.XLOOKUP(D191,'⚙️ Configuración Costos'!$A$11:$A$20,'⚙️ Configuración Costos'!$B$11:$B$20),""),IFERROR(_xlfn.XLOOKUP(E191,'⚙️ Configuración Costos'!$A$5:$A$6,'⚙️ Configuración Costos'!$B$5:$B$6),""))</f>
        <v>239.8426229508197</v>
      </c>
      <c r="P191" s="12">
        <f t="shared" si="122"/>
        <v>100.15827934426231</v>
      </c>
      <c r="Q191" s="12">
        <f>IF(E191="HERRAJE",0,IFERROR(_xlfn.XLOOKUP(E191,'⚙️ Configuración Costos'!$E$5:$E$6,'⚙️ Configuración Costos'!$F$5:$F$6),""))</f>
        <v>6</v>
      </c>
      <c r="R191" s="12">
        <f t="shared" si="123"/>
        <v>15.600000000000001</v>
      </c>
      <c r="S191" s="38">
        <f t="shared" si="124"/>
        <v>115.75827934426232</v>
      </c>
      <c r="T191" s="94" t="str">
        <f t="shared" si="125"/>
        <v>OK</v>
      </c>
      <c r="U191" s="95" t="str">
        <f t="shared" si="126"/>
        <v/>
      </c>
      <c r="V191" s="96">
        <f t="shared" si="127"/>
        <v>0</v>
      </c>
    </row>
    <row r="192" spans="1:22" x14ac:dyDescent="0.2">
      <c r="A192" s="35">
        <v>1</v>
      </c>
      <c r="B192" s="44">
        <v>689</v>
      </c>
      <c r="C192" s="44">
        <v>969</v>
      </c>
      <c r="D192" s="43" t="s">
        <v>169</v>
      </c>
      <c r="E192" s="43" t="s">
        <v>64</v>
      </c>
      <c r="F192" s="44">
        <v>0</v>
      </c>
      <c r="G192" s="44">
        <v>0</v>
      </c>
      <c r="H192" s="44">
        <v>0</v>
      </c>
      <c r="I192" s="44">
        <v>0</v>
      </c>
      <c r="J192" s="44">
        <v>0</v>
      </c>
      <c r="K192" s="16" t="s">
        <v>16</v>
      </c>
      <c r="L192" s="46" t="s">
        <v>170</v>
      </c>
      <c r="M192" s="10">
        <f t="shared" si="120"/>
        <v>0.66764100000000004</v>
      </c>
      <c r="N192" s="11">
        <f t="shared" si="121"/>
        <v>0</v>
      </c>
      <c r="O192" s="12">
        <f>IF(E192="HERRAJE",IFERROR(_xlfn.XLOOKUP(D192,'⚙️ Configuración Costos'!$A$11:$A$20,'⚙️ Configuración Costos'!$B$11:$B$20),""),IFERROR(_xlfn.XLOOKUP(E192,'⚙️ Configuración Costos'!$A$5:$A$6,'⚙️ Configuración Costos'!$B$5:$B$6),""))</f>
        <v>239.8426229508197</v>
      </c>
      <c r="P192" s="12">
        <f t="shared" si="122"/>
        <v>160.12876862950822</v>
      </c>
      <c r="Q192" s="12">
        <f>IF(E192="HERRAJE",0,IFERROR(_xlfn.XLOOKUP(E192,'⚙️ Configuración Costos'!$E$5:$E$6,'⚙️ Configuración Costos'!$F$5:$F$6),""))</f>
        <v>6</v>
      </c>
      <c r="R192" s="12">
        <f t="shared" si="123"/>
        <v>0</v>
      </c>
      <c r="S192" s="38">
        <f t="shared" si="124"/>
        <v>160.12876862950822</v>
      </c>
      <c r="T192" s="94" t="str">
        <f t="shared" si="125"/>
        <v>OK</v>
      </c>
      <c r="U192" s="95" t="str">
        <f t="shared" si="126"/>
        <v/>
      </c>
      <c r="V192" s="96">
        <f t="shared" si="127"/>
        <v>0</v>
      </c>
    </row>
    <row r="193" spans="1:22" x14ac:dyDescent="0.2">
      <c r="A193" s="35">
        <v>1</v>
      </c>
      <c r="B193" s="44">
        <v>969</v>
      </c>
      <c r="C193" s="44">
        <v>580</v>
      </c>
      <c r="D193" s="43" t="s">
        <v>171</v>
      </c>
      <c r="E193" s="43" t="s">
        <v>64</v>
      </c>
      <c r="F193" s="44">
        <v>0</v>
      </c>
      <c r="G193" s="44">
        <v>1</v>
      </c>
      <c r="H193" s="44">
        <v>1</v>
      </c>
      <c r="I193" s="44">
        <v>0</v>
      </c>
      <c r="J193" s="44">
        <v>0</v>
      </c>
      <c r="K193" s="16" t="s">
        <v>16</v>
      </c>
      <c r="L193" s="46" t="s">
        <v>172</v>
      </c>
      <c r="M193" s="10">
        <f t="shared" si="120"/>
        <v>0.56201999999999996</v>
      </c>
      <c r="N193" s="11">
        <f t="shared" si="121"/>
        <v>1.9379999999999999</v>
      </c>
      <c r="O193" s="12">
        <f>IF(E193="HERRAJE",IFERROR(_xlfn.XLOOKUP(D193,'⚙️ Configuración Costos'!$A$11:$A$20,'⚙️ Configuración Costos'!$B$11:$B$20),""),IFERROR(_xlfn.XLOOKUP(E193,'⚙️ Configuración Costos'!$A$5:$A$6,'⚙️ Configuración Costos'!$B$5:$B$6),""))</f>
        <v>239.8426229508197</v>
      </c>
      <c r="P193" s="12">
        <f t="shared" si="122"/>
        <v>134.79635095081969</v>
      </c>
      <c r="Q193" s="12">
        <f>IF(E193="HERRAJE",0,IFERROR(_xlfn.XLOOKUP(E193,'⚙️ Configuración Costos'!$E$5:$E$6,'⚙️ Configuración Costos'!$F$5:$F$6),""))</f>
        <v>6</v>
      </c>
      <c r="R193" s="12">
        <f t="shared" si="123"/>
        <v>11.628</v>
      </c>
      <c r="S193" s="38">
        <f t="shared" si="124"/>
        <v>146.4243509508197</v>
      </c>
      <c r="T193" s="94" t="str">
        <f t="shared" si="125"/>
        <v>OK</v>
      </c>
      <c r="U193" s="95" t="str">
        <f t="shared" si="126"/>
        <v/>
      </c>
      <c r="V193" s="96">
        <f t="shared" si="127"/>
        <v>0</v>
      </c>
    </row>
    <row r="194" spans="1:22" x14ac:dyDescent="0.2">
      <c r="A194" s="35">
        <v>1</v>
      </c>
      <c r="B194" s="44">
        <v>969</v>
      </c>
      <c r="C194" s="44">
        <v>120</v>
      </c>
      <c r="D194" s="43" t="s">
        <v>173</v>
      </c>
      <c r="E194" s="43" t="s">
        <v>64</v>
      </c>
      <c r="F194" s="44">
        <v>0</v>
      </c>
      <c r="G194" s="44">
        <v>1</v>
      </c>
      <c r="H194" s="44">
        <v>1</v>
      </c>
      <c r="I194" s="44">
        <v>0</v>
      </c>
      <c r="J194" s="44">
        <v>0</v>
      </c>
      <c r="K194" s="16" t="s">
        <v>16</v>
      </c>
      <c r="L194" s="46" t="s">
        <v>174</v>
      </c>
      <c r="M194" s="10">
        <f t="shared" si="120"/>
        <v>0.11627999999999999</v>
      </c>
      <c r="N194" s="11">
        <f t="shared" si="121"/>
        <v>1.9379999999999999</v>
      </c>
      <c r="O194" s="12">
        <f>IF(E194="HERRAJE",IFERROR(_xlfn.XLOOKUP(D194,'⚙️ Configuración Costos'!$A$11:$A$20,'⚙️ Configuración Costos'!$B$11:$B$20),""),IFERROR(_xlfn.XLOOKUP(E194,'⚙️ Configuración Costos'!$A$5:$A$6,'⚙️ Configuración Costos'!$B$5:$B$6),""))</f>
        <v>239.8426229508197</v>
      </c>
      <c r="P194" s="12">
        <f t="shared" si="122"/>
        <v>27.888900196721313</v>
      </c>
      <c r="Q194" s="12">
        <f>IF(E194="HERRAJE",0,IFERROR(_xlfn.XLOOKUP(E194,'⚙️ Configuración Costos'!$E$5:$E$6,'⚙️ Configuración Costos'!$F$5:$F$6),""))</f>
        <v>6</v>
      </c>
      <c r="R194" s="12">
        <f t="shared" si="123"/>
        <v>11.628</v>
      </c>
      <c r="S194" s="38">
        <f t="shared" si="124"/>
        <v>39.516900196721309</v>
      </c>
      <c r="T194" s="94" t="str">
        <f t="shared" si="125"/>
        <v>OK</v>
      </c>
      <c r="U194" s="95" t="str">
        <f t="shared" si="126"/>
        <v/>
      </c>
      <c r="V194" s="96">
        <f t="shared" si="127"/>
        <v>0</v>
      </c>
    </row>
    <row r="195" spans="1:22" x14ac:dyDescent="0.2">
      <c r="A195" s="35">
        <v>1</v>
      </c>
      <c r="B195" s="44">
        <v>969</v>
      </c>
      <c r="C195" s="44">
        <v>120</v>
      </c>
      <c r="D195" s="43" t="s">
        <v>175</v>
      </c>
      <c r="E195" s="43" t="s">
        <v>64</v>
      </c>
      <c r="F195" s="44">
        <v>0</v>
      </c>
      <c r="G195" s="44">
        <v>1</v>
      </c>
      <c r="H195" s="44">
        <v>1</v>
      </c>
      <c r="I195" s="44">
        <v>0</v>
      </c>
      <c r="J195" s="44">
        <v>0</v>
      </c>
      <c r="K195" s="16" t="s">
        <v>16</v>
      </c>
      <c r="L195" s="46" t="s">
        <v>176</v>
      </c>
      <c r="M195" s="10">
        <f t="shared" si="120"/>
        <v>0.11627999999999999</v>
      </c>
      <c r="N195" s="11">
        <f t="shared" si="121"/>
        <v>1.9379999999999999</v>
      </c>
      <c r="O195" s="12">
        <f>IF(E195="HERRAJE",IFERROR(_xlfn.XLOOKUP(D195,'⚙️ Configuración Costos'!$A$11:$A$20,'⚙️ Configuración Costos'!$B$11:$B$20),""),IFERROR(_xlfn.XLOOKUP(E195,'⚙️ Configuración Costos'!$A$5:$A$6,'⚙️ Configuración Costos'!$B$5:$B$6),""))</f>
        <v>239.8426229508197</v>
      </c>
      <c r="P195" s="12">
        <f t="shared" si="122"/>
        <v>27.888900196721313</v>
      </c>
      <c r="Q195" s="12">
        <f>IF(E195="HERRAJE",0,IFERROR(_xlfn.XLOOKUP(E195,'⚙️ Configuración Costos'!$E$5:$E$6,'⚙️ Configuración Costos'!$F$5:$F$6),""))</f>
        <v>6</v>
      </c>
      <c r="R195" s="12">
        <f t="shared" si="123"/>
        <v>11.628</v>
      </c>
      <c r="S195" s="38">
        <f t="shared" si="124"/>
        <v>39.516900196721309</v>
      </c>
      <c r="T195" s="94" t="str">
        <f t="shared" si="125"/>
        <v>OK</v>
      </c>
      <c r="U195" s="95" t="str">
        <f t="shared" si="126"/>
        <v/>
      </c>
      <c r="V195" s="96">
        <f t="shared" si="127"/>
        <v>0</v>
      </c>
    </row>
    <row r="196" spans="1:22" x14ac:dyDescent="0.2">
      <c r="A196" s="35">
        <v>1</v>
      </c>
      <c r="B196" s="44">
        <v>689</v>
      </c>
      <c r="C196" s="44">
        <v>574.5</v>
      </c>
      <c r="D196" s="43" t="s">
        <v>74</v>
      </c>
      <c r="E196" s="43" t="s">
        <v>64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16" t="s">
        <v>16</v>
      </c>
      <c r="L196" s="46" t="s">
        <v>177</v>
      </c>
      <c r="M196" s="10">
        <f t="shared" si="120"/>
        <v>0.39583049999999997</v>
      </c>
      <c r="N196" s="11">
        <f t="shared" si="121"/>
        <v>0</v>
      </c>
      <c r="O196" s="12">
        <f>IF(E196="HERRAJE",IFERROR(_xlfn.XLOOKUP(D196,'⚙️ Configuración Costos'!$A$11:$A$20,'⚙️ Configuración Costos'!$B$11:$B$20),""),IFERROR(_xlfn.XLOOKUP(E196,'⚙️ Configuración Costos'!$A$5:$A$6,'⚙️ Configuración Costos'!$B$5:$B$6),""))</f>
        <v>239.8426229508197</v>
      </c>
      <c r="P196" s="12">
        <f t="shared" si="122"/>
        <v>94.937025363934438</v>
      </c>
      <c r="Q196" s="12">
        <f>IF(E196="HERRAJE",0,IFERROR(_xlfn.XLOOKUP(E196,'⚙️ Configuración Costos'!$E$5:$E$6,'⚙️ Configuración Costos'!$F$5:$F$6),""))</f>
        <v>6</v>
      </c>
      <c r="R196" s="12">
        <f t="shared" si="123"/>
        <v>0</v>
      </c>
      <c r="S196" s="38">
        <f t="shared" si="124"/>
        <v>94.937025363934438</v>
      </c>
      <c r="T196" s="94" t="str">
        <f t="shared" si="125"/>
        <v>OK</v>
      </c>
      <c r="U196" s="95" t="str">
        <f t="shared" si="126"/>
        <v/>
      </c>
      <c r="V196" s="96">
        <f t="shared" si="127"/>
        <v>0</v>
      </c>
    </row>
    <row r="197" spans="1:22" x14ac:dyDescent="0.2">
      <c r="A197" s="35">
        <v>1</v>
      </c>
      <c r="B197" s="44">
        <v>689</v>
      </c>
      <c r="C197" s="44">
        <v>70</v>
      </c>
      <c r="D197" s="43" t="s">
        <v>78</v>
      </c>
      <c r="E197" s="43" t="s">
        <v>64</v>
      </c>
      <c r="F197" s="44">
        <v>0</v>
      </c>
      <c r="G197" s="44">
        <v>1</v>
      </c>
      <c r="H197" s="44">
        <v>1</v>
      </c>
      <c r="I197" s="44">
        <v>0</v>
      </c>
      <c r="J197" s="44">
        <v>0</v>
      </c>
      <c r="K197" s="16" t="s">
        <v>16</v>
      </c>
      <c r="L197" s="46" t="s">
        <v>178</v>
      </c>
      <c r="M197" s="10">
        <f t="shared" si="120"/>
        <v>4.8230000000000002E-2</v>
      </c>
      <c r="N197" s="11">
        <f t="shared" si="121"/>
        <v>1.3779999999999999</v>
      </c>
      <c r="O197" s="12">
        <f>IF(E197="HERRAJE",IFERROR(_xlfn.XLOOKUP(D197,'⚙️ Configuración Costos'!$A$11:$A$20,'⚙️ Configuración Costos'!$B$11:$B$20),""),IFERROR(_xlfn.XLOOKUP(E197,'⚙️ Configuración Costos'!$A$5:$A$6,'⚙️ Configuración Costos'!$B$5:$B$6),""))</f>
        <v>239.8426229508197</v>
      </c>
      <c r="P197" s="12">
        <f t="shared" si="122"/>
        <v>11.567609704918034</v>
      </c>
      <c r="Q197" s="12">
        <f>IF(E197="HERRAJE",0,IFERROR(_xlfn.XLOOKUP(E197,'⚙️ Configuración Costos'!$E$5:$E$6,'⚙️ Configuración Costos'!$F$5:$F$6),""))</f>
        <v>6</v>
      </c>
      <c r="R197" s="12">
        <f t="shared" si="123"/>
        <v>8.2679999999999989</v>
      </c>
      <c r="S197" s="38">
        <f t="shared" si="124"/>
        <v>19.835609704918035</v>
      </c>
      <c r="T197" s="94" t="str">
        <f t="shared" si="125"/>
        <v>OK</v>
      </c>
      <c r="U197" s="95" t="str">
        <f t="shared" si="126"/>
        <v/>
      </c>
      <c r="V197" s="96">
        <f t="shared" si="127"/>
        <v>0</v>
      </c>
    </row>
    <row r="198" spans="1:22" x14ac:dyDescent="0.2">
      <c r="A198" s="35">
        <v>1</v>
      </c>
      <c r="B198" s="44">
        <v>969</v>
      </c>
      <c r="C198" s="44">
        <v>490</v>
      </c>
      <c r="D198" s="43" t="s">
        <v>179</v>
      </c>
      <c r="E198" s="43" t="s">
        <v>64</v>
      </c>
      <c r="F198" s="44">
        <v>0</v>
      </c>
      <c r="G198" s="44">
        <v>1</v>
      </c>
      <c r="H198" s="44">
        <v>0</v>
      </c>
      <c r="I198" s="44">
        <v>0</v>
      </c>
      <c r="J198" s="44">
        <v>0</v>
      </c>
      <c r="K198" s="16" t="s">
        <v>16</v>
      </c>
      <c r="L198" s="46" t="s">
        <v>180</v>
      </c>
      <c r="M198" s="10">
        <f t="shared" si="120"/>
        <v>0.47481000000000001</v>
      </c>
      <c r="N198" s="11">
        <f t="shared" si="121"/>
        <v>0.96899999999999997</v>
      </c>
      <c r="O198" s="12">
        <f>IF(E198="HERRAJE",IFERROR(_xlfn.XLOOKUP(D198,'⚙️ Configuración Costos'!$A$11:$A$20,'⚙️ Configuración Costos'!$B$11:$B$20),""),IFERROR(_xlfn.XLOOKUP(E198,'⚙️ Configuración Costos'!$A$5:$A$6,'⚙️ Configuración Costos'!$B$5:$B$6),""))</f>
        <v>239.8426229508197</v>
      </c>
      <c r="P198" s="12">
        <f t="shared" si="122"/>
        <v>113.8796758032787</v>
      </c>
      <c r="Q198" s="12">
        <f>IF(E198="HERRAJE",0,IFERROR(_xlfn.XLOOKUP(E198,'⚙️ Configuración Costos'!$E$5:$E$6,'⚙️ Configuración Costos'!$F$5:$F$6),""))</f>
        <v>6</v>
      </c>
      <c r="R198" s="12">
        <f t="shared" si="123"/>
        <v>5.8140000000000001</v>
      </c>
      <c r="S198" s="38">
        <f t="shared" si="124"/>
        <v>119.69367580327869</v>
      </c>
      <c r="T198" s="94" t="str">
        <f t="shared" si="125"/>
        <v>OK</v>
      </c>
      <c r="U198" s="95" t="str">
        <f t="shared" si="126"/>
        <v/>
      </c>
      <c r="V198" s="96">
        <f t="shared" si="127"/>
        <v>0</v>
      </c>
    </row>
    <row r="199" spans="1:22" x14ac:dyDescent="0.2">
      <c r="A199" s="35">
        <v>1</v>
      </c>
      <c r="B199" s="44">
        <v>717</v>
      </c>
      <c r="C199" s="44">
        <v>407</v>
      </c>
      <c r="D199" s="43" t="s">
        <v>181</v>
      </c>
      <c r="E199" s="43" t="s">
        <v>85</v>
      </c>
      <c r="F199" s="44">
        <v>1</v>
      </c>
      <c r="G199" s="44">
        <v>1</v>
      </c>
      <c r="H199" s="44">
        <v>1</v>
      </c>
      <c r="I199" s="44">
        <v>1</v>
      </c>
      <c r="J199" s="44">
        <v>1</v>
      </c>
      <c r="K199" s="16" t="s">
        <v>16</v>
      </c>
      <c r="L199" s="46" t="s">
        <v>182</v>
      </c>
      <c r="M199" s="10">
        <f t="shared" si="120"/>
        <v>0.291819</v>
      </c>
      <c r="N199" s="11">
        <f t="shared" si="121"/>
        <v>2.2480000000000002</v>
      </c>
      <c r="O199" s="12">
        <f>IF(E199="HERRAJE",IFERROR(_xlfn.XLOOKUP(D199,'⚙️ Configuración Costos'!$A$11:$A$20,'⚙️ Configuración Costos'!$B$11:$B$20),""),IFERROR(_xlfn.XLOOKUP(E199,'⚙️ Configuración Costos'!$A$5:$A$6,'⚙️ Configuración Costos'!$B$5:$B$6),""))</f>
        <v>332.85245901639348</v>
      </c>
      <c r="P199" s="12">
        <f t="shared" si="122"/>
        <v>97.132671737704925</v>
      </c>
      <c r="Q199" s="12">
        <f>IF(E199="HERRAJE",0,IFERROR(_xlfn.XLOOKUP(E199,'⚙️ Configuración Costos'!$E$5:$E$6,'⚙️ Configuración Costos'!$F$5:$F$6),""))</f>
        <v>9.5</v>
      </c>
      <c r="R199" s="12">
        <f t="shared" si="123"/>
        <v>21.356000000000002</v>
      </c>
      <c r="S199" s="38">
        <f t="shared" si="124"/>
        <v>118.48867173770492</v>
      </c>
      <c r="T199" s="94" t="str">
        <f t="shared" si="125"/>
        <v>OK</v>
      </c>
      <c r="U199" s="95" t="str">
        <f t="shared" si="126"/>
        <v/>
      </c>
      <c r="V199" s="96">
        <f t="shared" si="127"/>
        <v>0</v>
      </c>
    </row>
    <row r="200" spans="1:22" x14ac:dyDescent="0.2">
      <c r="A200" s="35">
        <v>1</v>
      </c>
      <c r="B200" s="44">
        <v>717</v>
      </c>
      <c r="C200" s="44">
        <v>70</v>
      </c>
      <c r="D200" s="43" t="s">
        <v>87</v>
      </c>
      <c r="E200" s="43" t="s">
        <v>85</v>
      </c>
      <c r="F200" s="44">
        <v>1</v>
      </c>
      <c r="G200" s="44">
        <v>1</v>
      </c>
      <c r="H200" s="44">
        <v>1</v>
      </c>
      <c r="I200" s="44">
        <v>1</v>
      </c>
      <c r="J200" s="44">
        <v>1</v>
      </c>
      <c r="K200" s="16" t="s">
        <v>16</v>
      </c>
      <c r="L200" s="46" t="s">
        <v>183</v>
      </c>
      <c r="M200" s="10">
        <f t="shared" si="120"/>
        <v>5.0189999999999999E-2</v>
      </c>
      <c r="N200" s="11">
        <f t="shared" si="121"/>
        <v>1.5740000000000001</v>
      </c>
      <c r="O200" s="12">
        <f>IF(E200="HERRAJE",IFERROR(_xlfn.XLOOKUP(D200,'⚙️ Configuración Costos'!$A$11:$A$20,'⚙️ Configuración Costos'!$B$11:$B$20),""),IFERROR(_xlfn.XLOOKUP(E200,'⚙️ Configuración Costos'!$A$5:$A$6,'⚙️ Configuración Costos'!$B$5:$B$6),""))</f>
        <v>332.85245901639348</v>
      </c>
      <c r="P200" s="12">
        <f t="shared" si="122"/>
        <v>16.705864918032788</v>
      </c>
      <c r="Q200" s="12">
        <f>IF(E200="HERRAJE",0,IFERROR(_xlfn.XLOOKUP(E200,'⚙️ Configuración Costos'!$E$5:$E$6,'⚙️ Configuración Costos'!$F$5:$F$6),""))</f>
        <v>9.5</v>
      </c>
      <c r="R200" s="12">
        <f t="shared" si="123"/>
        <v>14.953000000000001</v>
      </c>
      <c r="S200" s="38">
        <f t="shared" si="124"/>
        <v>31.658864918032791</v>
      </c>
      <c r="T200" s="94" t="str">
        <f t="shared" si="125"/>
        <v>OK</v>
      </c>
      <c r="U200" s="95" t="str">
        <f t="shared" si="126"/>
        <v/>
      </c>
      <c r="V200" s="96">
        <f t="shared" si="127"/>
        <v>0</v>
      </c>
    </row>
    <row r="201" spans="1:22" x14ac:dyDescent="0.2">
      <c r="A201" s="35">
        <v>1</v>
      </c>
      <c r="B201" s="44">
        <v>717</v>
      </c>
      <c r="C201" s="44">
        <v>70</v>
      </c>
      <c r="D201" s="43" t="s">
        <v>184</v>
      </c>
      <c r="E201" s="43" t="s">
        <v>85</v>
      </c>
      <c r="F201" s="44">
        <v>1</v>
      </c>
      <c r="G201" s="44">
        <v>1</v>
      </c>
      <c r="H201" s="44">
        <v>1</v>
      </c>
      <c r="I201" s="44">
        <v>1</v>
      </c>
      <c r="J201" s="44">
        <v>1</v>
      </c>
      <c r="K201" s="16" t="s">
        <v>16</v>
      </c>
      <c r="L201" s="46" t="s">
        <v>185</v>
      </c>
      <c r="M201" s="10">
        <f t="shared" si="120"/>
        <v>5.0189999999999999E-2</v>
      </c>
      <c r="N201" s="11">
        <f t="shared" si="121"/>
        <v>1.5740000000000001</v>
      </c>
      <c r="O201" s="12">
        <f>IF(E201="HERRAJE",IFERROR(_xlfn.XLOOKUP(D201,'⚙️ Configuración Costos'!$A$11:$A$20,'⚙️ Configuración Costos'!$B$11:$B$20),""),IFERROR(_xlfn.XLOOKUP(E201,'⚙️ Configuración Costos'!$A$5:$A$6,'⚙️ Configuración Costos'!$B$5:$B$6),""))</f>
        <v>332.85245901639348</v>
      </c>
      <c r="P201" s="12">
        <f t="shared" si="122"/>
        <v>16.705864918032788</v>
      </c>
      <c r="Q201" s="12">
        <f>IF(E201="HERRAJE",0,IFERROR(_xlfn.XLOOKUP(E201,'⚙️ Configuración Costos'!$E$5:$E$6,'⚙️ Configuración Costos'!$F$5:$F$6),""))</f>
        <v>9.5</v>
      </c>
      <c r="R201" s="12">
        <f t="shared" si="123"/>
        <v>14.953000000000001</v>
      </c>
      <c r="S201" s="38">
        <f t="shared" si="124"/>
        <v>31.658864918032791</v>
      </c>
      <c r="T201" s="94" t="str">
        <f t="shared" si="125"/>
        <v>OK</v>
      </c>
      <c r="U201" s="95" t="str">
        <f t="shared" si="126"/>
        <v/>
      </c>
      <c r="V201" s="96">
        <f t="shared" si="127"/>
        <v>0</v>
      </c>
    </row>
    <row r="202" spans="1:22" x14ac:dyDescent="0.2">
      <c r="A202" s="35">
        <v>1</v>
      </c>
      <c r="B202" s="6">
        <v>0</v>
      </c>
      <c r="C202" s="6">
        <v>0</v>
      </c>
      <c r="D202" s="7" t="s">
        <v>93</v>
      </c>
      <c r="E202" s="7" t="s">
        <v>91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16" t="s">
        <v>16</v>
      </c>
      <c r="L202" s="47" t="s">
        <v>94</v>
      </c>
      <c r="M202" s="10">
        <f t="shared" si="120"/>
        <v>0</v>
      </c>
      <c r="N202" s="11">
        <f t="shared" si="121"/>
        <v>0</v>
      </c>
      <c r="O202" s="12">
        <f>IF(E202="HERRAJE",IFERROR(_xlfn.XLOOKUP(D202,'⚙️ Configuración Costos'!$A$11:$A$20,'⚙️ Configuración Costos'!$B$11:$B$20),""),IFERROR(_xlfn.XLOOKUP(E202,'⚙️ Configuración Costos'!$A$5:$A$6,'⚙️ Configuración Costos'!$B$5:$B$6),""))</f>
        <v>15</v>
      </c>
      <c r="P202" s="12">
        <f t="shared" si="122"/>
        <v>15</v>
      </c>
      <c r="Q202" s="12">
        <f>IF(E202="HERRAJE",0,IFERROR(_xlfn.XLOOKUP(E202,'⚙️ Configuración Costos'!$E$5:$E$6,'⚙️ Configuración Costos'!$F$5:$F$6),""))</f>
        <v>0</v>
      </c>
      <c r="R202" s="12">
        <f t="shared" si="123"/>
        <v>0</v>
      </c>
      <c r="S202" s="38">
        <f t="shared" si="124"/>
        <v>15</v>
      </c>
      <c r="T202" s="94" t="str">
        <f t="shared" si="125"/>
        <v>OK</v>
      </c>
      <c r="U202" s="95" t="str">
        <f t="shared" si="126"/>
        <v/>
      </c>
      <c r="V202" s="96">
        <f t="shared" si="127"/>
        <v>0</v>
      </c>
    </row>
    <row r="203" spans="1:22" x14ac:dyDescent="0.2">
      <c r="A203" s="35">
        <v>4</v>
      </c>
      <c r="B203" s="6">
        <v>0</v>
      </c>
      <c r="C203" s="6">
        <v>0</v>
      </c>
      <c r="D203" s="7" t="s">
        <v>186</v>
      </c>
      <c r="E203" s="7" t="s">
        <v>91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16" t="s">
        <v>16</v>
      </c>
      <c r="L203" s="47" t="s">
        <v>187</v>
      </c>
      <c r="M203" s="10">
        <f t="shared" si="120"/>
        <v>0</v>
      </c>
      <c r="N203" s="11">
        <f t="shared" si="121"/>
        <v>0</v>
      </c>
      <c r="O203" s="12">
        <f>IF(E203="HERRAJE",IFERROR(_xlfn.XLOOKUP(D203,'⚙️ Configuración Costos'!$A$11:$A$20,'⚙️ Configuración Costos'!$B$11:$B$20),""),IFERROR(_xlfn.XLOOKUP(E203,'⚙️ Configuración Costos'!$A$5:$A$6,'⚙️ Configuración Costos'!$B$5:$B$6),""))</f>
        <v>15</v>
      </c>
      <c r="P203" s="12">
        <f t="shared" si="122"/>
        <v>60</v>
      </c>
      <c r="Q203" s="12">
        <f>IF(E203="HERRAJE",0,IFERROR(_xlfn.XLOOKUP(E203,'⚙️ Configuración Costos'!$E$5:$E$6,'⚙️ Configuración Costos'!$F$5:$F$6),""))</f>
        <v>0</v>
      </c>
      <c r="R203" s="12">
        <f t="shared" si="123"/>
        <v>0</v>
      </c>
      <c r="S203" s="38">
        <f t="shared" si="124"/>
        <v>60</v>
      </c>
      <c r="T203" s="94" t="str">
        <f t="shared" si="125"/>
        <v>OK</v>
      </c>
      <c r="U203" s="95" t="str">
        <f t="shared" si="126"/>
        <v/>
      </c>
      <c r="V203" s="96">
        <f t="shared" si="127"/>
        <v>0</v>
      </c>
    </row>
    <row r="204" spans="1:22" x14ac:dyDescent="0.2">
      <c r="A204" s="35">
        <v>4</v>
      </c>
      <c r="B204" s="6">
        <v>0</v>
      </c>
      <c r="C204" s="6">
        <v>0</v>
      </c>
      <c r="D204" s="7" t="s">
        <v>95</v>
      </c>
      <c r="E204" s="7" t="s">
        <v>91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16" t="s">
        <v>16</v>
      </c>
      <c r="L204" s="47" t="s">
        <v>96</v>
      </c>
      <c r="M204" s="10">
        <f t="shared" si="120"/>
        <v>0</v>
      </c>
      <c r="N204" s="11">
        <f t="shared" si="121"/>
        <v>0</v>
      </c>
      <c r="O204" s="12">
        <f>IF(E204="HERRAJE",IFERROR(_xlfn.XLOOKUP(D204,'⚙️ Configuración Costos'!$A$11:$A$20,'⚙️ Configuración Costos'!$B$11:$B$20),""),IFERROR(_xlfn.XLOOKUP(E204,'⚙️ Configuración Costos'!$A$5:$A$6,'⚙️ Configuración Costos'!$B$5:$B$6),""))</f>
        <v>2</v>
      </c>
      <c r="P204" s="12">
        <f t="shared" si="122"/>
        <v>8</v>
      </c>
      <c r="Q204" s="12">
        <f>IF(E204="HERRAJE",0,IFERROR(_xlfn.XLOOKUP(E204,'⚙️ Configuración Costos'!$E$5:$E$6,'⚙️ Configuración Costos'!$F$5:$F$6),""))</f>
        <v>0</v>
      </c>
      <c r="R204" s="12">
        <f t="shared" si="123"/>
        <v>0</v>
      </c>
      <c r="S204" s="38">
        <f t="shared" si="124"/>
        <v>8</v>
      </c>
      <c r="T204" s="94" t="str">
        <f t="shared" si="125"/>
        <v>OK</v>
      </c>
      <c r="U204" s="95" t="str">
        <f t="shared" si="126"/>
        <v/>
      </c>
      <c r="V204" s="96">
        <f t="shared" si="127"/>
        <v>0</v>
      </c>
    </row>
    <row r="205" spans="1:22" ht="16" thickBot="1" x14ac:dyDescent="0.25">
      <c r="A205" s="36">
        <v>30</v>
      </c>
      <c r="B205" s="20">
        <v>0</v>
      </c>
      <c r="C205" s="20">
        <v>0</v>
      </c>
      <c r="D205" s="21" t="s">
        <v>97</v>
      </c>
      <c r="E205" s="21" t="s">
        <v>91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16" t="s">
        <v>16</v>
      </c>
      <c r="L205" s="48" t="s">
        <v>98</v>
      </c>
      <c r="M205" s="24">
        <f t="shared" si="120"/>
        <v>0</v>
      </c>
      <c r="N205" s="25">
        <f t="shared" si="121"/>
        <v>0</v>
      </c>
      <c r="O205" s="26">
        <f>IF(E205="HERRAJE",IFERROR(_xlfn.XLOOKUP(D205,'⚙️ Configuración Costos'!$A$11:$A$20,'⚙️ Configuración Costos'!$B$11:$B$20),""),IFERROR(_xlfn.XLOOKUP(E205,'⚙️ Configuración Costos'!$A$5:$A$6,'⚙️ Configuración Costos'!$B$5:$B$6),""))</f>
        <v>1.5</v>
      </c>
      <c r="P205" s="26">
        <f t="shared" si="122"/>
        <v>45</v>
      </c>
      <c r="Q205" s="26">
        <f>IF(E205="HERRAJE",0,IFERROR(_xlfn.XLOOKUP(E205,'⚙️ Configuración Costos'!$E$5:$E$6,'⚙️ Configuración Costos'!$F$5:$F$6),""))</f>
        <v>0</v>
      </c>
      <c r="R205" s="26">
        <f t="shared" si="123"/>
        <v>0</v>
      </c>
      <c r="S205" s="39">
        <f t="shared" si="124"/>
        <v>45</v>
      </c>
      <c r="T205" s="94" t="str">
        <f t="shared" si="125"/>
        <v>OK</v>
      </c>
      <c r="U205" s="95" t="str">
        <f t="shared" si="126"/>
        <v/>
      </c>
      <c r="V205" s="96">
        <f t="shared" si="127"/>
        <v>0</v>
      </c>
    </row>
    <row r="206" spans="1:22" ht="16" thickTop="1" x14ac:dyDescent="0.2">
      <c r="A206" s="27" t="s">
        <v>99</v>
      </c>
      <c r="B206" s="27"/>
      <c r="C206" s="27"/>
      <c r="D206" s="28"/>
      <c r="E206" s="28"/>
      <c r="F206" s="29"/>
      <c r="G206" s="29"/>
      <c r="H206" s="29"/>
      <c r="I206" s="29"/>
      <c r="J206" s="29"/>
      <c r="K206" s="30"/>
      <c r="L206" s="49" t="s">
        <v>188</v>
      </c>
      <c r="M206" s="33">
        <f>SUM(M190:M205)</f>
        <v>3.6084905000000012</v>
      </c>
      <c r="N206" s="33">
        <f>SUM(N190:N205)</f>
        <v>18.757000000000005</v>
      </c>
      <c r="O206" s="33"/>
      <c r="P206" s="33">
        <f>SUM(P190:P205)</f>
        <v>1029.9481911081971</v>
      </c>
      <c r="Q206" s="33"/>
      <c r="R206" s="33">
        <f>SUM(R190:R205)</f>
        <v>131.428</v>
      </c>
      <c r="S206" s="33">
        <f>SUM(S190:S205)</f>
        <v>1161.376191108197</v>
      </c>
      <c r="T206" s="97"/>
      <c r="U206" s="98"/>
      <c r="V206" s="99"/>
    </row>
    <row r="207" spans="1:22" x14ac:dyDescent="0.2">
      <c r="A207" s="186" t="s">
        <v>189</v>
      </c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8"/>
      <c r="T207" s="97"/>
      <c r="U207" s="98"/>
      <c r="V207" s="99"/>
    </row>
    <row r="208" spans="1:22" x14ac:dyDescent="0.2">
      <c r="A208" s="34">
        <v>1</v>
      </c>
      <c r="B208" s="13">
        <v>720</v>
      </c>
      <c r="C208" s="13">
        <v>580</v>
      </c>
      <c r="D208" s="14" t="s">
        <v>63</v>
      </c>
      <c r="E208" s="14" t="s">
        <v>64</v>
      </c>
      <c r="F208" s="15">
        <v>0</v>
      </c>
      <c r="G208" s="15">
        <v>1</v>
      </c>
      <c r="H208" s="15">
        <v>1</v>
      </c>
      <c r="I208" s="15">
        <v>1</v>
      </c>
      <c r="J208" s="15">
        <v>1</v>
      </c>
      <c r="K208" s="16" t="s">
        <v>17</v>
      </c>
      <c r="L208" s="46" t="s">
        <v>190</v>
      </c>
      <c r="M208" s="17">
        <f t="shared" ref="M208:M220" si="128">IF(AND(ISNUMBER(B208),ISNUMBER(C208),B208&gt;0,C208&gt;0),A208*(B208*C208/1000000),0)</f>
        <v>0.41760000000000003</v>
      </c>
      <c r="N208" s="18">
        <f t="shared" ref="N208:N220" si="129">IF(AND(ISNUMBER(B208),B208&gt;0),A208*(((G208+H208)*B208+(I208+J208)*C208)/1000),0)</f>
        <v>2.6</v>
      </c>
      <c r="O208" s="19">
        <f>IF(E208="HERRAJE",IFERROR(_xlfn.XLOOKUP(D208,'⚙️ Configuración Costos'!$A$11:$A$20,'⚙️ Configuración Costos'!$B$11:$B$20),""),IFERROR(_xlfn.XLOOKUP(E208,'⚙️ Configuración Costos'!$A$5:$A$6,'⚙️ Configuración Costos'!$B$5:$B$6),""))</f>
        <v>239.8426229508197</v>
      </c>
      <c r="P208" s="19">
        <f t="shared" ref="P208:P220" si="130">IF(E208="HERRAJE",A208*O208,M208*O208)</f>
        <v>100.15827934426231</v>
      </c>
      <c r="Q208" s="19">
        <f>IF(E208="HERRAJE",0,IFERROR(_xlfn.XLOOKUP(E208,'⚙️ Configuración Costos'!$E$5:$E$6,'⚙️ Configuración Costos'!$F$5:$F$6),""))</f>
        <v>6</v>
      </c>
      <c r="R208" s="19">
        <f t="shared" ref="R208:R220" si="131">N208*Q208</f>
        <v>15.600000000000001</v>
      </c>
      <c r="S208" s="37">
        <f t="shared" ref="S208:S220" si="132">P208+R208</f>
        <v>115.75827934426232</v>
      </c>
      <c r="T208" s="94" t="str">
        <f t="shared" ref="T208:T220" si="133">IF(K208="","SIN ID MÓDULO",IF(E208="HERRAJE",IF(OR(O208="",O208&lt;=0),"SIN PRECIO HERRAJE","OK"),IF(OR(O208="",O208&lt;=0),"SIN PRECIO MATERIAL",IF(AND(N208&gt;0,OR(Q208="",Q208&lt;=0)),"SIN PRECIO CINTILLA","OK"))))</f>
        <v>OK</v>
      </c>
      <c r="U208" s="95" t="str">
        <f t="shared" ref="U208:U220" si="134">IF(T208="OK","",IF(T208="SIN PRECIO HERRAJE","Capturar precio: "&amp;D208,IF(T208="SIN PRECIO MATERIAL","Configurar material: "&amp;E208,IF(T208="SIN PRECIO CINTILLA","Configurar cintilla: "&amp;E208,IF(T208="SIN ID MÓDULO","Revisar ID del módulo","")))))</f>
        <v/>
      </c>
      <c r="V208" s="96">
        <f t="shared" ref="V208:V220" si="135">IF(T208="OK",0,IF(T208="",0,1))</f>
        <v>0</v>
      </c>
    </row>
    <row r="209" spans="1:22" x14ac:dyDescent="0.2">
      <c r="A209" s="35">
        <v>1</v>
      </c>
      <c r="B209" s="6">
        <v>720</v>
      </c>
      <c r="C209" s="6">
        <v>580</v>
      </c>
      <c r="D209" s="7" t="s">
        <v>66</v>
      </c>
      <c r="E209" s="7" t="s">
        <v>64</v>
      </c>
      <c r="F209" s="8">
        <v>0</v>
      </c>
      <c r="G209" s="8">
        <v>1</v>
      </c>
      <c r="H209" s="8">
        <v>1</v>
      </c>
      <c r="I209" s="8">
        <v>1</v>
      </c>
      <c r="J209" s="8">
        <v>1</v>
      </c>
      <c r="K209" s="16" t="s">
        <v>17</v>
      </c>
      <c r="L209" s="47" t="s">
        <v>191</v>
      </c>
      <c r="M209" s="10">
        <f t="shared" si="128"/>
        <v>0.41760000000000003</v>
      </c>
      <c r="N209" s="11">
        <f t="shared" si="129"/>
        <v>2.6</v>
      </c>
      <c r="O209" s="12">
        <f>IF(E209="HERRAJE",IFERROR(_xlfn.XLOOKUP(D209,'⚙️ Configuración Costos'!$A$11:$A$20,'⚙️ Configuración Costos'!$B$11:$B$20),""),IFERROR(_xlfn.XLOOKUP(E209,'⚙️ Configuración Costos'!$A$5:$A$6,'⚙️ Configuración Costos'!$B$5:$B$6),""))</f>
        <v>239.8426229508197</v>
      </c>
      <c r="P209" s="12">
        <f t="shared" si="130"/>
        <v>100.15827934426231</v>
      </c>
      <c r="Q209" s="12">
        <f>IF(E209="HERRAJE",0,IFERROR(_xlfn.XLOOKUP(E209,'⚙️ Configuración Costos'!$E$5:$E$6,'⚙️ Configuración Costos'!$F$5:$F$6),""))</f>
        <v>6</v>
      </c>
      <c r="R209" s="12">
        <f t="shared" si="131"/>
        <v>15.600000000000001</v>
      </c>
      <c r="S209" s="38">
        <f t="shared" si="132"/>
        <v>115.75827934426232</v>
      </c>
      <c r="T209" s="94" t="str">
        <f t="shared" si="133"/>
        <v>OK</v>
      </c>
      <c r="U209" s="95" t="str">
        <f t="shared" si="134"/>
        <v/>
      </c>
      <c r="V209" s="96">
        <f t="shared" si="135"/>
        <v>0</v>
      </c>
    </row>
    <row r="210" spans="1:22" x14ac:dyDescent="0.2">
      <c r="A210" s="35">
        <v>1</v>
      </c>
      <c r="B210" s="6">
        <v>689</v>
      </c>
      <c r="C210" s="6">
        <v>269</v>
      </c>
      <c r="D210" s="7" t="s">
        <v>169</v>
      </c>
      <c r="E210" s="7" t="s">
        <v>64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16" t="s">
        <v>17</v>
      </c>
      <c r="L210" s="47" t="s">
        <v>192</v>
      </c>
      <c r="M210" s="10">
        <f t="shared" si="128"/>
        <v>0.18534100000000001</v>
      </c>
      <c r="N210" s="11">
        <f t="shared" si="129"/>
        <v>0</v>
      </c>
      <c r="O210" s="12">
        <f>IF(E210="HERRAJE",IFERROR(_xlfn.XLOOKUP(D210,'⚙️ Configuración Costos'!$A$11:$A$20,'⚙️ Configuración Costos'!$B$11:$B$20),""),IFERROR(_xlfn.XLOOKUP(E210,'⚙️ Configuración Costos'!$A$5:$A$6,'⚙️ Configuración Costos'!$B$5:$B$6),""))</f>
        <v>239.8426229508197</v>
      </c>
      <c r="P210" s="12">
        <f t="shared" si="130"/>
        <v>44.452671580327873</v>
      </c>
      <c r="Q210" s="12">
        <f>IF(E210="HERRAJE",0,IFERROR(_xlfn.XLOOKUP(E210,'⚙️ Configuración Costos'!$E$5:$E$6,'⚙️ Configuración Costos'!$F$5:$F$6),""))</f>
        <v>6</v>
      </c>
      <c r="R210" s="12">
        <f t="shared" si="131"/>
        <v>0</v>
      </c>
      <c r="S210" s="38">
        <f t="shared" si="132"/>
        <v>44.452671580327873</v>
      </c>
      <c r="T210" s="94" t="str">
        <f t="shared" si="133"/>
        <v>OK</v>
      </c>
      <c r="U210" s="95" t="str">
        <f t="shared" si="134"/>
        <v/>
      </c>
      <c r="V210" s="96">
        <f t="shared" si="135"/>
        <v>0</v>
      </c>
    </row>
    <row r="211" spans="1:22" x14ac:dyDescent="0.2">
      <c r="A211" s="35">
        <v>1</v>
      </c>
      <c r="B211" s="6">
        <v>269</v>
      </c>
      <c r="C211" s="6">
        <v>580</v>
      </c>
      <c r="D211" s="7" t="s">
        <v>171</v>
      </c>
      <c r="E211" s="7" t="s">
        <v>64</v>
      </c>
      <c r="F211" s="8">
        <v>0</v>
      </c>
      <c r="G211" s="8">
        <v>0</v>
      </c>
      <c r="H211" s="8">
        <v>0</v>
      </c>
      <c r="I211" s="8">
        <v>1</v>
      </c>
      <c r="J211" s="8">
        <v>1</v>
      </c>
      <c r="K211" s="16" t="s">
        <v>17</v>
      </c>
      <c r="L211" s="47" t="s">
        <v>193</v>
      </c>
      <c r="M211" s="10">
        <f t="shared" si="128"/>
        <v>0.15601999999999999</v>
      </c>
      <c r="N211" s="11">
        <f t="shared" si="129"/>
        <v>1.1599999999999999</v>
      </c>
      <c r="O211" s="12">
        <f>IF(E211="HERRAJE",IFERROR(_xlfn.XLOOKUP(D211,'⚙️ Configuración Costos'!$A$11:$A$20,'⚙️ Configuración Costos'!$B$11:$B$20),""),IFERROR(_xlfn.XLOOKUP(E211,'⚙️ Configuración Costos'!$A$5:$A$6,'⚙️ Configuración Costos'!$B$5:$B$6),""))</f>
        <v>239.8426229508197</v>
      </c>
      <c r="P211" s="12">
        <f t="shared" si="130"/>
        <v>37.420246032786885</v>
      </c>
      <c r="Q211" s="12">
        <f>IF(E211="HERRAJE",0,IFERROR(_xlfn.XLOOKUP(E211,'⚙️ Configuración Costos'!$E$5:$E$6,'⚙️ Configuración Costos'!$F$5:$F$6),""))</f>
        <v>6</v>
      </c>
      <c r="R211" s="12">
        <f t="shared" si="131"/>
        <v>6.9599999999999991</v>
      </c>
      <c r="S211" s="38">
        <f t="shared" si="132"/>
        <v>44.380246032786886</v>
      </c>
      <c r="T211" s="94" t="str">
        <f t="shared" si="133"/>
        <v>OK</v>
      </c>
      <c r="U211" s="95" t="str">
        <f t="shared" si="134"/>
        <v/>
      </c>
      <c r="V211" s="96">
        <f t="shared" si="135"/>
        <v>0</v>
      </c>
    </row>
    <row r="212" spans="1:22" x14ac:dyDescent="0.2">
      <c r="A212" s="35">
        <v>1</v>
      </c>
      <c r="B212" s="6">
        <v>269</v>
      </c>
      <c r="C212" s="6">
        <v>120</v>
      </c>
      <c r="D212" s="7" t="s">
        <v>194</v>
      </c>
      <c r="E212" s="7" t="s">
        <v>64</v>
      </c>
      <c r="F212" s="8">
        <v>0</v>
      </c>
      <c r="G212" s="8">
        <v>1</v>
      </c>
      <c r="H212" s="8">
        <v>1</v>
      </c>
      <c r="I212" s="8">
        <v>0</v>
      </c>
      <c r="J212" s="8">
        <v>0</v>
      </c>
      <c r="K212" s="16" t="s">
        <v>17</v>
      </c>
      <c r="L212" s="47" t="s">
        <v>195</v>
      </c>
      <c r="M212" s="10">
        <f t="shared" si="128"/>
        <v>3.2280000000000003E-2</v>
      </c>
      <c r="N212" s="11">
        <f t="shared" si="129"/>
        <v>0.53800000000000003</v>
      </c>
      <c r="O212" s="12">
        <f>IF(E212="HERRAJE",IFERROR(_xlfn.XLOOKUP(D212,'⚙️ Configuración Costos'!$A$11:$A$20,'⚙️ Configuración Costos'!$B$11:$B$20),""),IFERROR(_xlfn.XLOOKUP(E212,'⚙️ Configuración Costos'!$A$5:$A$6,'⚙️ Configuración Costos'!$B$5:$B$6),""))</f>
        <v>239.8426229508197</v>
      </c>
      <c r="P212" s="12">
        <f t="shared" si="130"/>
        <v>7.7421198688524608</v>
      </c>
      <c r="Q212" s="12">
        <f>IF(E212="HERRAJE",0,IFERROR(_xlfn.XLOOKUP(E212,'⚙️ Configuración Costos'!$E$5:$E$6,'⚙️ Configuración Costos'!$F$5:$F$6),""))</f>
        <v>6</v>
      </c>
      <c r="R212" s="12">
        <f t="shared" si="131"/>
        <v>3.2280000000000002</v>
      </c>
      <c r="S212" s="38">
        <f t="shared" si="132"/>
        <v>10.970119868852461</v>
      </c>
      <c r="T212" s="94" t="str">
        <f t="shared" si="133"/>
        <v>OK</v>
      </c>
      <c r="U212" s="95" t="str">
        <f t="shared" si="134"/>
        <v/>
      </c>
      <c r="V212" s="96">
        <f t="shared" si="135"/>
        <v>0</v>
      </c>
    </row>
    <row r="213" spans="1:22" x14ac:dyDescent="0.2">
      <c r="A213" s="35">
        <v>1</v>
      </c>
      <c r="B213" s="6">
        <v>269</v>
      </c>
      <c r="C213" s="6">
        <v>120</v>
      </c>
      <c r="D213" s="7" t="s">
        <v>194</v>
      </c>
      <c r="E213" s="7" t="s">
        <v>64</v>
      </c>
      <c r="F213" s="8">
        <v>0</v>
      </c>
      <c r="G213" s="8">
        <v>1</v>
      </c>
      <c r="H213" s="8">
        <v>1</v>
      </c>
      <c r="I213" s="8">
        <v>0</v>
      </c>
      <c r="J213" s="8">
        <v>0</v>
      </c>
      <c r="K213" s="16" t="s">
        <v>17</v>
      </c>
      <c r="L213" s="47" t="s">
        <v>195</v>
      </c>
      <c r="M213" s="10">
        <f t="shared" si="128"/>
        <v>3.2280000000000003E-2</v>
      </c>
      <c r="N213" s="11">
        <f t="shared" si="129"/>
        <v>0.53800000000000003</v>
      </c>
      <c r="O213" s="12">
        <f>IF(E213="HERRAJE",IFERROR(_xlfn.XLOOKUP(D213,'⚙️ Configuración Costos'!$A$11:$A$20,'⚙️ Configuración Costos'!$B$11:$B$20),""),IFERROR(_xlfn.XLOOKUP(E213,'⚙️ Configuración Costos'!$A$5:$A$6,'⚙️ Configuración Costos'!$B$5:$B$6),""))</f>
        <v>239.8426229508197</v>
      </c>
      <c r="P213" s="12">
        <f t="shared" si="130"/>
        <v>7.7421198688524608</v>
      </c>
      <c r="Q213" s="12">
        <f>IF(E213="HERRAJE",0,IFERROR(_xlfn.XLOOKUP(E213,'⚙️ Configuración Costos'!$E$5:$E$6,'⚙️ Configuración Costos'!$F$5:$F$6),""))</f>
        <v>6</v>
      </c>
      <c r="R213" s="12">
        <f t="shared" si="131"/>
        <v>3.2280000000000002</v>
      </c>
      <c r="S213" s="38">
        <f t="shared" si="132"/>
        <v>10.970119868852461</v>
      </c>
      <c r="T213" s="94" t="str">
        <f t="shared" si="133"/>
        <v>OK</v>
      </c>
      <c r="U213" s="95" t="str">
        <f t="shared" si="134"/>
        <v/>
      </c>
      <c r="V213" s="96">
        <f t="shared" si="135"/>
        <v>0</v>
      </c>
    </row>
    <row r="214" spans="1:22" x14ac:dyDescent="0.2">
      <c r="A214" s="35">
        <v>1</v>
      </c>
      <c r="B214" s="6">
        <v>269</v>
      </c>
      <c r="C214" s="6">
        <v>490</v>
      </c>
      <c r="D214" s="7" t="s">
        <v>179</v>
      </c>
      <c r="E214" s="7" t="s">
        <v>64</v>
      </c>
      <c r="F214" s="8">
        <v>0</v>
      </c>
      <c r="G214" s="8">
        <v>0</v>
      </c>
      <c r="H214" s="8">
        <v>0</v>
      </c>
      <c r="I214" s="8">
        <v>0</v>
      </c>
      <c r="J214" s="8">
        <v>1</v>
      </c>
      <c r="K214" s="16" t="s">
        <v>17</v>
      </c>
      <c r="L214" s="47" t="s">
        <v>196</v>
      </c>
      <c r="M214" s="10">
        <f t="shared" si="128"/>
        <v>0.13181000000000001</v>
      </c>
      <c r="N214" s="11">
        <f t="shared" si="129"/>
        <v>0.49</v>
      </c>
      <c r="O214" s="12">
        <f>IF(E214="HERRAJE",IFERROR(_xlfn.XLOOKUP(D214,'⚙️ Configuración Costos'!$A$11:$A$20,'⚙️ Configuración Costos'!$B$11:$B$20),""),IFERROR(_xlfn.XLOOKUP(E214,'⚙️ Configuración Costos'!$A$5:$A$6,'⚙️ Configuración Costos'!$B$5:$B$6),""))</f>
        <v>239.8426229508197</v>
      </c>
      <c r="P214" s="12">
        <f t="shared" si="130"/>
        <v>31.613656131147547</v>
      </c>
      <c r="Q214" s="12">
        <f>IF(E214="HERRAJE",0,IFERROR(_xlfn.XLOOKUP(E214,'⚙️ Configuración Costos'!$E$5:$E$6,'⚙️ Configuración Costos'!$F$5:$F$6),""))</f>
        <v>6</v>
      </c>
      <c r="R214" s="12">
        <f t="shared" si="131"/>
        <v>2.94</v>
      </c>
      <c r="S214" s="38">
        <f t="shared" si="132"/>
        <v>34.553656131147548</v>
      </c>
      <c r="T214" s="94" t="str">
        <f t="shared" si="133"/>
        <v>OK</v>
      </c>
      <c r="U214" s="95" t="str">
        <f t="shared" si="134"/>
        <v/>
      </c>
      <c r="V214" s="96">
        <f t="shared" si="135"/>
        <v>0</v>
      </c>
    </row>
    <row r="215" spans="1:22" x14ac:dyDescent="0.2">
      <c r="A215" s="35">
        <v>1</v>
      </c>
      <c r="B215" s="6">
        <v>717</v>
      </c>
      <c r="C215" s="6">
        <v>297</v>
      </c>
      <c r="D215" s="7" t="s">
        <v>197</v>
      </c>
      <c r="E215" s="7" t="s">
        <v>85</v>
      </c>
      <c r="F215" s="8">
        <v>1</v>
      </c>
      <c r="G215" s="8">
        <v>1</v>
      </c>
      <c r="H215" s="8">
        <v>1</v>
      </c>
      <c r="I215" s="8">
        <v>1</v>
      </c>
      <c r="J215" s="8">
        <v>1</v>
      </c>
      <c r="K215" s="16" t="s">
        <v>17</v>
      </c>
      <c r="L215" s="47" t="s">
        <v>198</v>
      </c>
      <c r="M215" s="10">
        <f t="shared" si="128"/>
        <v>0.212949</v>
      </c>
      <c r="N215" s="11">
        <f t="shared" si="129"/>
        <v>2.028</v>
      </c>
      <c r="O215" s="12">
        <f>IF(E215="HERRAJE",IFERROR(_xlfn.XLOOKUP(D215,'⚙️ Configuración Costos'!$A$11:$A$20,'⚙️ Configuración Costos'!$B$11:$B$20),""),IFERROR(_xlfn.XLOOKUP(E215,'⚙️ Configuración Costos'!$A$5:$A$6,'⚙️ Configuración Costos'!$B$5:$B$6),""))</f>
        <v>332.85245901639348</v>
      </c>
      <c r="P215" s="12">
        <f t="shared" si="130"/>
        <v>70.880598295081981</v>
      </c>
      <c r="Q215" s="12">
        <f>IF(E215="HERRAJE",0,IFERROR(_xlfn.XLOOKUP(E215,'⚙️ Configuración Costos'!$E$5:$E$6,'⚙️ Configuración Costos'!$F$5:$F$6),""))</f>
        <v>9.5</v>
      </c>
      <c r="R215" s="12">
        <f t="shared" si="131"/>
        <v>19.266000000000002</v>
      </c>
      <c r="S215" s="38">
        <f t="shared" si="132"/>
        <v>90.146598295081986</v>
      </c>
      <c r="T215" s="94" t="str">
        <f t="shared" si="133"/>
        <v>OK</v>
      </c>
      <c r="U215" s="95" t="str">
        <f t="shared" si="134"/>
        <v/>
      </c>
      <c r="V215" s="96">
        <f t="shared" si="135"/>
        <v>0</v>
      </c>
    </row>
    <row r="216" spans="1:22" x14ac:dyDescent="0.2">
      <c r="A216" s="35">
        <v>2</v>
      </c>
      <c r="B216" s="6">
        <v>0</v>
      </c>
      <c r="C216" s="6">
        <v>0</v>
      </c>
      <c r="D216" s="7" t="s">
        <v>90</v>
      </c>
      <c r="E216" s="7" t="s">
        <v>91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16" t="s">
        <v>17</v>
      </c>
      <c r="L216" s="47" t="s">
        <v>92</v>
      </c>
      <c r="M216" s="10">
        <f t="shared" si="128"/>
        <v>0</v>
      </c>
      <c r="N216" s="11">
        <f t="shared" si="129"/>
        <v>0</v>
      </c>
      <c r="O216" s="12">
        <f>IF(E216="HERRAJE",IFERROR(_xlfn.XLOOKUP(D216,'⚙️ Configuración Costos'!$A$11:$A$20,'⚙️ Configuración Costos'!$B$11:$B$20),""),IFERROR(_xlfn.XLOOKUP(E216,'⚙️ Configuración Costos'!$A$5:$A$6,'⚙️ Configuración Costos'!$B$5:$B$6),""))</f>
        <v>20</v>
      </c>
      <c r="P216" s="12">
        <f t="shared" si="130"/>
        <v>40</v>
      </c>
      <c r="Q216" s="12">
        <f>IF(E216="HERRAJE",0,IFERROR(_xlfn.XLOOKUP(E216,'⚙️ Configuración Costos'!$E$5:$E$6,'⚙️ Configuración Costos'!$F$5:$F$6),""))</f>
        <v>0</v>
      </c>
      <c r="R216" s="12">
        <f t="shared" si="131"/>
        <v>0</v>
      </c>
      <c r="S216" s="38">
        <f t="shared" si="132"/>
        <v>40</v>
      </c>
      <c r="T216" s="94" t="str">
        <f t="shared" si="133"/>
        <v>OK</v>
      </c>
      <c r="U216" s="95" t="str">
        <f t="shared" si="134"/>
        <v/>
      </c>
      <c r="V216" s="96">
        <f t="shared" si="135"/>
        <v>0</v>
      </c>
    </row>
    <row r="217" spans="1:22" x14ac:dyDescent="0.2">
      <c r="A217" s="35">
        <v>1</v>
      </c>
      <c r="B217" s="6">
        <v>0</v>
      </c>
      <c r="C217" s="6">
        <v>0</v>
      </c>
      <c r="D217" s="7" t="s">
        <v>93</v>
      </c>
      <c r="E217" s="7" t="s">
        <v>91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16" t="s">
        <v>17</v>
      </c>
      <c r="L217" s="47" t="s">
        <v>94</v>
      </c>
      <c r="M217" s="10">
        <f t="shared" si="128"/>
        <v>0</v>
      </c>
      <c r="N217" s="11">
        <f t="shared" si="129"/>
        <v>0</v>
      </c>
      <c r="O217" s="12">
        <f>IF(E217="HERRAJE",IFERROR(_xlfn.XLOOKUP(D217,'⚙️ Configuración Costos'!$A$11:$A$20,'⚙️ Configuración Costos'!$B$11:$B$20),""),IFERROR(_xlfn.XLOOKUP(E217,'⚙️ Configuración Costos'!$A$5:$A$6,'⚙️ Configuración Costos'!$B$5:$B$6),""))</f>
        <v>15</v>
      </c>
      <c r="P217" s="12">
        <f t="shared" si="130"/>
        <v>15</v>
      </c>
      <c r="Q217" s="12">
        <f>IF(E217="HERRAJE",0,IFERROR(_xlfn.XLOOKUP(E217,'⚙️ Configuración Costos'!$E$5:$E$6,'⚙️ Configuración Costos'!$F$5:$F$6),""))</f>
        <v>0</v>
      </c>
      <c r="R217" s="12">
        <f t="shared" si="131"/>
        <v>0</v>
      </c>
      <c r="S217" s="38">
        <f t="shared" si="132"/>
        <v>15</v>
      </c>
      <c r="T217" s="94" t="str">
        <f t="shared" si="133"/>
        <v>OK</v>
      </c>
      <c r="U217" s="95" t="str">
        <f t="shared" si="134"/>
        <v/>
      </c>
      <c r="V217" s="96">
        <f t="shared" si="135"/>
        <v>0</v>
      </c>
    </row>
    <row r="218" spans="1:22" x14ac:dyDescent="0.2">
      <c r="A218" s="35">
        <v>4</v>
      </c>
      <c r="B218" s="6">
        <v>0</v>
      </c>
      <c r="C218" s="6">
        <v>0</v>
      </c>
      <c r="D218" s="7" t="s">
        <v>186</v>
      </c>
      <c r="E218" s="7" t="s">
        <v>91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16" t="s">
        <v>17</v>
      </c>
      <c r="L218" s="47" t="s">
        <v>187</v>
      </c>
      <c r="M218" s="10">
        <f t="shared" si="128"/>
        <v>0</v>
      </c>
      <c r="N218" s="11">
        <f t="shared" si="129"/>
        <v>0</v>
      </c>
      <c r="O218" s="12">
        <f>IF(E218="HERRAJE",IFERROR(_xlfn.XLOOKUP(D218,'⚙️ Configuración Costos'!$A$11:$A$20,'⚙️ Configuración Costos'!$B$11:$B$20),""),IFERROR(_xlfn.XLOOKUP(E218,'⚙️ Configuración Costos'!$A$5:$A$6,'⚙️ Configuración Costos'!$B$5:$B$6),""))</f>
        <v>15</v>
      </c>
      <c r="P218" s="12">
        <f t="shared" si="130"/>
        <v>60</v>
      </c>
      <c r="Q218" s="12">
        <f>IF(E218="HERRAJE",0,IFERROR(_xlfn.XLOOKUP(E218,'⚙️ Configuración Costos'!$E$5:$E$6,'⚙️ Configuración Costos'!$F$5:$F$6),""))</f>
        <v>0</v>
      </c>
      <c r="R218" s="12">
        <f t="shared" si="131"/>
        <v>0</v>
      </c>
      <c r="S218" s="38">
        <f t="shared" si="132"/>
        <v>60</v>
      </c>
      <c r="T218" s="94" t="str">
        <f t="shared" si="133"/>
        <v>OK</v>
      </c>
      <c r="U218" s="95" t="str">
        <f t="shared" si="134"/>
        <v/>
      </c>
      <c r="V218" s="96">
        <f t="shared" si="135"/>
        <v>0</v>
      </c>
    </row>
    <row r="219" spans="1:22" x14ac:dyDescent="0.2">
      <c r="A219" s="35">
        <v>4</v>
      </c>
      <c r="B219" s="6">
        <v>0</v>
      </c>
      <c r="C219" s="6">
        <v>0</v>
      </c>
      <c r="D219" s="7" t="s">
        <v>95</v>
      </c>
      <c r="E219" s="7" t="s">
        <v>91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16" t="s">
        <v>17</v>
      </c>
      <c r="L219" s="47" t="s">
        <v>96</v>
      </c>
      <c r="M219" s="10">
        <f t="shared" si="128"/>
        <v>0</v>
      </c>
      <c r="N219" s="11">
        <f t="shared" si="129"/>
        <v>0</v>
      </c>
      <c r="O219" s="12">
        <f>IF(E219="HERRAJE",IFERROR(_xlfn.XLOOKUP(D219,'⚙️ Configuración Costos'!$A$11:$A$20,'⚙️ Configuración Costos'!$B$11:$B$20),""),IFERROR(_xlfn.XLOOKUP(E219,'⚙️ Configuración Costos'!$A$5:$A$6,'⚙️ Configuración Costos'!$B$5:$B$6),""))</f>
        <v>2</v>
      </c>
      <c r="P219" s="12">
        <f t="shared" si="130"/>
        <v>8</v>
      </c>
      <c r="Q219" s="12">
        <f>IF(E219="HERRAJE",0,IFERROR(_xlfn.XLOOKUP(E219,'⚙️ Configuración Costos'!$E$5:$E$6,'⚙️ Configuración Costos'!$F$5:$F$6),""))</f>
        <v>0</v>
      </c>
      <c r="R219" s="12">
        <f t="shared" si="131"/>
        <v>0</v>
      </c>
      <c r="S219" s="38">
        <f t="shared" si="132"/>
        <v>8</v>
      </c>
      <c r="T219" s="94" t="str">
        <f t="shared" si="133"/>
        <v>OK</v>
      </c>
      <c r="U219" s="95" t="str">
        <f t="shared" si="134"/>
        <v/>
      </c>
      <c r="V219" s="96">
        <f t="shared" si="135"/>
        <v>0</v>
      </c>
    </row>
    <row r="220" spans="1:22" ht="16" thickBot="1" x14ac:dyDescent="0.25">
      <c r="A220" s="36">
        <v>24</v>
      </c>
      <c r="B220" s="20">
        <v>0</v>
      </c>
      <c r="C220" s="20">
        <v>0</v>
      </c>
      <c r="D220" s="21" t="s">
        <v>97</v>
      </c>
      <c r="E220" s="21" t="s">
        <v>91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16" t="s">
        <v>17</v>
      </c>
      <c r="L220" s="48" t="s">
        <v>98</v>
      </c>
      <c r="M220" s="24">
        <f t="shared" si="128"/>
        <v>0</v>
      </c>
      <c r="N220" s="25">
        <f t="shared" si="129"/>
        <v>0</v>
      </c>
      <c r="O220" s="26">
        <f>IF(E220="HERRAJE",IFERROR(_xlfn.XLOOKUP(D220,'⚙️ Configuración Costos'!$A$11:$A$20,'⚙️ Configuración Costos'!$B$11:$B$20),""),IFERROR(_xlfn.XLOOKUP(E220,'⚙️ Configuración Costos'!$A$5:$A$6,'⚙️ Configuración Costos'!$B$5:$B$6),""))</f>
        <v>1.5</v>
      </c>
      <c r="P220" s="26">
        <f t="shared" si="130"/>
        <v>36</v>
      </c>
      <c r="Q220" s="26">
        <f>IF(E220="HERRAJE",0,IFERROR(_xlfn.XLOOKUP(E220,'⚙️ Configuración Costos'!$E$5:$E$6,'⚙️ Configuración Costos'!$F$5:$F$6),""))</f>
        <v>0</v>
      </c>
      <c r="R220" s="26">
        <f t="shared" si="131"/>
        <v>0</v>
      </c>
      <c r="S220" s="39">
        <f t="shared" si="132"/>
        <v>36</v>
      </c>
      <c r="T220" s="94" t="str">
        <f t="shared" si="133"/>
        <v>OK</v>
      </c>
      <c r="U220" s="95" t="str">
        <f t="shared" si="134"/>
        <v/>
      </c>
      <c r="V220" s="96">
        <f t="shared" si="135"/>
        <v>0</v>
      </c>
    </row>
    <row r="221" spans="1:22" ht="16" thickTop="1" x14ac:dyDescent="0.2">
      <c r="A221" s="27" t="s">
        <v>99</v>
      </c>
      <c r="B221" s="27"/>
      <c r="C221" s="27"/>
      <c r="D221" s="28"/>
      <c r="E221" s="28"/>
      <c r="F221" s="29"/>
      <c r="G221" s="29"/>
      <c r="H221" s="29"/>
      <c r="I221" s="29"/>
      <c r="J221" s="29"/>
      <c r="K221" s="30"/>
      <c r="L221" s="49" t="s">
        <v>188</v>
      </c>
      <c r="M221" s="31">
        <f>SUM(M208:M220)</f>
        <v>1.5858800000000004</v>
      </c>
      <c r="N221" s="32">
        <f>SUM(N208:N220)</f>
        <v>9.9540000000000006</v>
      </c>
      <c r="O221" s="33"/>
      <c r="P221" s="33">
        <f>SUM(P208:P220)</f>
        <v>559.16797046557383</v>
      </c>
      <c r="Q221" s="33"/>
      <c r="R221" s="33">
        <f>SUM(R208:R220)</f>
        <v>66.822000000000003</v>
      </c>
      <c r="S221" s="33">
        <f>SUM(S208:S220)</f>
        <v>625.98997046557383</v>
      </c>
      <c r="T221" s="97"/>
      <c r="U221" s="98"/>
      <c r="V221" s="99"/>
    </row>
    <row r="222" spans="1:22" x14ac:dyDescent="0.2">
      <c r="A222" s="186" t="s">
        <v>199</v>
      </c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8"/>
      <c r="T222" s="97"/>
      <c r="U222" s="98"/>
      <c r="V222" s="99"/>
    </row>
    <row r="223" spans="1:22" x14ac:dyDescent="0.2">
      <c r="A223" s="34">
        <v>1</v>
      </c>
      <c r="B223" s="13">
        <v>720</v>
      </c>
      <c r="C223" s="13">
        <v>580</v>
      </c>
      <c r="D223" s="14" t="s">
        <v>63</v>
      </c>
      <c r="E223" s="14" t="s">
        <v>64</v>
      </c>
      <c r="F223" s="15">
        <v>0</v>
      </c>
      <c r="G223" s="15">
        <v>1</v>
      </c>
      <c r="H223" s="15">
        <v>1</v>
      </c>
      <c r="I223" s="15">
        <v>1</v>
      </c>
      <c r="J223" s="15">
        <v>1</v>
      </c>
      <c r="K223" s="16" t="s">
        <v>18</v>
      </c>
      <c r="L223" s="46" t="s">
        <v>190</v>
      </c>
      <c r="M223" s="17">
        <f t="shared" ref="M223:M235" si="136">IF(AND(ISNUMBER(B223),ISNUMBER(C223),B223&gt;0,C223&gt;0),A223*(B223*C223/1000000),0)</f>
        <v>0.41760000000000003</v>
      </c>
      <c r="N223" s="18">
        <f t="shared" ref="N223:N235" si="137">IF(AND(ISNUMBER(B223),B223&gt;0),A223*(((G223+H223)*B223+(I223+J223)*C223)/1000),0)</f>
        <v>2.6</v>
      </c>
      <c r="O223" s="19">
        <f>IF(E223="HERRAJE",IFERROR(_xlfn.XLOOKUP(D223,'⚙️ Configuración Costos'!$A$11:$A$20,'⚙️ Configuración Costos'!$B$11:$B$20),""),IFERROR(_xlfn.XLOOKUP(E223,'⚙️ Configuración Costos'!$A$5:$A$6,'⚙️ Configuración Costos'!$B$5:$B$6),""))</f>
        <v>239.8426229508197</v>
      </c>
      <c r="P223" s="19">
        <f t="shared" ref="P223:P235" si="138">IF(E223="HERRAJE",A223*O223,M223*O223)</f>
        <v>100.15827934426231</v>
      </c>
      <c r="Q223" s="19">
        <f>IF(E223="HERRAJE",0,IFERROR(_xlfn.XLOOKUP(E223,'⚙️ Configuración Costos'!$E$5:$E$6,'⚙️ Configuración Costos'!$F$5:$F$6),""))</f>
        <v>6</v>
      </c>
      <c r="R223" s="19">
        <f t="shared" ref="R223:R235" si="139">N223*Q223</f>
        <v>15.600000000000001</v>
      </c>
      <c r="S223" s="37">
        <f t="shared" ref="S223:S235" si="140">P223+R223</f>
        <v>115.75827934426232</v>
      </c>
      <c r="T223" s="94" t="str">
        <f t="shared" ref="T223:T235" si="141">IF(K223="","SIN ID MÓDULO",IF(E223="HERRAJE",IF(OR(O223="",O223&lt;=0),"SIN PRECIO HERRAJE","OK"),IF(OR(O223="",O223&lt;=0),"SIN PRECIO MATERIAL",IF(AND(N223&gt;0,OR(Q223="",Q223&lt;=0)),"SIN PRECIO CINTILLA","OK"))))</f>
        <v>OK</v>
      </c>
      <c r="U223" s="95" t="str">
        <f t="shared" ref="U223:U235" si="142">IF(T223="OK","",IF(T223="SIN PRECIO HERRAJE","Capturar precio: "&amp;D223,IF(T223="SIN PRECIO MATERIAL","Configurar material: "&amp;E223,IF(T223="SIN PRECIO CINTILLA","Configurar cintilla: "&amp;E223,IF(T223="SIN ID MÓDULO","Revisar ID del módulo","")))))</f>
        <v/>
      </c>
      <c r="V223" s="96">
        <f t="shared" ref="V223:V235" si="143">IF(T223="OK",0,IF(T223="",0,1))</f>
        <v>0</v>
      </c>
    </row>
    <row r="224" spans="1:22" x14ac:dyDescent="0.2">
      <c r="A224" s="35">
        <v>1</v>
      </c>
      <c r="B224" s="6">
        <v>720</v>
      </c>
      <c r="C224" s="6">
        <v>580</v>
      </c>
      <c r="D224" s="7" t="s">
        <v>66</v>
      </c>
      <c r="E224" s="7" t="s">
        <v>64</v>
      </c>
      <c r="F224" s="8">
        <v>0</v>
      </c>
      <c r="G224" s="8">
        <v>1</v>
      </c>
      <c r="H224" s="8">
        <v>1</v>
      </c>
      <c r="I224" s="8">
        <v>1</v>
      </c>
      <c r="J224" s="8">
        <v>1</v>
      </c>
      <c r="K224" s="16" t="s">
        <v>18</v>
      </c>
      <c r="L224" s="47" t="s">
        <v>191</v>
      </c>
      <c r="M224" s="10">
        <f t="shared" si="136"/>
        <v>0.41760000000000003</v>
      </c>
      <c r="N224" s="11">
        <f t="shared" si="137"/>
        <v>2.6</v>
      </c>
      <c r="O224" s="12">
        <f>IF(E224="HERRAJE",IFERROR(_xlfn.XLOOKUP(D224,'⚙️ Configuración Costos'!$A$11:$A$20,'⚙️ Configuración Costos'!$B$11:$B$20),""),IFERROR(_xlfn.XLOOKUP(E224,'⚙️ Configuración Costos'!$A$5:$A$6,'⚙️ Configuración Costos'!$B$5:$B$6),""))</f>
        <v>239.8426229508197</v>
      </c>
      <c r="P224" s="12">
        <f t="shared" si="138"/>
        <v>100.15827934426231</v>
      </c>
      <c r="Q224" s="12">
        <f>IF(E224="HERRAJE",0,IFERROR(_xlfn.XLOOKUP(E224,'⚙️ Configuración Costos'!$E$5:$E$6,'⚙️ Configuración Costos'!$F$5:$F$6),""))</f>
        <v>6</v>
      </c>
      <c r="R224" s="12">
        <f t="shared" si="139"/>
        <v>15.600000000000001</v>
      </c>
      <c r="S224" s="38">
        <f t="shared" si="140"/>
        <v>115.75827934426232</v>
      </c>
      <c r="T224" s="94" t="str">
        <f t="shared" si="141"/>
        <v>OK</v>
      </c>
      <c r="U224" s="95" t="str">
        <f t="shared" si="142"/>
        <v/>
      </c>
      <c r="V224" s="96">
        <f t="shared" si="143"/>
        <v>0</v>
      </c>
    </row>
    <row r="225" spans="1:22" x14ac:dyDescent="0.2">
      <c r="A225" s="35">
        <v>1</v>
      </c>
      <c r="B225" s="6">
        <v>689</v>
      </c>
      <c r="C225" s="6">
        <v>369</v>
      </c>
      <c r="D225" s="7" t="s">
        <v>169</v>
      </c>
      <c r="E225" s="7" t="s">
        <v>64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16" t="s">
        <v>18</v>
      </c>
      <c r="L225" s="47" t="s">
        <v>200</v>
      </c>
      <c r="M225" s="10">
        <f t="shared" si="136"/>
        <v>0.25424099999999999</v>
      </c>
      <c r="N225" s="11">
        <f t="shared" si="137"/>
        <v>0</v>
      </c>
      <c r="O225" s="12">
        <f>IF(E225="HERRAJE",IFERROR(_xlfn.XLOOKUP(D225,'⚙️ Configuración Costos'!$A$11:$A$20,'⚙️ Configuración Costos'!$B$11:$B$20),""),IFERROR(_xlfn.XLOOKUP(E225,'⚙️ Configuración Costos'!$A$5:$A$6,'⚙️ Configuración Costos'!$B$5:$B$6),""))</f>
        <v>239.8426229508197</v>
      </c>
      <c r="P225" s="12">
        <f t="shared" si="138"/>
        <v>60.977828301639349</v>
      </c>
      <c r="Q225" s="12">
        <f>IF(E225="HERRAJE",0,IFERROR(_xlfn.XLOOKUP(E225,'⚙️ Configuración Costos'!$E$5:$E$6,'⚙️ Configuración Costos'!$F$5:$F$6),""))</f>
        <v>6</v>
      </c>
      <c r="R225" s="12">
        <f t="shared" si="139"/>
        <v>0</v>
      </c>
      <c r="S225" s="38">
        <f t="shared" si="140"/>
        <v>60.977828301639349</v>
      </c>
      <c r="T225" s="94" t="str">
        <f t="shared" si="141"/>
        <v>OK</v>
      </c>
      <c r="U225" s="95" t="str">
        <f t="shared" si="142"/>
        <v/>
      </c>
      <c r="V225" s="96">
        <f t="shared" si="143"/>
        <v>0</v>
      </c>
    </row>
    <row r="226" spans="1:22" x14ac:dyDescent="0.2">
      <c r="A226" s="35">
        <v>1</v>
      </c>
      <c r="B226" s="6">
        <v>369</v>
      </c>
      <c r="C226" s="6">
        <v>580</v>
      </c>
      <c r="D226" s="7" t="s">
        <v>171</v>
      </c>
      <c r="E226" s="7" t="s">
        <v>64</v>
      </c>
      <c r="F226" s="8">
        <v>0</v>
      </c>
      <c r="G226" s="8">
        <v>0</v>
      </c>
      <c r="H226" s="8">
        <v>0</v>
      </c>
      <c r="I226" s="8">
        <v>1</v>
      </c>
      <c r="J226" s="8">
        <v>1</v>
      </c>
      <c r="K226" s="16" t="s">
        <v>18</v>
      </c>
      <c r="L226" s="47" t="s">
        <v>201</v>
      </c>
      <c r="M226" s="10">
        <f t="shared" si="136"/>
        <v>0.21401999999999999</v>
      </c>
      <c r="N226" s="11">
        <f t="shared" si="137"/>
        <v>1.1599999999999999</v>
      </c>
      <c r="O226" s="12">
        <f>IF(E226="HERRAJE",IFERROR(_xlfn.XLOOKUP(D226,'⚙️ Configuración Costos'!$A$11:$A$20,'⚙️ Configuración Costos'!$B$11:$B$20),""),IFERROR(_xlfn.XLOOKUP(E226,'⚙️ Configuración Costos'!$A$5:$A$6,'⚙️ Configuración Costos'!$B$5:$B$6),""))</f>
        <v>239.8426229508197</v>
      </c>
      <c r="P226" s="12">
        <f t="shared" si="138"/>
        <v>51.331118163934427</v>
      </c>
      <c r="Q226" s="12">
        <f>IF(E226="HERRAJE",0,IFERROR(_xlfn.XLOOKUP(E226,'⚙️ Configuración Costos'!$E$5:$E$6,'⚙️ Configuración Costos'!$F$5:$F$6),""))</f>
        <v>6</v>
      </c>
      <c r="R226" s="12">
        <f t="shared" si="139"/>
        <v>6.9599999999999991</v>
      </c>
      <c r="S226" s="38">
        <f t="shared" si="140"/>
        <v>58.291118163934428</v>
      </c>
      <c r="T226" s="94" t="str">
        <f t="shared" si="141"/>
        <v>OK</v>
      </c>
      <c r="U226" s="95" t="str">
        <f t="shared" si="142"/>
        <v/>
      </c>
      <c r="V226" s="96">
        <f t="shared" si="143"/>
        <v>0</v>
      </c>
    </row>
    <row r="227" spans="1:22" x14ac:dyDescent="0.2">
      <c r="A227" s="35">
        <v>1</v>
      </c>
      <c r="B227" s="6">
        <v>369</v>
      </c>
      <c r="C227" s="6">
        <v>120</v>
      </c>
      <c r="D227" s="7" t="s">
        <v>194</v>
      </c>
      <c r="E227" s="7" t="s">
        <v>64</v>
      </c>
      <c r="F227" s="8">
        <v>0</v>
      </c>
      <c r="G227" s="8">
        <v>1</v>
      </c>
      <c r="H227" s="8">
        <v>1</v>
      </c>
      <c r="I227" s="8">
        <v>0</v>
      </c>
      <c r="J227" s="8">
        <v>0</v>
      </c>
      <c r="K227" s="16" t="s">
        <v>18</v>
      </c>
      <c r="L227" s="47" t="s">
        <v>202</v>
      </c>
      <c r="M227" s="10">
        <f t="shared" si="136"/>
        <v>4.428E-2</v>
      </c>
      <c r="N227" s="11">
        <f t="shared" si="137"/>
        <v>0.73799999999999999</v>
      </c>
      <c r="O227" s="12">
        <f>IF(E227="HERRAJE",IFERROR(_xlfn.XLOOKUP(D227,'⚙️ Configuración Costos'!$A$11:$A$20,'⚙️ Configuración Costos'!$B$11:$B$20),""),IFERROR(_xlfn.XLOOKUP(E227,'⚙️ Configuración Costos'!$A$5:$A$6,'⚙️ Configuración Costos'!$B$5:$B$6),""))</f>
        <v>239.8426229508197</v>
      </c>
      <c r="P227" s="12">
        <f t="shared" si="138"/>
        <v>10.620231344262296</v>
      </c>
      <c r="Q227" s="12">
        <f>IF(E227="HERRAJE",0,IFERROR(_xlfn.XLOOKUP(E227,'⚙️ Configuración Costos'!$E$5:$E$6,'⚙️ Configuración Costos'!$F$5:$F$6),""))</f>
        <v>6</v>
      </c>
      <c r="R227" s="12">
        <f t="shared" si="139"/>
        <v>4.4279999999999999</v>
      </c>
      <c r="S227" s="38">
        <f t="shared" si="140"/>
        <v>15.048231344262295</v>
      </c>
      <c r="T227" s="94" t="str">
        <f t="shared" si="141"/>
        <v>OK</v>
      </c>
      <c r="U227" s="95" t="str">
        <f t="shared" si="142"/>
        <v/>
      </c>
      <c r="V227" s="96">
        <f t="shared" si="143"/>
        <v>0</v>
      </c>
    </row>
    <row r="228" spans="1:22" x14ac:dyDescent="0.2">
      <c r="A228" s="35">
        <v>1</v>
      </c>
      <c r="B228" s="6">
        <v>369</v>
      </c>
      <c r="C228" s="6">
        <v>120</v>
      </c>
      <c r="D228" s="7" t="s">
        <v>194</v>
      </c>
      <c r="E228" s="7" t="s">
        <v>64</v>
      </c>
      <c r="F228" s="8">
        <v>0</v>
      </c>
      <c r="G228" s="8">
        <v>1</v>
      </c>
      <c r="H228" s="8">
        <v>1</v>
      </c>
      <c r="I228" s="8">
        <v>0</v>
      </c>
      <c r="J228" s="8">
        <v>0</v>
      </c>
      <c r="K228" s="16" t="s">
        <v>18</v>
      </c>
      <c r="L228" s="47" t="s">
        <v>202</v>
      </c>
      <c r="M228" s="10">
        <f t="shared" si="136"/>
        <v>4.428E-2</v>
      </c>
      <c r="N228" s="11">
        <f t="shared" si="137"/>
        <v>0.73799999999999999</v>
      </c>
      <c r="O228" s="12">
        <f>IF(E228="HERRAJE",IFERROR(_xlfn.XLOOKUP(D228,'⚙️ Configuración Costos'!$A$11:$A$20,'⚙️ Configuración Costos'!$B$11:$B$20),""),IFERROR(_xlfn.XLOOKUP(E228,'⚙️ Configuración Costos'!$A$5:$A$6,'⚙️ Configuración Costos'!$B$5:$B$6),""))</f>
        <v>239.8426229508197</v>
      </c>
      <c r="P228" s="12">
        <f t="shared" si="138"/>
        <v>10.620231344262296</v>
      </c>
      <c r="Q228" s="12">
        <f>IF(E228="HERRAJE",0,IFERROR(_xlfn.XLOOKUP(E228,'⚙️ Configuración Costos'!$E$5:$E$6,'⚙️ Configuración Costos'!$F$5:$F$6),""))</f>
        <v>6</v>
      </c>
      <c r="R228" s="12">
        <f t="shared" si="139"/>
        <v>4.4279999999999999</v>
      </c>
      <c r="S228" s="38">
        <f t="shared" si="140"/>
        <v>15.048231344262295</v>
      </c>
      <c r="T228" s="94" t="str">
        <f t="shared" si="141"/>
        <v>OK</v>
      </c>
      <c r="U228" s="95" t="str">
        <f t="shared" si="142"/>
        <v/>
      </c>
      <c r="V228" s="96">
        <f t="shared" si="143"/>
        <v>0</v>
      </c>
    </row>
    <row r="229" spans="1:22" x14ac:dyDescent="0.2">
      <c r="A229" s="35">
        <v>1</v>
      </c>
      <c r="B229" s="6">
        <v>369</v>
      </c>
      <c r="C229" s="6">
        <v>490</v>
      </c>
      <c r="D229" s="7" t="s">
        <v>179</v>
      </c>
      <c r="E229" s="7" t="s">
        <v>64</v>
      </c>
      <c r="F229" s="8">
        <v>0</v>
      </c>
      <c r="G229" s="8">
        <v>0</v>
      </c>
      <c r="H229" s="8">
        <v>0</v>
      </c>
      <c r="I229" s="8">
        <v>0</v>
      </c>
      <c r="J229" s="8">
        <v>1</v>
      </c>
      <c r="K229" s="16" t="s">
        <v>18</v>
      </c>
      <c r="L229" s="47" t="s">
        <v>203</v>
      </c>
      <c r="M229" s="10">
        <f t="shared" si="136"/>
        <v>0.18081</v>
      </c>
      <c r="N229" s="11">
        <f t="shared" si="137"/>
        <v>0.49</v>
      </c>
      <c r="O229" s="12">
        <f>IF(E229="HERRAJE",IFERROR(_xlfn.XLOOKUP(D229,'⚙️ Configuración Costos'!$A$11:$A$20,'⚙️ Configuración Costos'!$B$11:$B$20),""),IFERROR(_xlfn.XLOOKUP(E229,'⚙️ Configuración Costos'!$A$5:$A$6,'⚙️ Configuración Costos'!$B$5:$B$6),""))</f>
        <v>239.8426229508197</v>
      </c>
      <c r="P229" s="12">
        <f t="shared" si="138"/>
        <v>43.365944655737707</v>
      </c>
      <c r="Q229" s="12">
        <f>IF(E229="HERRAJE",0,IFERROR(_xlfn.XLOOKUP(E229,'⚙️ Configuración Costos'!$E$5:$E$6,'⚙️ Configuración Costos'!$F$5:$F$6),""))</f>
        <v>6</v>
      </c>
      <c r="R229" s="12">
        <f t="shared" si="139"/>
        <v>2.94</v>
      </c>
      <c r="S229" s="38">
        <f t="shared" si="140"/>
        <v>46.305944655737704</v>
      </c>
      <c r="T229" s="94" t="str">
        <f t="shared" si="141"/>
        <v>OK</v>
      </c>
      <c r="U229" s="95" t="str">
        <f t="shared" si="142"/>
        <v/>
      </c>
      <c r="V229" s="96">
        <f t="shared" si="143"/>
        <v>0</v>
      </c>
    </row>
    <row r="230" spans="1:22" x14ac:dyDescent="0.2">
      <c r="A230" s="35">
        <v>1</v>
      </c>
      <c r="B230" s="6">
        <v>717</v>
      </c>
      <c r="C230" s="6">
        <v>397</v>
      </c>
      <c r="D230" s="7" t="s">
        <v>197</v>
      </c>
      <c r="E230" s="7" t="s">
        <v>85</v>
      </c>
      <c r="F230" s="8">
        <v>1</v>
      </c>
      <c r="G230" s="8">
        <v>1</v>
      </c>
      <c r="H230" s="8">
        <v>1</v>
      </c>
      <c r="I230" s="8">
        <v>1</v>
      </c>
      <c r="J230" s="8">
        <v>1</v>
      </c>
      <c r="K230" s="16" t="s">
        <v>18</v>
      </c>
      <c r="L230" s="47" t="s">
        <v>204</v>
      </c>
      <c r="M230" s="10">
        <f t="shared" si="136"/>
        <v>0.28464899999999999</v>
      </c>
      <c r="N230" s="11">
        <f t="shared" si="137"/>
        <v>2.2280000000000002</v>
      </c>
      <c r="O230" s="12">
        <f>IF(E230="HERRAJE",IFERROR(_xlfn.XLOOKUP(D230,'⚙️ Configuración Costos'!$A$11:$A$20,'⚙️ Configuración Costos'!$B$11:$B$20),""),IFERROR(_xlfn.XLOOKUP(E230,'⚙️ Configuración Costos'!$A$5:$A$6,'⚙️ Configuración Costos'!$B$5:$B$6),""))</f>
        <v>332.85245901639348</v>
      </c>
      <c r="P230" s="12">
        <f t="shared" si="138"/>
        <v>94.746119606557386</v>
      </c>
      <c r="Q230" s="12">
        <f>IF(E230="HERRAJE",0,IFERROR(_xlfn.XLOOKUP(E230,'⚙️ Configuración Costos'!$E$5:$E$6,'⚙️ Configuración Costos'!$F$5:$F$6),""))</f>
        <v>9.5</v>
      </c>
      <c r="R230" s="12">
        <f t="shared" si="139"/>
        <v>21.166</v>
      </c>
      <c r="S230" s="38">
        <f t="shared" si="140"/>
        <v>115.91211960655738</v>
      </c>
      <c r="T230" s="94" t="str">
        <f t="shared" si="141"/>
        <v>OK</v>
      </c>
      <c r="U230" s="95" t="str">
        <f t="shared" si="142"/>
        <v/>
      </c>
      <c r="V230" s="96">
        <f t="shared" si="143"/>
        <v>0</v>
      </c>
    </row>
    <row r="231" spans="1:22" x14ac:dyDescent="0.2">
      <c r="A231" s="35">
        <v>2</v>
      </c>
      <c r="B231" s="6">
        <v>0</v>
      </c>
      <c r="C231" s="6">
        <v>0</v>
      </c>
      <c r="D231" s="7" t="s">
        <v>90</v>
      </c>
      <c r="E231" s="7" t="s">
        <v>91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16" t="s">
        <v>18</v>
      </c>
      <c r="L231" s="47" t="s">
        <v>92</v>
      </c>
      <c r="M231" s="10">
        <f t="shared" si="136"/>
        <v>0</v>
      </c>
      <c r="N231" s="11">
        <f t="shared" si="137"/>
        <v>0</v>
      </c>
      <c r="O231" s="12">
        <f>IF(E231="HERRAJE",IFERROR(_xlfn.XLOOKUP(D231,'⚙️ Configuración Costos'!$A$11:$A$20,'⚙️ Configuración Costos'!$B$11:$B$20),""),IFERROR(_xlfn.XLOOKUP(E231,'⚙️ Configuración Costos'!$A$5:$A$6,'⚙️ Configuración Costos'!$B$5:$B$6),""))</f>
        <v>20</v>
      </c>
      <c r="P231" s="12">
        <f t="shared" si="138"/>
        <v>40</v>
      </c>
      <c r="Q231" s="12">
        <f>IF(E231="HERRAJE",0,IFERROR(_xlfn.XLOOKUP(E231,'⚙️ Configuración Costos'!$E$5:$E$6,'⚙️ Configuración Costos'!$F$5:$F$6),""))</f>
        <v>0</v>
      </c>
      <c r="R231" s="12">
        <f t="shared" si="139"/>
        <v>0</v>
      </c>
      <c r="S231" s="38">
        <f t="shared" si="140"/>
        <v>40</v>
      </c>
      <c r="T231" s="94" t="str">
        <f t="shared" si="141"/>
        <v>OK</v>
      </c>
      <c r="U231" s="95" t="str">
        <f t="shared" si="142"/>
        <v/>
      </c>
      <c r="V231" s="96">
        <f t="shared" si="143"/>
        <v>0</v>
      </c>
    </row>
    <row r="232" spans="1:22" x14ac:dyDescent="0.2">
      <c r="A232" s="35">
        <v>1</v>
      </c>
      <c r="B232" s="6">
        <v>0</v>
      </c>
      <c r="C232" s="6">
        <v>0</v>
      </c>
      <c r="D232" s="7" t="s">
        <v>93</v>
      </c>
      <c r="E232" s="7" t="s">
        <v>91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16" t="s">
        <v>18</v>
      </c>
      <c r="L232" s="47" t="s">
        <v>94</v>
      </c>
      <c r="M232" s="10">
        <f t="shared" si="136"/>
        <v>0</v>
      </c>
      <c r="N232" s="11">
        <f t="shared" si="137"/>
        <v>0</v>
      </c>
      <c r="O232" s="12">
        <f>IF(E232="HERRAJE",IFERROR(_xlfn.XLOOKUP(D232,'⚙️ Configuración Costos'!$A$11:$A$20,'⚙️ Configuración Costos'!$B$11:$B$20),""),IFERROR(_xlfn.XLOOKUP(E232,'⚙️ Configuración Costos'!$A$5:$A$6,'⚙️ Configuración Costos'!$B$5:$B$6),""))</f>
        <v>15</v>
      </c>
      <c r="P232" s="12">
        <f t="shared" si="138"/>
        <v>15</v>
      </c>
      <c r="Q232" s="12">
        <f>IF(E232="HERRAJE",0,IFERROR(_xlfn.XLOOKUP(E232,'⚙️ Configuración Costos'!$E$5:$E$6,'⚙️ Configuración Costos'!$F$5:$F$6),""))</f>
        <v>0</v>
      </c>
      <c r="R232" s="12">
        <f t="shared" si="139"/>
        <v>0</v>
      </c>
      <c r="S232" s="38">
        <f t="shared" si="140"/>
        <v>15</v>
      </c>
      <c r="T232" s="94" t="str">
        <f t="shared" si="141"/>
        <v>OK</v>
      </c>
      <c r="U232" s="95" t="str">
        <f t="shared" si="142"/>
        <v/>
      </c>
      <c r="V232" s="96">
        <f t="shared" si="143"/>
        <v>0</v>
      </c>
    </row>
    <row r="233" spans="1:22" x14ac:dyDescent="0.2">
      <c r="A233" s="35">
        <v>4</v>
      </c>
      <c r="B233" s="6">
        <v>0</v>
      </c>
      <c r="C233" s="6">
        <v>0</v>
      </c>
      <c r="D233" s="7" t="s">
        <v>186</v>
      </c>
      <c r="E233" s="7" t="s">
        <v>91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6" t="s">
        <v>18</v>
      </c>
      <c r="L233" s="47" t="s">
        <v>187</v>
      </c>
      <c r="M233" s="10">
        <f t="shared" si="136"/>
        <v>0</v>
      </c>
      <c r="N233" s="11">
        <f t="shared" si="137"/>
        <v>0</v>
      </c>
      <c r="O233" s="12">
        <f>IF(E233="HERRAJE",IFERROR(_xlfn.XLOOKUP(D233,'⚙️ Configuración Costos'!$A$11:$A$20,'⚙️ Configuración Costos'!$B$11:$B$20),""),IFERROR(_xlfn.XLOOKUP(E233,'⚙️ Configuración Costos'!$A$5:$A$6,'⚙️ Configuración Costos'!$B$5:$B$6),""))</f>
        <v>15</v>
      </c>
      <c r="P233" s="12">
        <f t="shared" si="138"/>
        <v>60</v>
      </c>
      <c r="Q233" s="12">
        <f>IF(E233="HERRAJE",0,IFERROR(_xlfn.XLOOKUP(E233,'⚙️ Configuración Costos'!$E$5:$E$6,'⚙️ Configuración Costos'!$F$5:$F$6),""))</f>
        <v>0</v>
      </c>
      <c r="R233" s="12">
        <f t="shared" si="139"/>
        <v>0</v>
      </c>
      <c r="S233" s="38">
        <f t="shared" si="140"/>
        <v>60</v>
      </c>
      <c r="T233" s="94" t="str">
        <f t="shared" si="141"/>
        <v>OK</v>
      </c>
      <c r="U233" s="95" t="str">
        <f t="shared" si="142"/>
        <v/>
      </c>
      <c r="V233" s="96">
        <f t="shared" si="143"/>
        <v>0</v>
      </c>
    </row>
    <row r="234" spans="1:22" x14ac:dyDescent="0.2">
      <c r="A234" s="35">
        <v>4</v>
      </c>
      <c r="B234" s="6">
        <v>0</v>
      </c>
      <c r="C234" s="6">
        <v>0</v>
      </c>
      <c r="D234" s="7" t="s">
        <v>95</v>
      </c>
      <c r="E234" s="7" t="s">
        <v>91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16" t="s">
        <v>18</v>
      </c>
      <c r="L234" s="47" t="s">
        <v>96</v>
      </c>
      <c r="M234" s="10">
        <f t="shared" si="136"/>
        <v>0</v>
      </c>
      <c r="N234" s="11">
        <f t="shared" si="137"/>
        <v>0</v>
      </c>
      <c r="O234" s="12">
        <f>IF(E234="HERRAJE",IFERROR(_xlfn.XLOOKUP(D234,'⚙️ Configuración Costos'!$A$11:$A$20,'⚙️ Configuración Costos'!$B$11:$B$20),""),IFERROR(_xlfn.XLOOKUP(E234,'⚙️ Configuración Costos'!$A$5:$A$6,'⚙️ Configuración Costos'!$B$5:$B$6),""))</f>
        <v>2</v>
      </c>
      <c r="P234" s="12">
        <f t="shared" si="138"/>
        <v>8</v>
      </c>
      <c r="Q234" s="12">
        <f>IF(E234="HERRAJE",0,IFERROR(_xlfn.XLOOKUP(E234,'⚙️ Configuración Costos'!$E$5:$E$6,'⚙️ Configuración Costos'!$F$5:$F$6),""))</f>
        <v>0</v>
      </c>
      <c r="R234" s="12">
        <f t="shared" si="139"/>
        <v>0</v>
      </c>
      <c r="S234" s="38">
        <f t="shared" si="140"/>
        <v>8</v>
      </c>
      <c r="T234" s="94" t="str">
        <f t="shared" si="141"/>
        <v>OK</v>
      </c>
      <c r="U234" s="95" t="str">
        <f t="shared" si="142"/>
        <v/>
      </c>
      <c r="V234" s="96">
        <f t="shared" si="143"/>
        <v>0</v>
      </c>
    </row>
    <row r="235" spans="1:22" ht="16" thickBot="1" x14ac:dyDescent="0.25">
      <c r="A235" s="36">
        <v>24</v>
      </c>
      <c r="B235" s="20">
        <v>0</v>
      </c>
      <c r="C235" s="20">
        <v>0</v>
      </c>
      <c r="D235" s="21" t="s">
        <v>97</v>
      </c>
      <c r="E235" s="21" t="s">
        <v>91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16" t="s">
        <v>18</v>
      </c>
      <c r="L235" s="48" t="s">
        <v>98</v>
      </c>
      <c r="M235" s="24">
        <f t="shared" si="136"/>
        <v>0</v>
      </c>
      <c r="N235" s="25">
        <f t="shared" si="137"/>
        <v>0</v>
      </c>
      <c r="O235" s="26">
        <f>IF(E235="HERRAJE",IFERROR(_xlfn.XLOOKUP(D235,'⚙️ Configuración Costos'!$A$11:$A$20,'⚙️ Configuración Costos'!$B$11:$B$20),""),IFERROR(_xlfn.XLOOKUP(E235,'⚙️ Configuración Costos'!$A$5:$A$6,'⚙️ Configuración Costos'!$B$5:$B$6),""))</f>
        <v>1.5</v>
      </c>
      <c r="P235" s="26">
        <f t="shared" si="138"/>
        <v>36</v>
      </c>
      <c r="Q235" s="26">
        <f>IF(E235="HERRAJE",0,IFERROR(_xlfn.XLOOKUP(E235,'⚙️ Configuración Costos'!$E$5:$E$6,'⚙️ Configuración Costos'!$F$5:$F$6),""))</f>
        <v>0</v>
      </c>
      <c r="R235" s="26">
        <f t="shared" si="139"/>
        <v>0</v>
      </c>
      <c r="S235" s="39">
        <f t="shared" si="140"/>
        <v>36</v>
      </c>
      <c r="T235" s="94" t="str">
        <f t="shared" si="141"/>
        <v>OK</v>
      </c>
      <c r="U235" s="95" t="str">
        <f t="shared" si="142"/>
        <v/>
      </c>
      <c r="V235" s="96">
        <f t="shared" si="143"/>
        <v>0</v>
      </c>
    </row>
    <row r="236" spans="1:22" ht="16" thickTop="1" x14ac:dyDescent="0.2">
      <c r="A236" s="27" t="s">
        <v>99</v>
      </c>
      <c r="B236" s="27"/>
      <c r="C236" s="27"/>
      <c r="D236" s="28"/>
      <c r="E236" s="28"/>
      <c r="F236" s="29"/>
      <c r="G236" s="29"/>
      <c r="H236" s="29"/>
      <c r="I236" s="29"/>
      <c r="J236" s="29"/>
      <c r="K236" s="30"/>
      <c r="L236" s="49" t="s">
        <v>188</v>
      </c>
      <c r="M236" s="31">
        <f>SUM(M223:M235)</f>
        <v>1.85748</v>
      </c>
      <c r="N236" s="32">
        <f>SUM(N223:N235)</f>
        <v>10.554</v>
      </c>
      <c r="O236" s="33"/>
      <c r="P236" s="33">
        <f>SUM(P223:P235)</f>
        <v>630.97803210491816</v>
      </c>
      <c r="Q236" s="33"/>
      <c r="R236" s="33">
        <f>SUM(R223:R235)</f>
        <v>71.122</v>
      </c>
      <c r="S236" s="33">
        <f>SUM(S223:S235)</f>
        <v>702.10003210491823</v>
      </c>
      <c r="T236" s="97"/>
      <c r="U236" s="98"/>
      <c r="V236" s="99"/>
    </row>
    <row r="237" spans="1:22" x14ac:dyDescent="0.2">
      <c r="A237" s="186" t="s">
        <v>205</v>
      </c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8"/>
      <c r="T237" s="97"/>
      <c r="U237" s="98"/>
      <c r="V237" s="99"/>
    </row>
    <row r="238" spans="1:22" x14ac:dyDescent="0.2">
      <c r="A238" s="34">
        <v>1</v>
      </c>
      <c r="B238" s="13">
        <v>720</v>
      </c>
      <c r="C238" s="13">
        <v>580</v>
      </c>
      <c r="D238" s="14" t="s">
        <v>63</v>
      </c>
      <c r="E238" s="14" t="s">
        <v>64</v>
      </c>
      <c r="F238" s="15">
        <v>0</v>
      </c>
      <c r="G238" s="15">
        <v>1</v>
      </c>
      <c r="H238" s="15">
        <v>1</v>
      </c>
      <c r="I238" s="15">
        <v>1</v>
      </c>
      <c r="J238" s="15">
        <v>1</v>
      </c>
      <c r="K238" s="16" t="s">
        <v>19</v>
      </c>
      <c r="L238" s="46" t="s">
        <v>190</v>
      </c>
      <c r="M238" s="17">
        <f t="shared" ref="M238:M250" si="144">IF(AND(ISNUMBER(B238),ISNUMBER(C238),B238&gt;0,C238&gt;0),A238*(B238*C238/1000000),0)</f>
        <v>0.41760000000000003</v>
      </c>
      <c r="N238" s="18">
        <f t="shared" ref="N238:N250" si="145">IF(AND(ISNUMBER(B238),B238&gt;0),A238*(((G238+H238)*B238+(I238+J238)*C238)/1000),0)</f>
        <v>2.6</v>
      </c>
      <c r="O238" s="19">
        <f>IF(E238="HERRAJE",IFERROR(_xlfn.XLOOKUP(D238,'⚙️ Configuración Costos'!$A$11:$A$20,'⚙️ Configuración Costos'!$B$11:$B$20),""),IFERROR(_xlfn.XLOOKUP(E238,'⚙️ Configuración Costos'!$A$5:$A$6,'⚙️ Configuración Costos'!$B$5:$B$6),""))</f>
        <v>239.8426229508197</v>
      </c>
      <c r="P238" s="19">
        <f t="shared" ref="P238:P250" si="146">IF(E238="HERRAJE",A238*O238,M238*O238)</f>
        <v>100.15827934426231</v>
      </c>
      <c r="Q238" s="19">
        <f>IF(E238="HERRAJE",0,IFERROR(_xlfn.XLOOKUP(E238,'⚙️ Configuración Costos'!$E$5:$E$6,'⚙️ Configuración Costos'!$F$5:$F$6),""))</f>
        <v>6</v>
      </c>
      <c r="R238" s="19">
        <f t="shared" ref="R238:R250" si="147">N238*Q238</f>
        <v>15.600000000000001</v>
      </c>
      <c r="S238" s="37">
        <f t="shared" ref="S238:S250" si="148">P238+R238</f>
        <v>115.75827934426232</v>
      </c>
      <c r="T238" s="94" t="str">
        <f t="shared" ref="T238:T250" si="149">IF(K238="","SIN ID MÓDULO",IF(E238="HERRAJE",IF(OR(O238="",O238&lt;=0),"SIN PRECIO HERRAJE","OK"),IF(OR(O238="",O238&lt;=0),"SIN PRECIO MATERIAL",IF(AND(N238&gt;0,OR(Q238="",Q238&lt;=0)),"SIN PRECIO CINTILLA","OK"))))</f>
        <v>OK</v>
      </c>
      <c r="U238" s="95" t="str">
        <f t="shared" ref="U238:U250" si="150">IF(T238="OK","",IF(T238="SIN PRECIO HERRAJE","Capturar precio: "&amp;D238,IF(T238="SIN PRECIO MATERIAL","Configurar material: "&amp;E238,IF(T238="SIN PRECIO CINTILLA","Configurar cintilla: "&amp;E238,IF(T238="SIN ID MÓDULO","Revisar ID del módulo","")))))</f>
        <v/>
      </c>
      <c r="V238" s="96">
        <f t="shared" ref="V238:V250" si="151">IF(T238="OK",0,IF(T238="",0,1))</f>
        <v>0</v>
      </c>
    </row>
    <row r="239" spans="1:22" x14ac:dyDescent="0.2">
      <c r="A239" s="35">
        <v>1</v>
      </c>
      <c r="B239" s="6">
        <v>720</v>
      </c>
      <c r="C239" s="6">
        <v>580</v>
      </c>
      <c r="D239" s="7" t="s">
        <v>66</v>
      </c>
      <c r="E239" s="7" t="s">
        <v>64</v>
      </c>
      <c r="F239" s="8">
        <v>0</v>
      </c>
      <c r="G239" s="8">
        <v>1</v>
      </c>
      <c r="H239" s="8">
        <v>1</v>
      </c>
      <c r="I239" s="8">
        <v>1</v>
      </c>
      <c r="J239" s="8">
        <v>1</v>
      </c>
      <c r="K239" s="16" t="s">
        <v>19</v>
      </c>
      <c r="L239" s="47" t="s">
        <v>191</v>
      </c>
      <c r="M239" s="10">
        <f t="shared" si="144"/>
        <v>0.41760000000000003</v>
      </c>
      <c r="N239" s="11">
        <f t="shared" si="145"/>
        <v>2.6</v>
      </c>
      <c r="O239" s="12">
        <f>IF(E239="HERRAJE",IFERROR(_xlfn.XLOOKUP(D239,'⚙️ Configuración Costos'!$A$11:$A$20,'⚙️ Configuración Costos'!$B$11:$B$20),""),IFERROR(_xlfn.XLOOKUP(E239,'⚙️ Configuración Costos'!$A$5:$A$6,'⚙️ Configuración Costos'!$B$5:$B$6),""))</f>
        <v>239.8426229508197</v>
      </c>
      <c r="P239" s="12">
        <f t="shared" si="146"/>
        <v>100.15827934426231</v>
      </c>
      <c r="Q239" s="12">
        <f>IF(E239="HERRAJE",0,IFERROR(_xlfn.XLOOKUP(E239,'⚙️ Configuración Costos'!$E$5:$E$6,'⚙️ Configuración Costos'!$F$5:$F$6),""))</f>
        <v>6</v>
      </c>
      <c r="R239" s="12">
        <f t="shared" si="147"/>
        <v>15.600000000000001</v>
      </c>
      <c r="S239" s="38">
        <f t="shared" si="148"/>
        <v>115.75827934426232</v>
      </c>
      <c r="T239" s="94" t="str">
        <f t="shared" si="149"/>
        <v>OK</v>
      </c>
      <c r="U239" s="95" t="str">
        <f t="shared" si="150"/>
        <v/>
      </c>
      <c r="V239" s="96">
        <f t="shared" si="151"/>
        <v>0</v>
      </c>
    </row>
    <row r="240" spans="1:22" x14ac:dyDescent="0.2">
      <c r="A240" s="35">
        <v>1</v>
      </c>
      <c r="B240" s="6">
        <v>689</v>
      </c>
      <c r="C240" s="6">
        <v>469</v>
      </c>
      <c r="D240" s="7" t="s">
        <v>169</v>
      </c>
      <c r="E240" s="7" t="s">
        <v>64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6" t="s">
        <v>19</v>
      </c>
      <c r="L240" s="47" t="s">
        <v>206</v>
      </c>
      <c r="M240" s="10">
        <f t="shared" si="144"/>
        <v>0.32314100000000001</v>
      </c>
      <c r="N240" s="11">
        <f t="shared" si="145"/>
        <v>0</v>
      </c>
      <c r="O240" s="12">
        <f>IF(E240="HERRAJE",IFERROR(_xlfn.XLOOKUP(D240,'⚙️ Configuración Costos'!$A$11:$A$20,'⚙️ Configuración Costos'!$B$11:$B$20),""),IFERROR(_xlfn.XLOOKUP(E240,'⚙️ Configuración Costos'!$A$5:$A$6,'⚙️ Configuración Costos'!$B$5:$B$6),""))</f>
        <v>239.8426229508197</v>
      </c>
      <c r="P240" s="12">
        <f t="shared" si="146"/>
        <v>77.502985022950838</v>
      </c>
      <c r="Q240" s="12">
        <f>IF(E240="HERRAJE",0,IFERROR(_xlfn.XLOOKUP(E240,'⚙️ Configuración Costos'!$E$5:$E$6,'⚙️ Configuración Costos'!$F$5:$F$6),""))</f>
        <v>6</v>
      </c>
      <c r="R240" s="12">
        <f t="shared" si="147"/>
        <v>0</v>
      </c>
      <c r="S240" s="38">
        <f t="shared" si="148"/>
        <v>77.502985022950838</v>
      </c>
      <c r="T240" s="94" t="str">
        <f t="shared" si="149"/>
        <v>OK</v>
      </c>
      <c r="U240" s="95" t="str">
        <f t="shared" si="150"/>
        <v/>
      </c>
      <c r="V240" s="96">
        <f t="shared" si="151"/>
        <v>0</v>
      </c>
    </row>
    <row r="241" spans="1:22" x14ac:dyDescent="0.2">
      <c r="A241" s="35">
        <v>1</v>
      </c>
      <c r="B241" s="6">
        <v>469</v>
      </c>
      <c r="C241" s="6">
        <v>580</v>
      </c>
      <c r="D241" s="7" t="s">
        <v>171</v>
      </c>
      <c r="E241" s="7" t="s">
        <v>64</v>
      </c>
      <c r="F241" s="8">
        <v>0</v>
      </c>
      <c r="G241" s="8">
        <v>0</v>
      </c>
      <c r="H241" s="8">
        <v>0</v>
      </c>
      <c r="I241" s="8">
        <v>1</v>
      </c>
      <c r="J241" s="8">
        <v>1</v>
      </c>
      <c r="K241" s="16" t="s">
        <v>19</v>
      </c>
      <c r="L241" s="47" t="s">
        <v>207</v>
      </c>
      <c r="M241" s="10">
        <f t="shared" si="144"/>
        <v>0.27201999999999998</v>
      </c>
      <c r="N241" s="11">
        <f t="shared" si="145"/>
        <v>1.1599999999999999</v>
      </c>
      <c r="O241" s="12">
        <f>IF(E241="HERRAJE",IFERROR(_xlfn.XLOOKUP(D241,'⚙️ Configuración Costos'!$A$11:$A$20,'⚙️ Configuración Costos'!$B$11:$B$20),""),IFERROR(_xlfn.XLOOKUP(E241,'⚙️ Configuración Costos'!$A$5:$A$6,'⚙️ Configuración Costos'!$B$5:$B$6),""))</f>
        <v>239.8426229508197</v>
      </c>
      <c r="P241" s="12">
        <f t="shared" si="146"/>
        <v>65.241990295081976</v>
      </c>
      <c r="Q241" s="12">
        <f>IF(E241="HERRAJE",0,IFERROR(_xlfn.XLOOKUP(E241,'⚙️ Configuración Costos'!$E$5:$E$6,'⚙️ Configuración Costos'!$F$5:$F$6),""))</f>
        <v>6</v>
      </c>
      <c r="R241" s="12">
        <f t="shared" si="147"/>
        <v>6.9599999999999991</v>
      </c>
      <c r="S241" s="38">
        <f t="shared" si="148"/>
        <v>72.20199029508197</v>
      </c>
      <c r="T241" s="94" t="str">
        <f t="shared" si="149"/>
        <v>OK</v>
      </c>
      <c r="U241" s="95" t="str">
        <f t="shared" si="150"/>
        <v/>
      </c>
      <c r="V241" s="96">
        <f t="shared" si="151"/>
        <v>0</v>
      </c>
    </row>
    <row r="242" spans="1:22" x14ac:dyDescent="0.2">
      <c r="A242" s="35">
        <v>1</v>
      </c>
      <c r="B242" s="6">
        <v>469</v>
      </c>
      <c r="C242" s="6">
        <v>120</v>
      </c>
      <c r="D242" s="7" t="s">
        <v>194</v>
      </c>
      <c r="E242" s="7" t="s">
        <v>64</v>
      </c>
      <c r="F242" s="8">
        <v>0</v>
      </c>
      <c r="G242" s="8">
        <v>1</v>
      </c>
      <c r="H242" s="8">
        <v>1</v>
      </c>
      <c r="I242" s="8">
        <v>0</v>
      </c>
      <c r="J242" s="8">
        <v>0</v>
      </c>
      <c r="K242" s="16" t="s">
        <v>19</v>
      </c>
      <c r="L242" s="47" t="s">
        <v>208</v>
      </c>
      <c r="M242" s="10">
        <f t="shared" si="144"/>
        <v>5.6279999999999997E-2</v>
      </c>
      <c r="N242" s="11">
        <f t="shared" si="145"/>
        <v>0.93799999999999994</v>
      </c>
      <c r="O242" s="12">
        <f>IF(E242="HERRAJE",IFERROR(_xlfn.XLOOKUP(D242,'⚙️ Configuración Costos'!$A$11:$A$20,'⚙️ Configuración Costos'!$B$11:$B$20),""),IFERROR(_xlfn.XLOOKUP(E242,'⚙️ Configuración Costos'!$A$5:$A$6,'⚙️ Configuración Costos'!$B$5:$B$6),""))</f>
        <v>239.8426229508197</v>
      </c>
      <c r="P242" s="12">
        <f t="shared" si="146"/>
        <v>13.498342819672132</v>
      </c>
      <c r="Q242" s="12">
        <f>IF(E242="HERRAJE",0,IFERROR(_xlfn.XLOOKUP(E242,'⚙️ Configuración Costos'!$E$5:$E$6,'⚙️ Configuración Costos'!$F$5:$F$6),""))</f>
        <v>6</v>
      </c>
      <c r="R242" s="12">
        <f t="shared" si="147"/>
        <v>5.6280000000000001</v>
      </c>
      <c r="S242" s="38">
        <f t="shared" si="148"/>
        <v>19.126342819672132</v>
      </c>
      <c r="T242" s="94" t="str">
        <f t="shared" si="149"/>
        <v>OK</v>
      </c>
      <c r="U242" s="95" t="str">
        <f t="shared" si="150"/>
        <v/>
      </c>
      <c r="V242" s="96">
        <f t="shared" si="151"/>
        <v>0</v>
      </c>
    </row>
    <row r="243" spans="1:22" x14ac:dyDescent="0.2">
      <c r="A243" s="35">
        <v>1</v>
      </c>
      <c r="B243" s="6">
        <v>469</v>
      </c>
      <c r="C243" s="6">
        <v>120</v>
      </c>
      <c r="D243" s="7" t="s">
        <v>194</v>
      </c>
      <c r="E243" s="7" t="s">
        <v>64</v>
      </c>
      <c r="F243" s="8">
        <v>0</v>
      </c>
      <c r="G243" s="8">
        <v>1</v>
      </c>
      <c r="H243" s="8">
        <v>1</v>
      </c>
      <c r="I243" s="8">
        <v>0</v>
      </c>
      <c r="J243" s="8">
        <v>0</v>
      </c>
      <c r="K243" s="16" t="s">
        <v>19</v>
      </c>
      <c r="L243" s="47" t="s">
        <v>208</v>
      </c>
      <c r="M243" s="10">
        <f t="shared" si="144"/>
        <v>5.6279999999999997E-2</v>
      </c>
      <c r="N243" s="11">
        <f t="shared" si="145"/>
        <v>0.93799999999999994</v>
      </c>
      <c r="O243" s="12">
        <f>IF(E243="HERRAJE",IFERROR(_xlfn.XLOOKUP(D243,'⚙️ Configuración Costos'!$A$11:$A$20,'⚙️ Configuración Costos'!$B$11:$B$20),""),IFERROR(_xlfn.XLOOKUP(E243,'⚙️ Configuración Costos'!$A$5:$A$6,'⚙️ Configuración Costos'!$B$5:$B$6),""))</f>
        <v>239.8426229508197</v>
      </c>
      <c r="P243" s="12">
        <f t="shared" si="146"/>
        <v>13.498342819672132</v>
      </c>
      <c r="Q243" s="12">
        <f>IF(E243="HERRAJE",0,IFERROR(_xlfn.XLOOKUP(E243,'⚙️ Configuración Costos'!$E$5:$E$6,'⚙️ Configuración Costos'!$F$5:$F$6),""))</f>
        <v>6</v>
      </c>
      <c r="R243" s="12">
        <f t="shared" si="147"/>
        <v>5.6280000000000001</v>
      </c>
      <c r="S243" s="38">
        <f t="shared" si="148"/>
        <v>19.126342819672132</v>
      </c>
      <c r="T243" s="94" t="str">
        <f t="shared" si="149"/>
        <v>OK</v>
      </c>
      <c r="U243" s="95" t="str">
        <f t="shared" si="150"/>
        <v/>
      </c>
      <c r="V243" s="96">
        <f t="shared" si="151"/>
        <v>0</v>
      </c>
    </row>
    <row r="244" spans="1:22" x14ac:dyDescent="0.2">
      <c r="A244" s="35">
        <v>1</v>
      </c>
      <c r="B244" s="6">
        <v>469</v>
      </c>
      <c r="C244" s="6">
        <v>490</v>
      </c>
      <c r="D244" s="7" t="s">
        <v>179</v>
      </c>
      <c r="E244" s="7" t="s">
        <v>64</v>
      </c>
      <c r="F244" s="8">
        <v>0</v>
      </c>
      <c r="G244" s="8">
        <v>0</v>
      </c>
      <c r="H244" s="8">
        <v>0</v>
      </c>
      <c r="I244" s="8">
        <v>0</v>
      </c>
      <c r="J244" s="8">
        <v>1</v>
      </c>
      <c r="K244" s="16" t="s">
        <v>19</v>
      </c>
      <c r="L244" s="47" t="s">
        <v>209</v>
      </c>
      <c r="M244" s="10">
        <f t="shared" si="144"/>
        <v>0.22980999999999999</v>
      </c>
      <c r="N244" s="11">
        <f t="shared" si="145"/>
        <v>0.49</v>
      </c>
      <c r="O244" s="12">
        <f>IF(E244="HERRAJE",IFERROR(_xlfn.XLOOKUP(D244,'⚙️ Configuración Costos'!$A$11:$A$20,'⚙️ Configuración Costos'!$B$11:$B$20),""),IFERROR(_xlfn.XLOOKUP(E244,'⚙️ Configuración Costos'!$A$5:$A$6,'⚙️ Configuración Costos'!$B$5:$B$6),""))</f>
        <v>239.8426229508197</v>
      </c>
      <c r="P244" s="12">
        <f t="shared" si="146"/>
        <v>55.11823318032787</v>
      </c>
      <c r="Q244" s="12">
        <f>IF(E244="HERRAJE",0,IFERROR(_xlfn.XLOOKUP(E244,'⚙️ Configuración Costos'!$E$5:$E$6,'⚙️ Configuración Costos'!$F$5:$F$6),""))</f>
        <v>6</v>
      </c>
      <c r="R244" s="12">
        <f t="shared" si="147"/>
        <v>2.94</v>
      </c>
      <c r="S244" s="38">
        <f t="shared" si="148"/>
        <v>58.058233180327868</v>
      </c>
      <c r="T244" s="94" t="str">
        <f t="shared" si="149"/>
        <v>OK</v>
      </c>
      <c r="U244" s="95" t="str">
        <f t="shared" si="150"/>
        <v/>
      </c>
      <c r="V244" s="96">
        <f t="shared" si="151"/>
        <v>0</v>
      </c>
    </row>
    <row r="245" spans="1:22" x14ac:dyDescent="0.2">
      <c r="A245" s="35">
        <v>1</v>
      </c>
      <c r="B245" s="6">
        <v>717</v>
      </c>
      <c r="C245" s="6">
        <v>497</v>
      </c>
      <c r="D245" s="7" t="s">
        <v>197</v>
      </c>
      <c r="E245" s="7" t="s">
        <v>85</v>
      </c>
      <c r="F245" s="8">
        <v>1</v>
      </c>
      <c r="G245" s="8">
        <v>1</v>
      </c>
      <c r="H245" s="8">
        <v>1</v>
      </c>
      <c r="I245" s="8">
        <v>1</v>
      </c>
      <c r="J245" s="8">
        <v>1</v>
      </c>
      <c r="K245" s="16" t="s">
        <v>19</v>
      </c>
      <c r="L245" s="47" t="s">
        <v>210</v>
      </c>
      <c r="M245" s="10">
        <f t="shared" si="144"/>
        <v>0.35634900000000003</v>
      </c>
      <c r="N245" s="11">
        <f t="shared" si="145"/>
        <v>2.4279999999999999</v>
      </c>
      <c r="O245" s="12">
        <f>IF(E245="HERRAJE",IFERROR(_xlfn.XLOOKUP(D245,'⚙️ Configuración Costos'!$A$11:$A$20,'⚙️ Configuración Costos'!$B$11:$B$20),""),IFERROR(_xlfn.XLOOKUP(E245,'⚙️ Configuración Costos'!$A$5:$A$6,'⚙️ Configuración Costos'!$B$5:$B$6),""))</f>
        <v>332.85245901639348</v>
      </c>
      <c r="P245" s="12">
        <f t="shared" si="146"/>
        <v>118.6116409180328</v>
      </c>
      <c r="Q245" s="12">
        <f>IF(E245="HERRAJE",0,IFERROR(_xlfn.XLOOKUP(E245,'⚙️ Configuración Costos'!$E$5:$E$6,'⚙️ Configuración Costos'!$F$5:$F$6),""))</f>
        <v>9.5</v>
      </c>
      <c r="R245" s="12">
        <f t="shared" si="147"/>
        <v>23.065999999999999</v>
      </c>
      <c r="S245" s="38">
        <f t="shared" si="148"/>
        <v>141.67764091803281</v>
      </c>
      <c r="T245" s="94" t="str">
        <f t="shared" si="149"/>
        <v>OK</v>
      </c>
      <c r="U245" s="95" t="str">
        <f t="shared" si="150"/>
        <v/>
      </c>
      <c r="V245" s="96">
        <f t="shared" si="151"/>
        <v>0</v>
      </c>
    </row>
    <row r="246" spans="1:22" x14ac:dyDescent="0.2">
      <c r="A246" s="35">
        <v>2</v>
      </c>
      <c r="B246" s="6">
        <v>0</v>
      </c>
      <c r="C246" s="6">
        <v>0</v>
      </c>
      <c r="D246" s="7" t="s">
        <v>90</v>
      </c>
      <c r="E246" s="7" t="s">
        <v>91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16" t="s">
        <v>19</v>
      </c>
      <c r="L246" s="47" t="s">
        <v>92</v>
      </c>
      <c r="M246" s="10">
        <f t="shared" si="144"/>
        <v>0</v>
      </c>
      <c r="N246" s="11">
        <f t="shared" si="145"/>
        <v>0</v>
      </c>
      <c r="O246" s="12">
        <f>IF(E246="HERRAJE",IFERROR(_xlfn.XLOOKUP(D246,'⚙️ Configuración Costos'!$A$11:$A$20,'⚙️ Configuración Costos'!$B$11:$B$20),""),IFERROR(_xlfn.XLOOKUP(E246,'⚙️ Configuración Costos'!$A$5:$A$6,'⚙️ Configuración Costos'!$B$5:$B$6),""))</f>
        <v>20</v>
      </c>
      <c r="P246" s="12">
        <f t="shared" si="146"/>
        <v>40</v>
      </c>
      <c r="Q246" s="12">
        <f>IF(E246="HERRAJE",0,IFERROR(_xlfn.XLOOKUP(E246,'⚙️ Configuración Costos'!$E$5:$E$6,'⚙️ Configuración Costos'!$F$5:$F$6),""))</f>
        <v>0</v>
      </c>
      <c r="R246" s="12">
        <f t="shared" si="147"/>
        <v>0</v>
      </c>
      <c r="S246" s="38">
        <f t="shared" si="148"/>
        <v>40</v>
      </c>
      <c r="T246" s="94" t="str">
        <f t="shared" si="149"/>
        <v>OK</v>
      </c>
      <c r="U246" s="95" t="str">
        <f t="shared" si="150"/>
        <v/>
      </c>
      <c r="V246" s="96">
        <f t="shared" si="151"/>
        <v>0</v>
      </c>
    </row>
    <row r="247" spans="1:22" x14ac:dyDescent="0.2">
      <c r="A247" s="35">
        <v>1</v>
      </c>
      <c r="B247" s="6">
        <v>0</v>
      </c>
      <c r="C247" s="6">
        <v>0</v>
      </c>
      <c r="D247" s="7" t="s">
        <v>93</v>
      </c>
      <c r="E247" s="7" t="s">
        <v>91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16" t="s">
        <v>19</v>
      </c>
      <c r="L247" s="47" t="s">
        <v>94</v>
      </c>
      <c r="M247" s="10">
        <f t="shared" si="144"/>
        <v>0</v>
      </c>
      <c r="N247" s="11">
        <f t="shared" si="145"/>
        <v>0</v>
      </c>
      <c r="O247" s="12">
        <f>IF(E247="HERRAJE",IFERROR(_xlfn.XLOOKUP(D247,'⚙️ Configuración Costos'!$A$11:$A$20,'⚙️ Configuración Costos'!$B$11:$B$20),""),IFERROR(_xlfn.XLOOKUP(E247,'⚙️ Configuración Costos'!$A$5:$A$6,'⚙️ Configuración Costos'!$B$5:$B$6),""))</f>
        <v>15</v>
      </c>
      <c r="P247" s="12">
        <f t="shared" si="146"/>
        <v>15</v>
      </c>
      <c r="Q247" s="12">
        <f>IF(E247="HERRAJE",0,IFERROR(_xlfn.XLOOKUP(E247,'⚙️ Configuración Costos'!$E$5:$E$6,'⚙️ Configuración Costos'!$F$5:$F$6),""))</f>
        <v>0</v>
      </c>
      <c r="R247" s="12">
        <f t="shared" si="147"/>
        <v>0</v>
      </c>
      <c r="S247" s="38">
        <f t="shared" si="148"/>
        <v>15</v>
      </c>
      <c r="T247" s="94" t="str">
        <f t="shared" si="149"/>
        <v>OK</v>
      </c>
      <c r="U247" s="95" t="str">
        <f t="shared" si="150"/>
        <v/>
      </c>
      <c r="V247" s="96">
        <f t="shared" si="151"/>
        <v>0</v>
      </c>
    </row>
    <row r="248" spans="1:22" x14ac:dyDescent="0.2">
      <c r="A248" s="35">
        <v>4</v>
      </c>
      <c r="B248" s="6">
        <v>0</v>
      </c>
      <c r="C248" s="6">
        <v>0</v>
      </c>
      <c r="D248" s="7" t="s">
        <v>186</v>
      </c>
      <c r="E248" s="7" t="s">
        <v>91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16" t="s">
        <v>19</v>
      </c>
      <c r="L248" s="47" t="s">
        <v>187</v>
      </c>
      <c r="M248" s="10">
        <f t="shared" si="144"/>
        <v>0</v>
      </c>
      <c r="N248" s="11">
        <f t="shared" si="145"/>
        <v>0</v>
      </c>
      <c r="O248" s="12">
        <f>IF(E248="HERRAJE",IFERROR(_xlfn.XLOOKUP(D248,'⚙️ Configuración Costos'!$A$11:$A$20,'⚙️ Configuración Costos'!$B$11:$B$20),""),IFERROR(_xlfn.XLOOKUP(E248,'⚙️ Configuración Costos'!$A$5:$A$6,'⚙️ Configuración Costos'!$B$5:$B$6),""))</f>
        <v>15</v>
      </c>
      <c r="P248" s="12">
        <f t="shared" si="146"/>
        <v>60</v>
      </c>
      <c r="Q248" s="12">
        <f>IF(E248="HERRAJE",0,IFERROR(_xlfn.XLOOKUP(E248,'⚙️ Configuración Costos'!$E$5:$E$6,'⚙️ Configuración Costos'!$F$5:$F$6),""))</f>
        <v>0</v>
      </c>
      <c r="R248" s="12">
        <f t="shared" si="147"/>
        <v>0</v>
      </c>
      <c r="S248" s="38">
        <f t="shared" si="148"/>
        <v>60</v>
      </c>
      <c r="T248" s="94" t="str">
        <f t="shared" si="149"/>
        <v>OK</v>
      </c>
      <c r="U248" s="95" t="str">
        <f t="shared" si="150"/>
        <v/>
      </c>
      <c r="V248" s="96">
        <f t="shared" si="151"/>
        <v>0</v>
      </c>
    </row>
    <row r="249" spans="1:22" x14ac:dyDescent="0.2">
      <c r="A249" s="35">
        <v>4</v>
      </c>
      <c r="B249" s="6">
        <v>0</v>
      </c>
      <c r="C249" s="6">
        <v>0</v>
      </c>
      <c r="D249" s="7" t="s">
        <v>95</v>
      </c>
      <c r="E249" s="7" t="s">
        <v>91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16" t="s">
        <v>19</v>
      </c>
      <c r="L249" s="47" t="s">
        <v>96</v>
      </c>
      <c r="M249" s="10">
        <f t="shared" si="144"/>
        <v>0</v>
      </c>
      <c r="N249" s="11">
        <f t="shared" si="145"/>
        <v>0</v>
      </c>
      <c r="O249" s="12">
        <f>IF(E249="HERRAJE",IFERROR(_xlfn.XLOOKUP(D249,'⚙️ Configuración Costos'!$A$11:$A$20,'⚙️ Configuración Costos'!$B$11:$B$20),""),IFERROR(_xlfn.XLOOKUP(E249,'⚙️ Configuración Costos'!$A$5:$A$6,'⚙️ Configuración Costos'!$B$5:$B$6),""))</f>
        <v>2</v>
      </c>
      <c r="P249" s="12">
        <f t="shared" si="146"/>
        <v>8</v>
      </c>
      <c r="Q249" s="12">
        <f>IF(E249="HERRAJE",0,IFERROR(_xlfn.XLOOKUP(E249,'⚙️ Configuración Costos'!$E$5:$E$6,'⚙️ Configuración Costos'!$F$5:$F$6),""))</f>
        <v>0</v>
      </c>
      <c r="R249" s="12">
        <f t="shared" si="147"/>
        <v>0</v>
      </c>
      <c r="S249" s="38">
        <f t="shared" si="148"/>
        <v>8</v>
      </c>
      <c r="T249" s="94" t="str">
        <f t="shared" si="149"/>
        <v>OK</v>
      </c>
      <c r="U249" s="95" t="str">
        <f t="shared" si="150"/>
        <v/>
      </c>
      <c r="V249" s="96">
        <f t="shared" si="151"/>
        <v>0</v>
      </c>
    </row>
    <row r="250" spans="1:22" ht="16" thickBot="1" x14ac:dyDescent="0.25">
      <c r="A250" s="36">
        <v>24</v>
      </c>
      <c r="B250" s="20">
        <v>0</v>
      </c>
      <c r="C250" s="20">
        <v>0</v>
      </c>
      <c r="D250" s="21" t="s">
        <v>97</v>
      </c>
      <c r="E250" s="21" t="s">
        <v>91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16" t="s">
        <v>19</v>
      </c>
      <c r="L250" s="48" t="s">
        <v>98</v>
      </c>
      <c r="M250" s="24">
        <f t="shared" si="144"/>
        <v>0</v>
      </c>
      <c r="N250" s="25">
        <f t="shared" si="145"/>
        <v>0</v>
      </c>
      <c r="O250" s="26">
        <f>IF(E250="HERRAJE",IFERROR(_xlfn.XLOOKUP(D250,'⚙️ Configuración Costos'!$A$11:$A$20,'⚙️ Configuración Costos'!$B$11:$B$20),""),IFERROR(_xlfn.XLOOKUP(E250,'⚙️ Configuración Costos'!$A$5:$A$6,'⚙️ Configuración Costos'!$B$5:$B$6),""))</f>
        <v>1.5</v>
      </c>
      <c r="P250" s="26">
        <f t="shared" si="146"/>
        <v>36</v>
      </c>
      <c r="Q250" s="26">
        <f>IF(E250="HERRAJE",0,IFERROR(_xlfn.XLOOKUP(E250,'⚙️ Configuración Costos'!$E$5:$E$6,'⚙️ Configuración Costos'!$F$5:$F$6),""))</f>
        <v>0</v>
      </c>
      <c r="R250" s="26">
        <f t="shared" si="147"/>
        <v>0</v>
      </c>
      <c r="S250" s="39">
        <f t="shared" si="148"/>
        <v>36</v>
      </c>
      <c r="T250" s="94" t="str">
        <f t="shared" si="149"/>
        <v>OK</v>
      </c>
      <c r="U250" s="95" t="str">
        <f t="shared" si="150"/>
        <v/>
      </c>
      <c r="V250" s="96">
        <f t="shared" si="151"/>
        <v>0</v>
      </c>
    </row>
    <row r="251" spans="1:22" ht="16" thickTop="1" x14ac:dyDescent="0.2">
      <c r="A251" s="27" t="s">
        <v>99</v>
      </c>
      <c r="B251" s="27"/>
      <c r="C251" s="27"/>
      <c r="D251" s="28"/>
      <c r="E251" s="28"/>
      <c r="F251" s="29"/>
      <c r="G251" s="29"/>
      <c r="H251" s="29"/>
      <c r="I251" s="29"/>
      <c r="J251" s="29"/>
      <c r="K251" s="30"/>
      <c r="L251" s="49" t="s">
        <v>188</v>
      </c>
      <c r="M251" s="31">
        <f>SUM(M238:M250)</f>
        <v>2.1290800000000001</v>
      </c>
      <c r="N251" s="32">
        <f>SUM(N238:N250)</f>
        <v>11.154</v>
      </c>
      <c r="O251" s="33"/>
      <c r="P251" s="33">
        <f>SUM(P238:P250)</f>
        <v>702.78809374426237</v>
      </c>
      <c r="Q251" s="33"/>
      <c r="R251" s="33">
        <f>SUM(R238:R250)</f>
        <v>75.421999999999997</v>
      </c>
      <c r="S251" s="33">
        <f>SUM(S238:S250)</f>
        <v>778.21009374426239</v>
      </c>
      <c r="T251" s="97"/>
      <c r="U251" s="98"/>
      <c r="V251" s="99"/>
    </row>
    <row r="252" spans="1:22" x14ac:dyDescent="0.2">
      <c r="A252" s="186" t="s">
        <v>211</v>
      </c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8"/>
      <c r="T252" s="97"/>
      <c r="U252" s="98"/>
      <c r="V252" s="99"/>
    </row>
    <row r="253" spans="1:22" x14ac:dyDescent="0.2">
      <c r="A253" s="34">
        <v>1</v>
      </c>
      <c r="B253" s="13">
        <v>720</v>
      </c>
      <c r="C253" s="13">
        <v>580</v>
      </c>
      <c r="D253" s="14" t="s">
        <v>63</v>
      </c>
      <c r="E253" s="14" t="s">
        <v>64</v>
      </c>
      <c r="F253" s="15">
        <v>0</v>
      </c>
      <c r="G253" s="15">
        <v>1</v>
      </c>
      <c r="H253" s="15">
        <v>1</v>
      </c>
      <c r="I253" s="15">
        <v>1</v>
      </c>
      <c r="J253" s="15">
        <v>1</v>
      </c>
      <c r="K253" s="16" t="s">
        <v>20</v>
      </c>
      <c r="L253" s="46" t="s">
        <v>190</v>
      </c>
      <c r="M253" s="17">
        <f t="shared" ref="M253:M265" si="152">IF(AND(ISNUMBER(B253),ISNUMBER(C253),B253&gt;0,C253&gt;0),A253*(B253*C253/1000000),0)</f>
        <v>0.41760000000000003</v>
      </c>
      <c r="N253" s="18">
        <f t="shared" ref="N253:N265" si="153">IF(AND(ISNUMBER(B253),B253&gt;0),A253*(((G253+H253)*B253+(I253+J253)*C253)/1000),0)</f>
        <v>2.6</v>
      </c>
      <c r="O253" s="19">
        <f>IF(E253="HERRAJE",IFERROR(_xlfn.XLOOKUP(D253,'⚙️ Configuración Costos'!$A$11:$A$20,'⚙️ Configuración Costos'!$B$11:$B$20),""),IFERROR(_xlfn.XLOOKUP(E253,'⚙️ Configuración Costos'!$A$5:$A$6,'⚙️ Configuración Costos'!$B$5:$B$6),""))</f>
        <v>239.8426229508197</v>
      </c>
      <c r="P253" s="19">
        <f t="shared" ref="P253:P265" si="154">IF(E253="HERRAJE",A253*O253,M253*O253)</f>
        <v>100.15827934426231</v>
      </c>
      <c r="Q253" s="19">
        <f>IF(E253="HERRAJE",0,IFERROR(_xlfn.XLOOKUP(E253,'⚙️ Configuración Costos'!$E$5:$E$6,'⚙️ Configuración Costos'!$F$5:$F$6),""))</f>
        <v>6</v>
      </c>
      <c r="R253" s="19">
        <f t="shared" ref="R253:R265" si="155">N253*Q253</f>
        <v>15.600000000000001</v>
      </c>
      <c r="S253" s="37">
        <f t="shared" ref="S253:S265" si="156">P253+R253</f>
        <v>115.75827934426232</v>
      </c>
      <c r="T253" s="94" t="str">
        <f t="shared" ref="T253:T265" si="157">IF(K253="","SIN ID MÓDULO",IF(E253="HERRAJE",IF(OR(O253="",O253&lt;=0),"SIN PRECIO HERRAJE","OK"),IF(OR(O253="",O253&lt;=0),"SIN PRECIO MATERIAL",IF(AND(N253&gt;0,OR(Q253="",Q253&lt;=0)),"SIN PRECIO CINTILLA","OK"))))</f>
        <v>OK</v>
      </c>
      <c r="U253" s="95" t="str">
        <f t="shared" ref="U253:U265" si="158">IF(T253="OK","",IF(T253="SIN PRECIO HERRAJE","Capturar precio: "&amp;D253,IF(T253="SIN PRECIO MATERIAL","Configurar material: "&amp;E253,IF(T253="SIN PRECIO CINTILLA","Configurar cintilla: "&amp;E253,IF(T253="SIN ID MÓDULO","Revisar ID del módulo","")))))</f>
        <v/>
      </c>
      <c r="V253" s="96">
        <f t="shared" ref="V253:V265" si="159">IF(T253="OK",0,IF(T253="",0,1))</f>
        <v>0</v>
      </c>
    </row>
    <row r="254" spans="1:22" x14ac:dyDescent="0.2">
      <c r="A254" s="35">
        <v>1</v>
      </c>
      <c r="B254" s="6">
        <v>720</v>
      </c>
      <c r="C254" s="6">
        <v>580</v>
      </c>
      <c r="D254" s="7" t="s">
        <v>66</v>
      </c>
      <c r="E254" s="7" t="s">
        <v>64</v>
      </c>
      <c r="F254" s="8">
        <v>0</v>
      </c>
      <c r="G254" s="8">
        <v>1</v>
      </c>
      <c r="H254" s="8">
        <v>1</v>
      </c>
      <c r="I254" s="8">
        <v>1</v>
      </c>
      <c r="J254" s="8">
        <v>1</v>
      </c>
      <c r="K254" s="16" t="s">
        <v>20</v>
      </c>
      <c r="L254" s="47" t="s">
        <v>191</v>
      </c>
      <c r="M254" s="10">
        <f t="shared" si="152"/>
        <v>0.41760000000000003</v>
      </c>
      <c r="N254" s="11">
        <f t="shared" si="153"/>
        <v>2.6</v>
      </c>
      <c r="O254" s="12">
        <f>IF(E254="HERRAJE",IFERROR(_xlfn.XLOOKUP(D254,'⚙️ Configuración Costos'!$A$11:$A$20,'⚙️ Configuración Costos'!$B$11:$B$20),""),IFERROR(_xlfn.XLOOKUP(E254,'⚙️ Configuración Costos'!$A$5:$A$6,'⚙️ Configuración Costos'!$B$5:$B$6),""))</f>
        <v>239.8426229508197</v>
      </c>
      <c r="P254" s="12">
        <f t="shared" si="154"/>
        <v>100.15827934426231</v>
      </c>
      <c r="Q254" s="12">
        <f>IF(E254="HERRAJE",0,IFERROR(_xlfn.XLOOKUP(E254,'⚙️ Configuración Costos'!$E$5:$E$6,'⚙️ Configuración Costos'!$F$5:$F$6),""))</f>
        <v>6</v>
      </c>
      <c r="R254" s="12">
        <f t="shared" si="155"/>
        <v>15.600000000000001</v>
      </c>
      <c r="S254" s="38">
        <f t="shared" si="156"/>
        <v>115.75827934426232</v>
      </c>
      <c r="T254" s="94" t="str">
        <f t="shared" si="157"/>
        <v>OK</v>
      </c>
      <c r="U254" s="95" t="str">
        <f t="shared" si="158"/>
        <v/>
      </c>
      <c r="V254" s="96">
        <f t="shared" si="159"/>
        <v>0</v>
      </c>
    </row>
    <row r="255" spans="1:22" x14ac:dyDescent="0.2">
      <c r="A255" s="35">
        <v>1</v>
      </c>
      <c r="B255" s="6">
        <v>689</v>
      </c>
      <c r="C255" s="6">
        <v>569</v>
      </c>
      <c r="D255" s="7" t="s">
        <v>169</v>
      </c>
      <c r="E255" s="7" t="s">
        <v>64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16" t="s">
        <v>20</v>
      </c>
      <c r="L255" s="47" t="s">
        <v>212</v>
      </c>
      <c r="M255" s="10">
        <f t="shared" si="152"/>
        <v>0.39204099999999997</v>
      </c>
      <c r="N255" s="11">
        <f t="shared" si="153"/>
        <v>0</v>
      </c>
      <c r="O255" s="12">
        <f>IF(E255="HERRAJE",IFERROR(_xlfn.XLOOKUP(D255,'⚙️ Configuración Costos'!$A$11:$A$20,'⚙️ Configuración Costos'!$B$11:$B$20),""),IFERROR(_xlfn.XLOOKUP(E255,'⚙️ Configuración Costos'!$A$5:$A$6,'⚙️ Configuración Costos'!$B$5:$B$6),""))</f>
        <v>239.8426229508197</v>
      </c>
      <c r="P255" s="12">
        <f t="shared" si="154"/>
        <v>94.0281417442623</v>
      </c>
      <c r="Q255" s="12">
        <f>IF(E255="HERRAJE",0,IFERROR(_xlfn.XLOOKUP(E255,'⚙️ Configuración Costos'!$E$5:$E$6,'⚙️ Configuración Costos'!$F$5:$F$6),""))</f>
        <v>6</v>
      </c>
      <c r="R255" s="12">
        <f t="shared" si="155"/>
        <v>0</v>
      </c>
      <c r="S255" s="38">
        <f t="shared" si="156"/>
        <v>94.0281417442623</v>
      </c>
      <c r="T255" s="94" t="str">
        <f t="shared" si="157"/>
        <v>OK</v>
      </c>
      <c r="U255" s="95" t="str">
        <f t="shared" si="158"/>
        <v/>
      </c>
      <c r="V255" s="96">
        <f t="shared" si="159"/>
        <v>0</v>
      </c>
    </row>
    <row r="256" spans="1:22" x14ac:dyDescent="0.2">
      <c r="A256" s="35">
        <v>1</v>
      </c>
      <c r="B256" s="6">
        <v>569</v>
      </c>
      <c r="C256" s="6">
        <v>580</v>
      </c>
      <c r="D256" s="7" t="s">
        <v>171</v>
      </c>
      <c r="E256" s="7" t="s">
        <v>64</v>
      </c>
      <c r="F256" s="8">
        <v>0</v>
      </c>
      <c r="G256" s="8">
        <v>0</v>
      </c>
      <c r="H256" s="8">
        <v>0</v>
      </c>
      <c r="I256" s="8">
        <v>1</v>
      </c>
      <c r="J256" s="8">
        <v>1</v>
      </c>
      <c r="K256" s="16" t="s">
        <v>20</v>
      </c>
      <c r="L256" s="47" t="s">
        <v>213</v>
      </c>
      <c r="M256" s="10">
        <f t="shared" si="152"/>
        <v>0.33001999999999998</v>
      </c>
      <c r="N256" s="11">
        <f t="shared" si="153"/>
        <v>1.1599999999999999</v>
      </c>
      <c r="O256" s="12">
        <f>IF(E256="HERRAJE",IFERROR(_xlfn.XLOOKUP(D256,'⚙️ Configuración Costos'!$A$11:$A$20,'⚙️ Configuración Costos'!$B$11:$B$20),""),IFERROR(_xlfn.XLOOKUP(E256,'⚙️ Configuración Costos'!$A$5:$A$6,'⚙️ Configuración Costos'!$B$5:$B$6),""))</f>
        <v>239.8426229508197</v>
      </c>
      <c r="P256" s="12">
        <f t="shared" si="154"/>
        <v>79.152862426229518</v>
      </c>
      <c r="Q256" s="12">
        <f>IF(E256="HERRAJE",0,IFERROR(_xlfn.XLOOKUP(E256,'⚙️ Configuración Costos'!$E$5:$E$6,'⚙️ Configuración Costos'!$F$5:$F$6),""))</f>
        <v>6</v>
      </c>
      <c r="R256" s="12">
        <f t="shared" si="155"/>
        <v>6.9599999999999991</v>
      </c>
      <c r="S256" s="38">
        <f t="shared" si="156"/>
        <v>86.112862426229512</v>
      </c>
      <c r="T256" s="94" t="str">
        <f t="shared" si="157"/>
        <v>OK</v>
      </c>
      <c r="U256" s="95" t="str">
        <f t="shared" si="158"/>
        <v/>
      </c>
      <c r="V256" s="96">
        <f t="shared" si="159"/>
        <v>0</v>
      </c>
    </row>
    <row r="257" spans="1:22" x14ac:dyDescent="0.2">
      <c r="A257" s="35">
        <v>1</v>
      </c>
      <c r="B257" s="6">
        <v>569</v>
      </c>
      <c r="C257" s="6">
        <v>120</v>
      </c>
      <c r="D257" s="7" t="s">
        <v>194</v>
      </c>
      <c r="E257" s="7" t="s">
        <v>64</v>
      </c>
      <c r="F257" s="8">
        <v>0</v>
      </c>
      <c r="G257" s="8">
        <v>1</v>
      </c>
      <c r="H257" s="8">
        <v>1</v>
      </c>
      <c r="I257" s="8">
        <v>0</v>
      </c>
      <c r="J257" s="8">
        <v>0</v>
      </c>
      <c r="K257" s="16" t="s">
        <v>20</v>
      </c>
      <c r="L257" s="47" t="s">
        <v>214</v>
      </c>
      <c r="M257" s="10">
        <f t="shared" si="152"/>
        <v>6.8279999999999993E-2</v>
      </c>
      <c r="N257" s="11">
        <f t="shared" si="153"/>
        <v>1.1379999999999999</v>
      </c>
      <c r="O257" s="12">
        <f>IF(E257="HERRAJE",IFERROR(_xlfn.XLOOKUP(D257,'⚙️ Configuración Costos'!$A$11:$A$20,'⚙️ Configuración Costos'!$B$11:$B$20),""),IFERROR(_xlfn.XLOOKUP(E257,'⚙️ Configuración Costos'!$A$5:$A$6,'⚙️ Configuración Costos'!$B$5:$B$6),""))</f>
        <v>239.8426229508197</v>
      </c>
      <c r="P257" s="12">
        <f t="shared" si="154"/>
        <v>16.376454295081967</v>
      </c>
      <c r="Q257" s="12">
        <f>IF(E257="HERRAJE",0,IFERROR(_xlfn.XLOOKUP(E257,'⚙️ Configuración Costos'!$E$5:$E$6,'⚙️ Configuración Costos'!$F$5:$F$6),""))</f>
        <v>6</v>
      </c>
      <c r="R257" s="12">
        <f t="shared" si="155"/>
        <v>6.8279999999999994</v>
      </c>
      <c r="S257" s="38">
        <f t="shared" si="156"/>
        <v>23.204454295081966</v>
      </c>
      <c r="T257" s="94" t="str">
        <f t="shared" si="157"/>
        <v>OK</v>
      </c>
      <c r="U257" s="95" t="str">
        <f t="shared" si="158"/>
        <v/>
      </c>
      <c r="V257" s="96">
        <f t="shared" si="159"/>
        <v>0</v>
      </c>
    </row>
    <row r="258" spans="1:22" x14ac:dyDescent="0.2">
      <c r="A258" s="35">
        <v>1</v>
      </c>
      <c r="B258" s="6">
        <v>569</v>
      </c>
      <c r="C258" s="6">
        <v>120</v>
      </c>
      <c r="D258" s="7" t="s">
        <v>194</v>
      </c>
      <c r="E258" s="7" t="s">
        <v>64</v>
      </c>
      <c r="F258" s="8">
        <v>0</v>
      </c>
      <c r="G258" s="8">
        <v>1</v>
      </c>
      <c r="H258" s="8">
        <v>1</v>
      </c>
      <c r="I258" s="8">
        <v>0</v>
      </c>
      <c r="J258" s="8">
        <v>0</v>
      </c>
      <c r="K258" s="16" t="s">
        <v>20</v>
      </c>
      <c r="L258" s="47" t="s">
        <v>214</v>
      </c>
      <c r="M258" s="10">
        <f t="shared" si="152"/>
        <v>6.8279999999999993E-2</v>
      </c>
      <c r="N258" s="11">
        <f t="shared" si="153"/>
        <v>1.1379999999999999</v>
      </c>
      <c r="O258" s="12">
        <f>IF(E258="HERRAJE",IFERROR(_xlfn.XLOOKUP(D258,'⚙️ Configuración Costos'!$A$11:$A$20,'⚙️ Configuración Costos'!$B$11:$B$20),""),IFERROR(_xlfn.XLOOKUP(E258,'⚙️ Configuración Costos'!$A$5:$A$6,'⚙️ Configuración Costos'!$B$5:$B$6),""))</f>
        <v>239.8426229508197</v>
      </c>
      <c r="P258" s="12">
        <f t="shared" si="154"/>
        <v>16.376454295081967</v>
      </c>
      <c r="Q258" s="12">
        <f>IF(E258="HERRAJE",0,IFERROR(_xlfn.XLOOKUP(E258,'⚙️ Configuración Costos'!$E$5:$E$6,'⚙️ Configuración Costos'!$F$5:$F$6),""))</f>
        <v>6</v>
      </c>
      <c r="R258" s="12">
        <f t="shared" si="155"/>
        <v>6.8279999999999994</v>
      </c>
      <c r="S258" s="38">
        <f t="shared" si="156"/>
        <v>23.204454295081966</v>
      </c>
      <c r="T258" s="94" t="str">
        <f t="shared" si="157"/>
        <v>OK</v>
      </c>
      <c r="U258" s="95" t="str">
        <f t="shared" si="158"/>
        <v/>
      </c>
      <c r="V258" s="96">
        <f t="shared" si="159"/>
        <v>0</v>
      </c>
    </row>
    <row r="259" spans="1:22" x14ac:dyDescent="0.2">
      <c r="A259" s="35">
        <v>1</v>
      </c>
      <c r="B259" s="6">
        <v>569</v>
      </c>
      <c r="C259" s="6">
        <v>490</v>
      </c>
      <c r="D259" s="7" t="s">
        <v>179</v>
      </c>
      <c r="E259" s="7" t="s">
        <v>64</v>
      </c>
      <c r="F259" s="8">
        <v>0</v>
      </c>
      <c r="G259" s="8">
        <v>1</v>
      </c>
      <c r="H259" s="8">
        <v>0</v>
      </c>
      <c r="I259" s="8">
        <v>0</v>
      </c>
      <c r="J259" s="8">
        <v>0</v>
      </c>
      <c r="K259" s="16" t="s">
        <v>20</v>
      </c>
      <c r="L259" s="47" t="s">
        <v>215</v>
      </c>
      <c r="M259" s="10">
        <f t="shared" si="152"/>
        <v>0.27881</v>
      </c>
      <c r="N259" s="11">
        <f t="shared" si="153"/>
        <v>0.56899999999999995</v>
      </c>
      <c r="O259" s="12">
        <f>IF(E259="HERRAJE",IFERROR(_xlfn.XLOOKUP(D259,'⚙️ Configuración Costos'!$A$11:$A$20,'⚙️ Configuración Costos'!$B$11:$B$20),""),IFERROR(_xlfn.XLOOKUP(E259,'⚙️ Configuración Costos'!$A$5:$A$6,'⚙️ Configuración Costos'!$B$5:$B$6),""))</f>
        <v>239.8426229508197</v>
      </c>
      <c r="P259" s="12">
        <f t="shared" si="154"/>
        <v>66.870521704918048</v>
      </c>
      <c r="Q259" s="12">
        <f>IF(E259="HERRAJE",0,IFERROR(_xlfn.XLOOKUP(E259,'⚙️ Configuración Costos'!$E$5:$E$6,'⚙️ Configuración Costos'!$F$5:$F$6),""))</f>
        <v>6</v>
      </c>
      <c r="R259" s="12">
        <f t="shared" si="155"/>
        <v>3.4139999999999997</v>
      </c>
      <c r="S259" s="38">
        <f t="shared" si="156"/>
        <v>70.284521704918049</v>
      </c>
      <c r="T259" s="94" t="str">
        <f t="shared" si="157"/>
        <v>OK</v>
      </c>
      <c r="U259" s="95" t="str">
        <f t="shared" si="158"/>
        <v/>
      </c>
      <c r="V259" s="96">
        <f t="shared" si="159"/>
        <v>0</v>
      </c>
    </row>
    <row r="260" spans="1:22" x14ac:dyDescent="0.2">
      <c r="A260" s="35">
        <v>1</v>
      </c>
      <c r="B260" s="6">
        <v>717</v>
      </c>
      <c r="C260" s="6">
        <v>597</v>
      </c>
      <c r="D260" s="7" t="s">
        <v>197</v>
      </c>
      <c r="E260" s="7" t="s">
        <v>85</v>
      </c>
      <c r="F260" s="8">
        <v>1</v>
      </c>
      <c r="G260" s="8">
        <v>1</v>
      </c>
      <c r="H260" s="8">
        <v>1</v>
      </c>
      <c r="I260" s="8">
        <v>1</v>
      </c>
      <c r="J260" s="8">
        <v>1</v>
      </c>
      <c r="K260" s="16" t="s">
        <v>20</v>
      </c>
      <c r="L260" s="47" t="s">
        <v>216</v>
      </c>
      <c r="M260" s="10">
        <f t="shared" si="152"/>
        <v>0.42804900000000001</v>
      </c>
      <c r="N260" s="11">
        <f t="shared" si="153"/>
        <v>2.6280000000000001</v>
      </c>
      <c r="O260" s="12">
        <f>IF(E260="HERRAJE",IFERROR(_xlfn.XLOOKUP(D260,'⚙️ Configuración Costos'!$A$11:$A$20,'⚙️ Configuración Costos'!$B$11:$B$20),""),IFERROR(_xlfn.XLOOKUP(E260,'⚙️ Configuración Costos'!$A$5:$A$6,'⚙️ Configuración Costos'!$B$5:$B$6),""))</f>
        <v>332.85245901639348</v>
      </c>
      <c r="P260" s="12">
        <f t="shared" si="154"/>
        <v>142.47716222950822</v>
      </c>
      <c r="Q260" s="12">
        <f>IF(E260="HERRAJE",0,IFERROR(_xlfn.XLOOKUP(E260,'⚙️ Configuración Costos'!$E$5:$E$6,'⚙️ Configuración Costos'!$F$5:$F$6),""))</f>
        <v>9.5</v>
      </c>
      <c r="R260" s="12">
        <f t="shared" si="155"/>
        <v>24.966000000000001</v>
      </c>
      <c r="S260" s="38">
        <f t="shared" si="156"/>
        <v>167.44316222950823</v>
      </c>
      <c r="T260" s="94" t="str">
        <f t="shared" si="157"/>
        <v>OK</v>
      </c>
      <c r="U260" s="95" t="str">
        <f t="shared" si="158"/>
        <v/>
      </c>
      <c r="V260" s="96">
        <f t="shared" si="159"/>
        <v>0</v>
      </c>
    </row>
    <row r="261" spans="1:22" x14ac:dyDescent="0.2">
      <c r="A261" s="35">
        <v>2</v>
      </c>
      <c r="B261" s="6">
        <v>0</v>
      </c>
      <c r="C261" s="6">
        <v>0</v>
      </c>
      <c r="D261" s="7" t="s">
        <v>90</v>
      </c>
      <c r="E261" s="7" t="s">
        <v>91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16" t="s">
        <v>20</v>
      </c>
      <c r="L261" s="47" t="s">
        <v>92</v>
      </c>
      <c r="M261" s="10">
        <f t="shared" si="152"/>
        <v>0</v>
      </c>
      <c r="N261" s="11">
        <f t="shared" si="153"/>
        <v>0</v>
      </c>
      <c r="O261" s="12">
        <f>IF(E261="HERRAJE",IFERROR(_xlfn.XLOOKUP(D261,'⚙️ Configuración Costos'!$A$11:$A$20,'⚙️ Configuración Costos'!$B$11:$B$20),""),IFERROR(_xlfn.XLOOKUP(E261,'⚙️ Configuración Costos'!$A$5:$A$6,'⚙️ Configuración Costos'!$B$5:$B$6),""))</f>
        <v>20</v>
      </c>
      <c r="P261" s="12">
        <f t="shared" si="154"/>
        <v>40</v>
      </c>
      <c r="Q261" s="12">
        <f>IF(E261="HERRAJE",0,IFERROR(_xlfn.XLOOKUP(E261,'⚙️ Configuración Costos'!$E$5:$E$6,'⚙️ Configuración Costos'!$F$5:$F$6),""))</f>
        <v>0</v>
      </c>
      <c r="R261" s="12">
        <f t="shared" si="155"/>
        <v>0</v>
      </c>
      <c r="S261" s="38">
        <f t="shared" si="156"/>
        <v>40</v>
      </c>
      <c r="T261" s="94" t="str">
        <f t="shared" si="157"/>
        <v>OK</v>
      </c>
      <c r="U261" s="95" t="str">
        <f t="shared" si="158"/>
        <v/>
      </c>
      <c r="V261" s="96">
        <f t="shared" si="159"/>
        <v>0</v>
      </c>
    </row>
    <row r="262" spans="1:22" x14ac:dyDescent="0.2">
      <c r="A262" s="35">
        <v>1</v>
      </c>
      <c r="B262" s="6">
        <v>0</v>
      </c>
      <c r="C262" s="6">
        <v>0</v>
      </c>
      <c r="D262" s="7" t="s">
        <v>93</v>
      </c>
      <c r="E262" s="7" t="s">
        <v>91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16" t="s">
        <v>20</v>
      </c>
      <c r="L262" s="47" t="s">
        <v>94</v>
      </c>
      <c r="M262" s="10">
        <f t="shared" si="152"/>
        <v>0</v>
      </c>
      <c r="N262" s="11">
        <f t="shared" si="153"/>
        <v>0</v>
      </c>
      <c r="O262" s="12">
        <f>IF(E262="HERRAJE",IFERROR(_xlfn.XLOOKUP(D262,'⚙️ Configuración Costos'!$A$11:$A$20,'⚙️ Configuración Costos'!$B$11:$B$20),""),IFERROR(_xlfn.XLOOKUP(E262,'⚙️ Configuración Costos'!$A$5:$A$6,'⚙️ Configuración Costos'!$B$5:$B$6),""))</f>
        <v>15</v>
      </c>
      <c r="P262" s="12">
        <f t="shared" si="154"/>
        <v>15</v>
      </c>
      <c r="Q262" s="12">
        <f>IF(E262="HERRAJE",0,IFERROR(_xlfn.XLOOKUP(E262,'⚙️ Configuración Costos'!$E$5:$E$6,'⚙️ Configuración Costos'!$F$5:$F$6),""))</f>
        <v>0</v>
      </c>
      <c r="R262" s="12">
        <f t="shared" si="155"/>
        <v>0</v>
      </c>
      <c r="S262" s="38">
        <f t="shared" si="156"/>
        <v>15</v>
      </c>
      <c r="T262" s="94" t="str">
        <f t="shared" si="157"/>
        <v>OK</v>
      </c>
      <c r="U262" s="95" t="str">
        <f t="shared" si="158"/>
        <v/>
      </c>
      <c r="V262" s="96">
        <f t="shared" si="159"/>
        <v>0</v>
      </c>
    </row>
    <row r="263" spans="1:22" x14ac:dyDescent="0.2">
      <c r="A263" s="35">
        <v>4</v>
      </c>
      <c r="B263" s="6">
        <v>0</v>
      </c>
      <c r="C263" s="6">
        <v>0</v>
      </c>
      <c r="D263" s="7" t="s">
        <v>186</v>
      </c>
      <c r="E263" s="7" t="s">
        <v>91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16" t="s">
        <v>20</v>
      </c>
      <c r="L263" s="47" t="s">
        <v>187</v>
      </c>
      <c r="M263" s="10">
        <f t="shared" si="152"/>
        <v>0</v>
      </c>
      <c r="N263" s="11">
        <f t="shared" si="153"/>
        <v>0</v>
      </c>
      <c r="O263" s="12">
        <f>IF(E263="HERRAJE",IFERROR(_xlfn.XLOOKUP(D263,'⚙️ Configuración Costos'!$A$11:$A$20,'⚙️ Configuración Costos'!$B$11:$B$20),""),IFERROR(_xlfn.XLOOKUP(E263,'⚙️ Configuración Costos'!$A$5:$A$6,'⚙️ Configuración Costos'!$B$5:$B$6),""))</f>
        <v>15</v>
      </c>
      <c r="P263" s="12">
        <f t="shared" si="154"/>
        <v>60</v>
      </c>
      <c r="Q263" s="12">
        <f>IF(E263="HERRAJE",0,IFERROR(_xlfn.XLOOKUP(E263,'⚙️ Configuración Costos'!$E$5:$E$6,'⚙️ Configuración Costos'!$F$5:$F$6),""))</f>
        <v>0</v>
      </c>
      <c r="R263" s="12">
        <f t="shared" si="155"/>
        <v>0</v>
      </c>
      <c r="S263" s="38">
        <f t="shared" si="156"/>
        <v>60</v>
      </c>
      <c r="T263" s="94" t="str">
        <f t="shared" si="157"/>
        <v>OK</v>
      </c>
      <c r="U263" s="95" t="str">
        <f t="shared" si="158"/>
        <v/>
      </c>
      <c r="V263" s="96">
        <f t="shared" si="159"/>
        <v>0</v>
      </c>
    </row>
    <row r="264" spans="1:22" x14ac:dyDescent="0.2">
      <c r="A264" s="35">
        <v>4</v>
      </c>
      <c r="B264" s="6">
        <v>0</v>
      </c>
      <c r="C264" s="6">
        <v>0</v>
      </c>
      <c r="D264" s="7" t="s">
        <v>95</v>
      </c>
      <c r="E264" s="7" t="s">
        <v>91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16" t="s">
        <v>20</v>
      </c>
      <c r="L264" s="47" t="s">
        <v>96</v>
      </c>
      <c r="M264" s="10">
        <f t="shared" si="152"/>
        <v>0</v>
      </c>
      <c r="N264" s="11">
        <f t="shared" si="153"/>
        <v>0</v>
      </c>
      <c r="O264" s="12">
        <f>IF(E264="HERRAJE",IFERROR(_xlfn.XLOOKUP(D264,'⚙️ Configuración Costos'!$A$11:$A$20,'⚙️ Configuración Costos'!$B$11:$B$20),""),IFERROR(_xlfn.XLOOKUP(E264,'⚙️ Configuración Costos'!$A$5:$A$6,'⚙️ Configuración Costos'!$B$5:$B$6),""))</f>
        <v>2</v>
      </c>
      <c r="P264" s="12">
        <f t="shared" si="154"/>
        <v>8</v>
      </c>
      <c r="Q264" s="12">
        <f>IF(E264="HERRAJE",0,IFERROR(_xlfn.XLOOKUP(E264,'⚙️ Configuración Costos'!$E$5:$E$6,'⚙️ Configuración Costos'!$F$5:$F$6),""))</f>
        <v>0</v>
      </c>
      <c r="R264" s="12">
        <f t="shared" si="155"/>
        <v>0</v>
      </c>
      <c r="S264" s="38">
        <f t="shared" si="156"/>
        <v>8</v>
      </c>
      <c r="T264" s="94" t="str">
        <f t="shared" si="157"/>
        <v>OK</v>
      </c>
      <c r="U264" s="95" t="str">
        <f t="shared" si="158"/>
        <v/>
      </c>
      <c r="V264" s="96">
        <f t="shared" si="159"/>
        <v>0</v>
      </c>
    </row>
    <row r="265" spans="1:22" ht="16" thickBot="1" x14ac:dyDescent="0.25">
      <c r="A265" s="36">
        <v>24</v>
      </c>
      <c r="B265" s="20">
        <v>0</v>
      </c>
      <c r="C265" s="20">
        <v>0</v>
      </c>
      <c r="D265" s="21" t="s">
        <v>97</v>
      </c>
      <c r="E265" s="21" t="s">
        <v>91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16" t="s">
        <v>20</v>
      </c>
      <c r="L265" s="48" t="s">
        <v>98</v>
      </c>
      <c r="M265" s="24">
        <f t="shared" si="152"/>
        <v>0</v>
      </c>
      <c r="N265" s="25">
        <f t="shared" si="153"/>
        <v>0</v>
      </c>
      <c r="O265" s="26">
        <f>IF(E265="HERRAJE",IFERROR(_xlfn.XLOOKUP(D265,'⚙️ Configuración Costos'!$A$11:$A$20,'⚙️ Configuración Costos'!$B$11:$B$20),""),IFERROR(_xlfn.XLOOKUP(E265,'⚙️ Configuración Costos'!$A$5:$A$6,'⚙️ Configuración Costos'!$B$5:$B$6),""))</f>
        <v>1.5</v>
      </c>
      <c r="P265" s="26">
        <f t="shared" si="154"/>
        <v>36</v>
      </c>
      <c r="Q265" s="26">
        <f>IF(E265="HERRAJE",0,IFERROR(_xlfn.XLOOKUP(E265,'⚙️ Configuración Costos'!$E$5:$E$6,'⚙️ Configuración Costos'!$F$5:$F$6),""))</f>
        <v>0</v>
      </c>
      <c r="R265" s="26">
        <f t="shared" si="155"/>
        <v>0</v>
      </c>
      <c r="S265" s="39">
        <f t="shared" si="156"/>
        <v>36</v>
      </c>
      <c r="T265" s="94" t="str">
        <f t="shared" si="157"/>
        <v>OK</v>
      </c>
      <c r="U265" s="95" t="str">
        <f t="shared" si="158"/>
        <v/>
      </c>
      <c r="V265" s="96">
        <f t="shared" si="159"/>
        <v>0</v>
      </c>
    </row>
    <row r="266" spans="1:22" ht="16" thickTop="1" x14ac:dyDescent="0.2">
      <c r="A266" s="27" t="s">
        <v>99</v>
      </c>
      <c r="B266" s="27"/>
      <c r="C266" s="27"/>
      <c r="D266" s="28"/>
      <c r="E266" s="28"/>
      <c r="F266" s="29"/>
      <c r="G266" s="29"/>
      <c r="H266" s="29"/>
      <c r="I266" s="29"/>
      <c r="J266" s="29"/>
      <c r="K266" s="30"/>
      <c r="L266" s="49" t="s">
        <v>188</v>
      </c>
      <c r="M266" s="31">
        <f>SUM(M253:M265)</f>
        <v>2.4006799999999999</v>
      </c>
      <c r="N266" s="32">
        <f>SUM(N253:N265)</f>
        <v>11.832999999999998</v>
      </c>
      <c r="O266" s="33"/>
      <c r="P266" s="33">
        <f>SUM(P253:P265)</f>
        <v>774.59815538360658</v>
      </c>
      <c r="Q266" s="33"/>
      <c r="R266" s="33">
        <f>SUM(R253:R265)</f>
        <v>80.195999999999998</v>
      </c>
      <c r="S266" s="33">
        <f>SUM(S253:S265)</f>
        <v>854.79415538360672</v>
      </c>
      <c r="T266" s="97"/>
      <c r="U266" s="98"/>
      <c r="V266" s="99"/>
    </row>
    <row r="267" spans="1:22" x14ac:dyDescent="0.2">
      <c r="A267" s="186" t="s">
        <v>217</v>
      </c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8"/>
      <c r="T267" s="97"/>
      <c r="U267" s="98"/>
      <c r="V267" s="99"/>
    </row>
    <row r="268" spans="1:22" x14ac:dyDescent="0.2">
      <c r="A268" s="35">
        <v>1</v>
      </c>
      <c r="B268" s="6">
        <v>720</v>
      </c>
      <c r="C268" s="6">
        <v>580</v>
      </c>
      <c r="D268" s="7" t="s">
        <v>63</v>
      </c>
      <c r="E268" s="7" t="s">
        <v>64</v>
      </c>
      <c r="F268" s="8">
        <v>0</v>
      </c>
      <c r="G268" s="8">
        <v>1</v>
      </c>
      <c r="H268" s="8">
        <v>1</v>
      </c>
      <c r="I268" s="8">
        <v>1</v>
      </c>
      <c r="J268" s="8">
        <v>1</v>
      </c>
      <c r="K268" s="16" t="s">
        <v>21</v>
      </c>
      <c r="L268" s="47" t="s">
        <v>190</v>
      </c>
      <c r="M268" s="10">
        <f t="shared" ref="M268:M281" si="160">IF(AND(ISNUMBER(B268),ISNUMBER(C268),B268&gt;0,C268&gt;0),A268*(B268*C268/1000000),0)</f>
        <v>0.41760000000000003</v>
      </c>
      <c r="N268" s="11">
        <f t="shared" ref="N268:N281" si="161">IF(AND(ISNUMBER(B268),B268&gt;0),A268*(((G268+H268)*B268+(I268+J268)*C268)/1000),0)</f>
        <v>2.6</v>
      </c>
      <c r="O268" s="12">
        <f>IF(E268="HERRAJE",IFERROR(_xlfn.XLOOKUP(D268,'⚙️ Configuración Costos'!$A$11:$A$20,'⚙️ Configuración Costos'!$B$11:$B$20),""),IFERROR(_xlfn.XLOOKUP(E268,'⚙️ Configuración Costos'!$A$5:$A$6,'⚙️ Configuración Costos'!$B$5:$B$6),""))</f>
        <v>239.8426229508197</v>
      </c>
      <c r="P268" s="12">
        <f t="shared" ref="P268:P281" si="162">IF(E268="HERRAJE",A268*O268,M268*O268)</f>
        <v>100.15827934426231</v>
      </c>
      <c r="Q268" s="12">
        <f>IF(E268="HERRAJE",0,IFERROR(_xlfn.XLOOKUP(E268,'⚙️ Configuración Costos'!$E$5:$E$6,'⚙️ Configuración Costos'!$F$5:$F$6),""))</f>
        <v>6</v>
      </c>
      <c r="R268" s="12">
        <f t="shared" ref="R268:R281" si="163">N268*Q268</f>
        <v>15.600000000000001</v>
      </c>
      <c r="S268" s="38">
        <f t="shared" ref="S268:S281" si="164">P268+R268</f>
        <v>115.75827934426232</v>
      </c>
      <c r="T268" s="94" t="str">
        <f t="shared" ref="T268:T281" si="165">IF(K268="","SIN ID MÓDULO",IF(E268="HERRAJE",IF(OR(O268="",O268&lt;=0),"SIN PRECIO HERRAJE","OK"),IF(OR(O268="",O268&lt;=0),"SIN PRECIO MATERIAL",IF(AND(N268&gt;0,OR(Q268="",Q268&lt;=0)),"SIN PRECIO CINTILLA","OK"))))</f>
        <v>OK</v>
      </c>
      <c r="U268" s="95" t="str">
        <f t="shared" ref="U268:U281" si="166">IF(T268="OK","",IF(T268="SIN PRECIO HERRAJE","Capturar precio: "&amp;D268,IF(T268="SIN PRECIO MATERIAL","Configurar material: "&amp;E268,IF(T268="SIN PRECIO CINTILLA","Configurar cintilla: "&amp;E268,IF(T268="SIN ID MÓDULO","Revisar ID del módulo","")))))</f>
        <v/>
      </c>
      <c r="V268" s="96">
        <f t="shared" ref="V268:V281" si="167">IF(T268="OK",0,IF(T268="",0,1))</f>
        <v>0</v>
      </c>
    </row>
    <row r="269" spans="1:22" x14ac:dyDescent="0.2">
      <c r="A269" s="35">
        <v>1</v>
      </c>
      <c r="B269" s="6">
        <v>720</v>
      </c>
      <c r="C269" s="6">
        <v>580</v>
      </c>
      <c r="D269" s="7" t="s">
        <v>66</v>
      </c>
      <c r="E269" s="7" t="s">
        <v>64</v>
      </c>
      <c r="F269" s="8">
        <v>0</v>
      </c>
      <c r="G269" s="8">
        <v>1</v>
      </c>
      <c r="H269" s="8">
        <v>1</v>
      </c>
      <c r="I269" s="8">
        <v>1</v>
      </c>
      <c r="J269" s="8">
        <v>1</v>
      </c>
      <c r="K269" s="16" t="s">
        <v>21</v>
      </c>
      <c r="L269" s="47" t="s">
        <v>191</v>
      </c>
      <c r="M269" s="10">
        <f t="shared" si="160"/>
        <v>0.41760000000000003</v>
      </c>
      <c r="N269" s="11">
        <f t="shared" si="161"/>
        <v>2.6</v>
      </c>
      <c r="O269" s="12">
        <f>IF(E269="HERRAJE",IFERROR(_xlfn.XLOOKUP(D269,'⚙️ Configuración Costos'!$A$11:$A$20,'⚙️ Configuración Costos'!$B$11:$B$20),""),IFERROR(_xlfn.XLOOKUP(E269,'⚙️ Configuración Costos'!$A$5:$A$6,'⚙️ Configuración Costos'!$B$5:$B$6),""))</f>
        <v>239.8426229508197</v>
      </c>
      <c r="P269" s="12">
        <f t="shared" si="162"/>
        <v>100.15827934426231</v>
      </c>
      <c r="Q269" s="12">
        <f>IF(E269="HERRAJE",0,IFERROR(_xlfn.XLOOKUP(E269,'⚙️ Configuración Costos'!$E$5:$E$6,'⚙️ Configuración Costos'!$F$5:$F$6),""))</f>
        <v>6</v>
      </c>
      <c r="R269" s="12">
        <f t="shared" si="163"/>
        <v>15.600000000000001</v>
      </c>
      <c r="S269" s="38">
        <f t="shared" si="164"/>
        <v>115.75827934426232</v>
      </c>
      <c r="T269" s="94" t="str">
        <f t="shared" si="165"/>
        <v>OK</v>
      </c>
      <c r="U269" s="95" t="str">
        <f t="shared" si="166"/>
        <v/>
      </c>
      <c r="V269" s="96">
        <f t="shared" si="167"/>
        <v>0</v>
      </c>
    </row>
    <row r="270" spans="1:22" x14ac:dyDescent="0.2">
      <c r="A270" s="35">
        <v>1</v>
      </c>
      <c r="B270" s="6">
        <v>689</v>
      </c>
      <c r="C270" s="6">
        <v>669</v>
      </c>
      <c r="D270" s="7" t="s">
        <v>169</v>
      </c>
      <c r="E270" s="7" t="s">
        <v>64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16" t="s">
        <v>21</v>
      </c>
      <c r="L270" s="47" t="s">
        <v>218</v>
      </c>
      <c r="M270" s="10">
        <f t="shared" si="160"/>
        <v>0.46094099999999999</v>
      </c>
      <c r="N270" s="11">
        <f t="shared" si="161"/>
        <v>0</v>
      </c>
      <c r="O270" s="12">
        <f>IF(E270="HERRAJE",IFERROR(_xlfn.XLOOKUP(D270,'⚙️ Configuración Costos'!$A$11:$A$20,'⚙️ Configuración Costos'!$B$11:$B$20),""),IFERROR(_xlfn.XLOOKUP(E270,'⚙️ Configuración Costos'!$A$5:$A$6,'⚙️ Configuración Costos'!$B$5:$B$6),""))</f>
        <v>239.8426229508197</v>
      </c>
      <c r="P270" s="12">
        <f t="shared" si="162"/>
        <v>110.55329846557377</v>
      </c>
      <c r="Q270" s="12">
        <f>IF(E270="HERRAJE",0,IFERROR(_xlfn.XLOOKUP(E270,'⚙️ Configuración Costos'!$E$5:$E$6,'⚙️ Configuración Costos'!$F$5:$F$6),""))</f>
        <v>6</v>
      </c>
      <c r="R270" s="12">
        <f t="shared" si="163"/>
        <v>0</v>
      </c>
      <c r="S270" s="38">
        <f t="shared" si="164"/>
        <v>110.55329846557377</v>
      </c>
      <c r="T270" s="94" t="str">
        <f t="shared" si="165"/>
        <v>OK</v>
      </c>
      <c r="U270" s="95" t="str">
        <f t="shared" si="166"/>
        <v/>
      </c>
      <c r="V270" s="96">
        <f t="shared" si="167"/>
        <v>0</v>
      </c>
    </row>
    <row r="271" spans="1:22" x14ac:dyDescent="0.2">
      <c r="A271" s="34">
        <v>1</v>
      </c>
      <c r="B271" s="13">
        <v>669</v>
      </c>
      <c r="C271" s="13">
        <v>580</v>
      </c>
      <c r="D271" s="14" t="s">
        <v>171</v>
      </c>
      <c r="E271" s="14" t="s">
        <v>64</v>
      </c>
      <c r="F271" s="15">
        <v>0</v>
      </c>
      <c r="G271" s="15">
        <v>1</v>
      </c>
      <c r="H271" s="15">
        <v>1</v>
      </c>
      <c r="I271" s="15">
        <v>0</v>
      </c>
      <c r="J271" s="15">
        <v>0</v>
      </c>
      <c r="K271" s="16" t="s">
        <v>21</v>
      </c>
      <c r="L271" s="46" t="s">
        <v>219</v>
      </c>
      <c r="M271" s="17">
        <f t="shared" si="160"/>
        <v>0.38801999999999998</v>
      </c>
      <c r="N271" s="18">
        <f t="shared" si="161"/>
        <v>1.3380000000000001</v>
      </c>
      <c r="O271" s="19">
        <f>IF(E271="HERRAJE",IFERROR(_xlfn.XLOOKUP(D271,'⚙️ Configuración Costos'!$A$11:$A$20,'⚙️ Configuración Costos'!$B$11:$B$20),""),IFERROR(_xlfn.XLOOKUP(E271,'⚙️ Configuración Costos'!$A$5:$A$6,'⚙️ Configuración Costos'!$B$5:$B$6),""))</f>
        <v>239.8426229508197</v>
      </c>
      <c r="P271" s="19">
        <f t="shared" si="162"/>
        <v>93.06373455737706</v>
      </c>
      <c r="Q271" s="19">
        <f>IF(E271="HERRAJE",0,IFERROR(_xlfn.XLOOKUP(E271,'⚙️ Configuración Costos'!$E$5:$E$6,'⚙️ Configuración Costos'!$F$5:$F$6),""))</f>
        <v>6</v>
      </c>
      <c r="R271" s="19">
        <f t="shared" si="163"/>
        <v>8.0280000000000005</v>
      </c>
      <c r="S271" s="37">
        <f t="shared" si="164"/>
        <v>101.09173455737707</v>
      </c>
      <c r="T271" s="94" t="str">
        <f t="shared" si="165"/>
        <v>OK</v>
      </c>
      <c r="U271" s="95" t="str">
        <f t="shared" si="166"/>
        <v/>
      </c>
      <c r="V271" s="96">
        <f t="shared" si="167"/>
        <v>0</v>
      </c>
    </row>
    <row r="272" spans="1:22" x14ac:dyDescent="0.2">
      <c r="A272" s="35">
        <v>1</v>
      </c>
      <c r="B272" s="6">
        <v>669</v>
      </c>
      <c r="C272" s="6">
        <v>120</v>
      </c>
      <c r="D272" s="7" t="s">
        <v>194</v>
      </c>
      <c r="E272" s="7" t="s">
        <v>64</v>
      </c>
      <c r="F272" s="8">
        <v>0</v>
      </c>
      <c r="G272" s="8">
        <v>1</v>
      </c>
      <c r="H272" s="8">
        <v>1</v>
      </c>
      <c r="I272" s="8">
        <v>0</v>
      </c>
      <c r="J272" s="8">
        <v>0</v>
      </c>
      <c r="K272" s="16" t="s">
        <v>21</v>
      </c>
      <c r="L272" s="47" t="s">
        <v>220</v>
      </c>
      <c r="M272" s="10">
        <f t="shared" si="160"/>
        <v>8.0280000000000004E-2</v>
      </c>
      <c r="N272" s="11">
        <f t="shared" si="161"/>
        <v>1.3380000000000001</v>
      </c>
      <c r="O272" s="12">
        <f>IF(E272="HERRAJE",IFERROR(_xlfn.XLOOKUP(D272,'⚙️ Configuración Costos'!$A$11:$A$20,'⚙️ Configuración Costos'!$B$11:$B$20),""),IFERROR(_xlfn.XLOOKUP(E272,'⚙️ Configuración Costos'!$A$5:$A$6,'⚙️ Configuración Costos'!$B$5:$B$6),""))</f>
        <v>239.8426229508197</v>
      </c>
      <c r="P272" s="12">
        <f t="shared" si="162"/>
        <v>19.254565770491805</v>
      </c>
      <c r="Q272" s="12">
        <f>IF(E272="HERRAJE",0,IFERROR(_xlfn.XLOOKUP(E272,'⚙️ Configuración Costos'!$E$5:$E$6,'⚙️ Configuración Costos'!$F$5:$F$6),""))</f>
        <v>6</v>
      </c>
      <c r="R272" s="12">
        <f t="shared" si="163"/>
        <v>8.0280000000000005</v>
      </c>
      <c r="S272" s="38">
        <f t="shared" si="164"/>
        <v>27.282565770491807</v>
      </c>
      <c r="T272" s="94" t="str">
        <f t="shared" si="165"/>
        <v>OK</v>
      </c>
      <c r="U272" s="95" t="str">
        <f t="shared" si="166"/>
        <v/>
      </c>
      <c r="V272" s="96">
        <f t="shared" si="167"/>
        <v>0</v>
      </c>
    </row>
    <row r="273" spans="1:22" x14ac:dyDescent="0.2">
      <c r="A273" s="35">
        <v>1</v>
      </c>
      <c r="B273" s="6">
        <v>669</v>
      </c>
      <c r="C273" s="6">
        <v>120</v>
      </c>
      <c r="D273" s="7" t="s">
        <v>194</v>
      </c>
      <c r="E273" s="7" t="s">
        <v>64</v>
      </c>
      <c r="F273" s="8">
        <v>0</v>
      </c>
      <c r="G273" s="8">
        <v>1</v>
      </c>
      <c r="H273" s="8">
        <v>1</v>
      </c>
      <c r="I273" s="8">
        <v>0</v>
      </c>
      <c r="J273" s="8">
        <v>0</v>
      </c>
      <c r="K273" s="16" t="s">
        <v>21</v>
      </c>
      <c r="L273" s="47" t="s">
        <v>220</v>
      </c>
      <c r="M273" s="10">
        <f t="shared" si="160"/>
        <v>8.0280000000000004E-2</v>
      </c>
      <c r="N273" s="11">
        <f t="shared" si="161"/>
        <v>1.3380000000000001</v>
      </c>
      <c r="O273" s="12">
        <f>IF(E273="HERRAJE",IFERROR(_xlfn.XLOOKUP(D273,'⚙️ Configuración Costos'!$A$11:$A$20,'⚙️ Configuración Costos'!$B$11:$B$20),""),IFERROR(_xlfn.XLOOKUP(E273,'⚙️ Configuración Costos'!$A$5:$A$6,'⚙️ Configuración Costos'!$B$5:$B$6),""))</f>
        <v>239.8426229508197</v>
      </c>
      <c r="P273" s="12">
        <f t="shared" si="162"/>
        <v>19.254565770491805</v>
      </c>
      <c r="Q273" s="12">
        <f>IF(E273="HERRAJE",0,IFERROR(_xlfn.XLOOKUP(E273,'⚙️ Configuración Costos'!$E$5:$E$6,'⚙️ Configuración Costos'!$F$5:$F$6),""))</f>
        <v>6</v>
      </c>
      <c r="R273" s="12">
        <f t="shared" si="163"/>
        <v>8.0280000000000005</v>
      </c>
      <c r="S273" s="38">
        <f t="shared" si="164"/>
        <v>27.282565770491807</v>
      </c>
      <c r="T273" s="94" t="str">
        <f t="shared" si="165"/>
        <v>OK</v>
      </c>
      <c r="U273" s="95" t="str">
        <f t="shared" si="166"/>
        <v/>
      </c>
      <c r="V273" s="96">
        <f t="shared" si="167"/>
        <v>0</v>
      </c>
    </row>
    <row r="274" spans="1:22" x14ac:dyDescent="0.2">
      <c r="A274" s="35">
        <v>1</v>
      </c>
      <c r="B274" s="6">
        <v>669</v>
      </c>
      <c r="C274" s="6">
        <v>490</v>
      </c>
      <c r="D274" s="7" t="s">
        <v>179</v>
      </c>
      <c r="E274" s="7" t="s">
        <v>64</v>
      </c>
      <c r="F274" s="8">
        <v>0</v>
      </c>
      <c r="G274" s="8">
        <v>1</v>
      </c>
      <c r="H274" s="8">
        <v>0</v>
      </c>
      <c r="I274" s="8">
        <v>0</v>
      </c>
      <c r="J274" s="8">
        <v>0</v>
      </c>
      <c r="K274" s="16" t="s">
        <v>21</v>
      </c>
      <c r="L274" s="47" t="s">
        <v>221</v>
      </c>
      <c r="M274" s="10">
        <f t="shared" si="160"/>
        <v>0.32780999999999999</v>
      </c>
      <c r="N274" s="11">
        <f t="shared" si="161"/>
        <v>0.66900000000000004</v>
      </c>
      <c r="O274" s="12">
        <f>IF(E274="HERRAJE",IFERROR(_xlfn.XLOOKUP(D274,'⚙️ Configuración Costos'!$A$11:$A$20,'⚙️ Configuración Costos'!$B$11:$B$20),""),IFERROR(_xlfn.XLOOKUP(E274,'⚙️ Configuración Costos'!$A$5:$A$6,'⚙️ Configuración Costos'!$B$5:$B$6),""))</f>
        <v>239.8426229508197</v>
      </c>
      <c r="P274" s="12">
        <f t="shared" si="162"/>
        <v>78.622810229508204</v>
      </c>
      <c r="Q274" s="12">
        <f>IF(E274="HERRAJE",0,IFERROR(_xlfn.XLOOKUP(E274,'⚙️ Configuración Costos'!$E$5:$E$6,'⚙️ Configuración Costos'!$F$5:$F$6),""))</f>
        <v>6</v>
      </c>
      <c r="R274" s="12">
        <f t="shared" si="163"/>
        <v>4.0140000000000002</v>
      </c>
      <c r="S274" s="38">
        <f t="shared" si="164"/>
        <v>82.6368102295082</v>
      </c>
      <c r="T274" s="94" t="str">
        <f t="shared" si="165"/>
        <v>OK</v>
      </c>
      <c r="U274" s="95" t="str">
        <f t="shared" si="166"/>
        <v/>
      </c>
      <c r="V274" s="96">
        <f t="shared" si="167"/>
        <v>0</v>
      </c>
    </row>
    <row r="275" spans="1:22" x14ac:dyDescent="0.2">
      <c r="A275" s="35">
        <v>1</v>
      </c>
      <c r="B275" s="6">
        <v>717</v>
      </c>
      <c r="C275" s="6">
        <v>347</v>
      </c>
      <c r="D275" s="7" t="s">
        <v>181</v>
      </c>
      <c r="E275" s="7" t="s">
        <v>85</v>
      </c>
      <c r="F275" s="8">
        <v>1</v>
      </c>
      <c r="G275" s="8">
        <v>1</v>
      </c>
      <c r="H275" s="8">
        <v>1</v>
      </c>
      <c r="I275" s="8">
        <v>1</v>
      </c>
      <c r="J275" s="8">
        <v>1</v>
      </c>
      <c r="K275" s="16" t="s">
        <v>21</v>
      </c>
      <c r="L275" s="47" t="s">
        <v>222</v>
      </c>
      <c r="M275" s="10">
        <f t="shared" si="160"/>
        <v>0.24879899999999999</v>
      </c>
      <c r="N275" s="11">
        <f t="shared" si="161"/>
        <v>2.1280000000000001</v>
      </c>
      <c r="O275" s="12">
        <f>IF(E275="HERRAJE",IFERROR(_xlfn.XLOOKUP(D275,'⚙️ Configuración Costos'!$A$11:$A$20,'⚙️ Configuración Costos'!$B$11:$B$20),""),IFERROR(_xlfn.XLOOKUP(E275,'⚙️ Configuración Costos'!$A$5:$A$6,'⚙️ Configuración Costos'!$B$5:$B$6),""))</f>
        <v>332.85245901639348</v>
      </c>
      <c r="P275" s="12">
        <f t="shared" si="162"/>
        <v>82.813358950819676</v>
      </c>
      <c r="Q275" s="12">
        <f>IF(E275="HERRAJE",0,IFERROR(_xlfn.XLOOKUP(E275,'⚙️ Configuración Costos'!$E$5:$E$6,'⚙️ Configuración Costos'!$F$5:$F$6),""))</f>
        <v>9.5</v>
      </c>
      <c r="R275" s="12">
        <f t="shared" si="163"/>
        <v>20.216000000000001</v>
      </c>
      <c r="S275" s="38">
        <f t="shared" si="164"/>
        <v>103.02935895081967</v>
      </c>
      <c r="T275" s="94" t="str">
        <f t="shared" si="165"/>
        <v>OK</v>
      </c>
      <c r="U275" s="95" t="str">
        <f t="shared" si="166"/>
        <v/>
      </c>
      <c r="V275" s="96">
        <f t="shared" si="167"/>
        <v>0</v>
      </c>
    </row>
    <row r="276" spans="1:22" x14ac:dyDescent="0.2">
      <c r="A276" s="35">
        <v>1</v>
      </c>
      <c r="B276" s="6">
        <v>717</v>
      </c>
      <c r="C276" s="6">
        <v>347</v>
      </c>
      <c r="D276" s="7" t="s">
        <v>223</v>
      </c>
      <c r="E276" s="7" t="s">
        <v>85</v>
      </c>
      <c r="F276" s="8">
        <v>1</v>
      </c>
      <c r="G276" s="8">
        <v>1</v>
      </c>
      <c r="H276" s="8">
        <v>1</v>
      </c>
      <c r="I276" s="8">
        <v>1</v>
      </c>
      <c r="J276" s="8">
        <v>1</v>
      </c>
      <c r="K276" s="16" t="s">
        <v>21</v>
      </c>
      <c r="L276" s="47" t="s">
        <v>224</v>
      </c>
      <c r="M276" s="10">
        <f t="shared" si="160"/>
        <v>0.24879899999999999</v>
      </c>
      <c r="N276" s="11">
        <f t="shared" si="161"/>
        <v>2.1280000000000001</v>
      </c>
      <c r="O276" s="12">
        <f>IF(E276="HERRAJE",IFERROR(_xlfn.XLOOKUP(D276,'⚙️ Configuración Costos'!$A$11:$A$20,'⚙️ Configuración Costos'!$B$11:$B$20),""),IFERROR(_xlfn.XLOOKUP(E276,'⚙️ Configuración Costos'!$A$5:$A$6,'⚙️ Configuración Costos'!$B$5:$B$6),""))</f>
        <v>332.85245901639348</v>
      </c>
      <c r="P276" s="12">
        <f t="shared" si="162"/>
        <v>82.813358950819676</v>
      </c>
      <c r="Q276" s="12">
        <f>IF(E276="HERRAJE",0,IFERROR(_xlfn.XLOOKUP(E276,'⚙️ Configuración Costos'!$E$5:$E$6,'⚙️ Configuración Costos'!$F$5:$F$6),""))</f>
        <v>9.5</v>
      </c>
      <c r="R276" s="12">
        <f t="shared" si="163"/>
        <v>20.216000000000001</v>
      </c>
      <c r="S276" s="38">
        <f t="shared" si="164"/>
        <v>103.02935895081967</v>
      </c>
      <c r="T276" s="94" t="str">
        <f t="shared" si="165"/>
        <v>OK</v>
      </c>
      <c r="U276" s="95" t="str">
        <f t="shared" si="166"/>
        <v/>
      </c>
      <c r="V276" s="96">
        <f t="shared" si="167"/>
        <v>0</v>
      </c>
    </row>
    <row r="277" spans="1:22" x14ac:dyDescent="0.2">
      <c r="A277" s="35">
        <v>4</v>
      </c>
      <c r="B277" s="6">
        <v>0</v>
      </c>
      <c r="C277" s="6">
        <v>0</v>
      </c>
      <c r="D277" s="7" t="s">
        <v>90</v>
      </c>
      <c r="E277" s="7" t="s">
        <v>91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16" t="s">
        <v>21</v>
      </c>
      <c r="L277" s="47" t="s">
        <v>92</v>
      </c>
      <c r="M277" s="10">
        <f t="shared" si="160"/>
        <v>0</v>
      </c>
      <c r="N277" s="11">
        <f t="shared" si="161"/>
        <v>0</v>
      </c>
      <c r="O277" s="12">
        <f>IF(E277="HERRAJE",IFERROR(_xlfn.XLOOKUP(D277,'⚙️ Configuración Costos'!$A$11:$A$20,'⚙️ Configuración Costos'!$B$11:$B$20),""),IFERROR(_xlfn.XLOOKUP(E277,'⚙️ Configuración Costos'!$A$5:$A$6,'⚙️ Configuración Costos'!$B$5:$B$6),""))</f>
        <v>20</v>
      </c>
      <c r="P277" s="12">
        <f t="shared" si="162"/>
        <v>80</v>
      </c>
      <c r="Q277" s="12">
        <f>IF(E277="HERRAJE",0,IFERROR(_xlfn.XLOOKUP(E277,'⚙️ Configuración Costos'!$E$5:$E$6,'⚙️ Configuración Costos'!$F$5:$F$6),""))</f>
        <v>0</v>
      </c>
      <c r="R277" s="12">
        <f t="shared" si="163"/>
        <v>0</v>
      </c>
      <c r="S277" s="38">
        <f t="shared" si="164"/>
        <v>80</v>
      </c>
      <c r="T277" s="94" t="str">
        <f t="shared" si="165"/>
        <v>OK</v>
      </c>
      <c r="U277" s="95" t="str">
        <f t="shared" si="166"/>
        <v/>
      </c>
      <c r="V277" s="96">
        <f t="shared" si="167"/>
        <v>0</v>
      </c>
    </row>
    <row r="278" spans="1:22" x14ac:dyDescent="0.2">
      <c r="A278" s="35">
        <v>2</v>
      </c>
      <c r="B278" s="6">
        <v>0</v>
      </c>
      <c r="C278" s="6">
        <v>0</v>
      </c>
      <c r="D278" s="7" t="s">
        <v>93</v>
      </c>
      <c r="E278" s="7" t="s">
        <v>91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16" t="s">
        <v>21</v>
      </c>
      <c r="L278" s="47" t="s">
        <v>94</v>
      </c>
      <c r="M278" s="10">
        <f t="shared" si="160"/>
        <v>0</v>
      </c>
      <c r="N278" s="11">
        <f t="shared" si="161"/>
        <v>0</v>
      </c>
      <c r="O278" s="12">
        <f>IF(E278="HERRAJE",IFERROR(_xlfn.XLOOKUP(D278,'⚙️ Configuración Costos'!$A$11:$A$20,'⚙️ Configuración Costos'!$B$11:$B$20),""),IFERROR(_xlfn.XLOOKUP(E278,'⚙️ Configuración Costos'!$A$5:$A$6,'⚙️ Configuración Costos'!$B$5:$B$6),""))</f>
        <v>15</v>
      </c>
      <c r="P278" s="12">
        <f t="shared" si="162"/>
        <v>30</v>
      </c>
      <c r="Q278" s="12">
        <f>IF(E278="HERRAJE",0,IFERROR(_xlfn.XLOOKUP(E278,'⚙️ Configuración Costos'!$E$5:$E$6,'⚙️ Configuración Costos'!$F$5:$F$6),""))</f>
        <v>0</v>
      </c>
      <c r="R278" s="12">
        <f t="shared" si="163"/>
        <v>0</v>
      </c>
      <c r="S278" s="38">
        <f t="shared" si="164"/>
        <v>30</v>
      </c>
      <c r="T278" s="94" t="str">
        <f t="shared" si="165"/>
        <v>OK</v>
      </c>
      <c r="U278" s="95" t="str">
        <f t="shared" si="166"/>
        <v/>
      </c>
      <c r="V278" s="96">
        <f t="shared" si="167"/>
        <v>0</v>
      </c>
    </row>
    <row r="279" spans="1:22" x14ac:dyDescent="0.2">
      <c r="A279" s="35">
        <v>4</v>
      </c>
      <c r="B279" s="6">
        <v>0</v>
      </c>
      <c r="C279" s="6">
        <v>0</v>
      </c>
      <c r="D279" s="7" t="s">
        <v>186</v>
      </c>
      <c r="E279" s="7" t="s">
        <v>91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16" t="s">
        <v>21</v>
      </c>
      <c r="L279" s="47" t="s">
        <v>187</v>
      </c>
      <c r="M279" s="10">
        <f t="shared" si="160"/>
        <v>0</v>
      </c>
      <c r="N279" s="11">
        <f t="shared" si="161"/>
        <v>0</v>
      </c>
      <c r="O279" s="12">
        <f>IF(E279="HERRAJE",IFERROR(_xlfn.XLOOKUP(D279,'⚙️ Configuración Costos'!$A$11:$A$20,'⚙️ Configuración Costos'!$B$11:$B$20),""),IFERROR(_xlfn.XLOOKUP(E279,'⚙️ Configuración Costos'!$A$5:$A$6,'⚙️ Configuración Costos'!$B$5:$B$6),""))</f>
        <v>15</v>
      </c>
      <c r="P279" s="12">
        <f t="shared" si="162"/>
        <v>60</v>
      </c>
      <c r="Q279" s="12">
        <f>IF(E279="HERRAJE",0,IFERROR(_xlfn.XLOOKUP(E279,'⚙️ Configuración Costos'!$E$5:$E$6,'⚙️ Configuración Costos'!$F$5:$F$6),""))</f>
        <v>0</v>
      </c>
      <c r="R279" s="12">
        <f t="shared" si="163"/>
        <v>0</v>
      </c>
      <c r="S279" s="38">
        <f t="shared" si="164"/>
        <v>60</v>
      </c>
      <c r="T279" s="94" t="str">
        <f t="shared" si="165"/>
        <v>OK</v>
      </c>
      <c r="U279" s="95" t="str">
        <f t="shared" si="166"/>
        <v/>
      </c>
      <c r="V279" s="96">
        <f t="shared" si="167"/>
        <v>0</v>
      </c>
    </row>
    <row r="280" spans="1:22" x14ac:dyDescent="0.2">
      <c r="A280" s="35">
        <v>4</v>
      </c>
      <c r="B280" s="6">
        <v>0</v>
      </c>
      <c r="C280" s="6">
        <v>0</v>
      </c>
      <c r="D280" s="7" t="s">
        <v>95</v>
      </c>
      <c r="E280" s="7" t="s">
        <v>91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16" t="s">
        <v>21</v>
      </c>
      <c r="L280" s="47" t="s">
        <v>96</v>
      </c>
      <c r="M280" s="10">
        <f t="shared" si="160"/>
        <v>0</v>
      </c>
      <c r="N280" s="11">
        <f t="shared" si="161"/>
        <v>0</v>
      </c>
      <c r="O280" s="12">
        <f>IF(E280="HERRAJE",IFERROR(_xlfn.XLOOKUP(D280,'⚙️ Configuración Costos'!$A$11:$A$20,'⚙️ Configuración Costos'!$B$11:$B$20),""),IFERROR(_xlfn.XLOOKUP(E280,'⚙️ Configuración Costos'!$A$5:$A$6,'⚙️ Configuración Costos'!$B$5:$B$6),""))</f>
        <v>2</v>
      </c>
      <c r="P280" s="12">
        <f t="shared" si="162"/>
        <v>8</v>
      </c>
      <c r="Q280" s="12">
        <f>IF(E280="HERRAJE",0,IFERROR(_xlfn.XLOOKUP(E280,'⚙️ Configuración Costos'!$E$5:$E$6,'⚙️ Configuración Costos'!$F$5:$F$6),""))</f>
        <v>0</v>
      </c>
      <c r="R280" s="12">
        <f t="shared" si="163"/>
        <v>0</v>
      </c>
      <c r="S280" s="38">
        <f t="shared" si="164"/>
        <v>8</v>
      </c>
      <c r="T280" s="94" t="str">
        <f t="shared" si="165"/>
        <v>OK</v>
      </c>
      <c r="U280" s="95" t="str">
        <f t="shared" si="166"/>
        <v/>
      </c>
      <c r="V280" s="96">
        <f t="shared" si="167"/>
        <v>0</v>
      </c>
    </row>
    <row r="281" spans="1:22" ht="16" thickBot="1" x14ac:dyDescent="0.25">
      <c r="A281" s="36">
        <v>40</v>
      </c>
      <c r="B281" s="20">
        <v>0</v>
      </c>
      <c r="C281" s="20">
        <v>0</v>
      </c>
      <c r="D281" s="21" t="s">
        <v>97</v>
      </c>
      <c r="E281" s="21" t="s">
        <v>91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16" t="s">
        <v>21</v>
      </c>
      <c r="L281" s="48" t="s">
        <v>98</v>
      </c>
      <c r="M281" s="24">
        <f t="shared" si="160"/>
        <v>0</v>
      </c>
      <c r="N281" s="25">
        <f t="shared" si="161"/>
        <v>0</v>
      </c>
      <c r="O281" s="26">
        <f>IF(E281="HERRAJE",IFERROR(_xlfn.XLOOKUP(D281,'⚙️ Configuración Costos'!$A$11:$A$20,'⚙️ Configuración Costos'!$B$11:$B$20),""),IFERROR(_xlfn.XLOOKUP(E281,'⚙️ Configuración Costos'!$A$5:$A$6,'⚙️ Configuración Costos'!$B$5:$B$6),""))</f>
        <v>1.5</v>
      </c>
      <c r="P281" s="26">
        <f t="shared" si="162"/>
        <v>60</v>
      </c>
      <c r="Q281" s="26">
        <f>IF(E281="HERRAJE",0,IFERROR(_xlfn.XLOOKUP(E281,'⚙️ Configuración Costos'!$E$5:$E$6,'⚙️ Configuración Costos'!$F$5:$F$6),""))</f>
        <v>0</v>
      </c>
      <c r="R281" s="26">
        <f t="shared" si="163"/>
        <v>0</v>
      </c>
      <c r="S281" s="39">
        <f t="shared" si="164"/>
        <v>60</v>
      </c>
      <c r="T281" s="94" t="str">
        <f t="shared" si="165"/>
        <v>OK</v>
      </c>
      <c r="U281" s="95" t="str">
        <f t="shared" si="166"/>
        <v/>
      </c>
      <c r="V281" s="96">
        <f t="shared" si="167"/>
        <v>0</v>
      </c>
    </row>
    <row r="282" spans="1:22" ht="16" thickTop="1" x14ac:dyDescent="0.2">
      <c r="A282" s="27" t="s">
        <v>99</v>
      </c>
      <c r="B282" s="27"/>
      <c r="C282" s="27"/>
      <c r="D282" s="28"/>
      <c r="E282" s="28"/>
      <c r="F282" s="29"/>
      <c r="G282" s="29"/>
      <c r="H282" s="29"/>
      <c r="I282" s="29"/>
      <c r="J282" s="29"/>
      <c r="K282" s="30"/>
      <c r="L282" s="49" t="s">
        <v>188</v>
      </c>
      <c r="M282" s="31">
        <f>SUM(M268:M281)</f>
        <v>2.6701289999999998</v>
      </c>
      <c r="N282" s="32">
        <f>SUM(N268:N281)</f>
        <v>14.139000000000001</v>
      </c>
      <c r="O282" s="33"/>
      <c r="P282" s="33">
        <f>SUM(P268:P281)</f>
        <v>924.6922513836065</v>
      </c>
      <c r="Q282" s="33"/>
      <c r="R282" s="33">
        <f>SUM(R268:R281)</f>
        <v>99.730000000000018</v>
      </c>
      <c r="S282" s="33">
        <f>SUM(S268:S281)</f>
        <v>1024.4222513836066</v>
      </c>
      <c r="T282" s="97"/>
      <c r="U282" s="98"/>
      <c r="V282" s="99"/>
    </row>
    <row r="283" spans="1:22" x14ac:dyDescent="0.2">
      <c r="A283" s="186" t="s">
        <v>225</v>
      </c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8"/>
      <c r="T283" s="97"/>
      <c r="U283" s="98"/>
      <c r="V283" s="99"/>
    </row>
    <row r="284" spans="1:22" x14ac:dyDescent="0.2">
      <c r="A284" s="35">
        <v>1</v>
      </c>
      <c r="B284" s="6">
        <v>720</v>
      </c>
      <c r="C284" s="6">
        <v>580</v>
      </c>
      <c r="D284" s="7" t="s">
        <v>63</v>
      </c>
      <c r="E284" s="7" t="s">
        <v>64</v>
      </c>
      <c r="F284" s="8">
        <v>0</v>
      </c>
      <c r="G284" s="8">
        <v>1</v>
      </c>
      <c r="H284" s="8">
        <v>1</v>
      </c>
      <c r="I284" s="8">
        <v>1</v>
      </c>
      <c r="J284" s="8">
        <v>1</v>
      </c>
      <c r="K284" s="16" t="s">
        <v>22</v>
      </c>
      <c r="L284" s="47" t="s">
        <v>190</v>
      </c>
      <c r="M284" s="10">
        <f t="shared" ref="M284:M297" si="168">IF(AND(ISNUMBER(B284),ISNUMBER(C284),B284&gt;0,C284&gt;0),A284*(B284*C284/1000000),0)</f>
        <v>0.41760000000000003</v>
      </c>
      <c r="N284" s="11">
        <f t="shared" ref="N284:N297" si="169">IF(AND(ISNUMBER(B284),B284&gt;0),A284*(((G284+H284)*B284+(I284+J284)*C284)/1000),0)</f>
        <v>2.6</v>
      </c>
      <c r="O284" s="12">
        <f>IF(E284="HERRAJE",IFERROR(_xlfn.XLOOKUP(D284,'⚙️ Configuración Costos'!$A$11:$A$20,'⚙️ Configuración Costos'!$B$11:$B$20),""),IFERROR(_xlfn.XLOOKUP(E284,'⚙️ Configuración Costos'!$A$5:$A$6,'⚙️ Configuración Costos'!$B$5:$B$6),""))</f>
        <v>239.8426229508197</v>
      </c>
      <c r="P284" s="12">
        <f t="shared" ref="P284:P297" si="170">IF(E284="HERRAJE",A284*O284,M284*O284)</f>
        <v>100.15827934426231</v>
      </c>
      <c r="Q284" s="12">
        <f>IF(E284="HERRAJE",0,IFERROR(_xlfn.XLOOKUP(E284,'⚙️ Configuración Costos'!$E$5:$E$6,'⚙️ Configuración Costos'!$F$5:$F$6),""))</f>
        <v>6</v>
      </c>
      <c r="R284" s="12">
        <f t="shared" ref="R284:R297" si="171">N284*Q284</f>
        <v>15.600000000000001</v>
      </c>
      <c r="S284" s="38">
        <f t="shared" ref="S284:S297" si="172">P284+R284</f>
        <v>115.75827934426232</v>
      </c>
      <c r="T284" s="94" t="str">
        <f t="shared" ref="T284:T297" si="173">IF(K284="","SIN ID MÓDULO",IF(E284="HERRAJE",IF(OR(O284="",O284&lt;=0),"SIN PRECIO HERRAJE","OK"),IF(OR(O284="",O284&lt;=0),"SIN PRECIO MATERIAL",IF(AND(N284&gt;0,OR(Q284="",Q284&lt;=0)),"SIN PRECIO CINTILLA","OK"))))</f>
        <v>OK</v>
      </c>
      <c r="U284" s="95" t="str">
        <f t="shared" ref="U284:U297" si="174">IF(T284="OK","",IF(T284="SIN PRECIO HERRAJE","Capturar precio: "&amp;D284,IF(T284="SIN PRECIO MATERIAL","Configurar material: "&amp;E284,IF(T284="SIN PRECIO CINTILLA","Configurar cintilla: "&amp;E284,IF(T284="SIN ID MÓDULO","Revisar ID del módulo","")))))</f>
        <v/>
      </c>
      <c r="V284" s="96">
        <f t="shared" ref="V284:V297" si="175">IF(T284="OK",0,IF(T284="",0,1))</f>
        <v>0</v>
      </c>
    </row>
    <row r="285" spans="1:22" x14ac:dyDescent="0.2">
      <c r="A285" s="35">
        <v>1</v>
      </c>
      <c r="B285" s="6">
        <v>720</v>
      </c>
      <c r="C285" s="6">
        <v>580</v>
      </c>
      <c r="D285" s="7" t="s">
        <v>66</v>
      </c>
      <c r="E285" s="7" t="s">
        <v>64</v>
      </c>
      <c r="F285" s="8">
        <v>0</v>
      </c>
      <c r="G285" s="8">
        <v>1</v>
      </c>
      <c r="H285" s="8">
        <v>1</v>
      </c>
      <c r="I285" s="8">
        <v>1</v>
      </c>
      <c r="J285" s="8">
        <v>1</v>
      </c>
      <c r="K285" s="16" t="s">
        <v>22</v>
      </c>
      <c r="L285" s="47" t="s">
        <v>191</v>
      </c>
      <c r="M285" s="10">
        <f t="shared" si="168"/>
        <v>0.41760000000000003</v>
      </c>
      <c r="N285" s="11">
        <f t="shared" si="169"/>
        <v>2.6</v>
      </c>
      <c r="O285" s="12">
        <f>IF(E285="HERRAJE",IFERROR(_xlfn.XLOOKUP(D285,'⚙️ Configuración Costos'!$A$11:$A$20,'⚙️ Configuración Costos'!$B$11:$B$20),""),IFERROR(_xlfn.XLOOKUP(E285,'⚙️ Configuración Costos'!$A$5:$A$6,'⚙️ Configuración Costos'!$B$5:$B$6),""))</f>
        <v>239.8426229508197</v>
      </c>
      <c r="P285" s="12">
        <f t="shared" si="170"/>
        <v>100.15827934426231</v>
      </c>
      <c r="Q285" s="12">
        <f>IF(E285="HERRAJE",0,IFERROR(_xlfn.XLOOKUP(E285,'⚙️ Configuración Costos'!$E$5:$E$6,'⚙️ Configuración Costos'!$F$5:$F$6),""))</f>
        <v>6</v>
      </c>
      <c r="R285" s="12">
        <f t="shared" si="171"/>
        <v>15.600000000000001</v>
      </c>
      <c r="S285" s="38">
        <f t="shared" si="172"/>
        <v>115.75827934426232</v>
      </c>
      <c r="T285" s="94" t="str">
        <f t="shared" si="173"/>
        <v>OK</v>
      </c>
      <c r="U285" s="95" t="str">
        <f t="shared" si="174"/>
        <v/>
      </c>
      <c r="V285" s="96">
        <f t="shared" si="175"/>
        <v>0</v>
      </c>
    </row>
    <row r="286" spans="1:22" x14ac:dyDescent="0.2">
      <c r="A286" s="35">
        <v>1</v>
      </c>
      <c r="B286" s="6">
        <v>689</v>
      </c>
      <c r="C286" s="6">
        <v>769</v>
      </c>
      <c r="D286" s="7" t="s">
        <v>169</v>
      </c>
      <c r="E286" s="7" t="s">
        <v>64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16" t="s">
        <v>22</v>
      </c>
      <c r="L286" s="47" t="s">
        <v>226</v>
      </c>
      <c r="M286" s="10">
        <f t="shared" si="168"/>
        <v>0.52984100000000001</v>
      </c>
      <c r="N286" s="11">
        <f t="shared" si="169"/>
        <v>0</v>
      </c>
      <c r="O286" s="12">
        <f>IF(E286="HERRAJE",IFERROR(_xlfn.XLOOKUP(D286,'⚙️ Configuración Costos'!$A$11:$A$20,'⚙️ Configuración Costos'!$B$11:$B$20),""),IFERROR(_xlfn.XLOOKUP(E286,'⚙️ Configuración Costos'!$A$5:$A$6,'⚙️ Configuración Costos'!$B$5:$B$6),""))</f>
        <v>239.8426229508197</v>
      </c>
      <c r="P286" s="12">
        <f t="shared" si="170"/>
        <v>127.07845518688526</v>
      </c>
      <c r="Q286" s="12">
        <f>IF(E286="HERRAJE",0,IFERROR(_xlfn.XLOOKUP(E286,'⚙️ Configuración Costos'!$E$5:$E$6,'⚙️ Configuración Costos'!$F$5:$F$6),""))</f>
        <v>6</v>
      </c>
      <c r="R286" s="12">
        <f t="shared" si="171"/>
        <v>0</v>
      </c>
      <c r="S286" s="38">
        <f t="shared" si="172"/>
        <v>127.07845518688526</v>
      </c>
      <c r="T286" s="94" t="str">
        <f t="shared" si="173"/>
        <v>OK</v>
      </c>
      <c r="U286" s="95" t="str">
        <f t="shared" si="174"/>
        <v/>
      </c>
      <c r="V286" s="96">
        <f t="shared" si="175"/>
        <v>0</v>
      </c>
    </row>
    <row r="287" spans="1:22" x14ac:dyDescent="0.2">
      <c r="A287" s="34">
        <v>1</v>
      </c>
      <c r="B287" s="13">
        <v>769</v>
      </c>
      <c r="C287" s="13">
        <v>580</v>
      </c>
      <c r="D287" s="14" t="s">
        <v>171</v>
      </c>
      <c r="E287" s="14" t="s">
        <v>64</v>
      </c>
      <c r="F287" s="15">
        <v>0</v>
      </c>
      <c r="G287" s="15">
        <v>1</v>
      </c>
      <c r="H287" s="15">
        <v>1</v>
      </c>
      <c r="I287" s="15">
        <v>0</v>
      </c>
      <c r="J287" s="15">
        <v>0</v>
      </c>
      <c r="K287" s="16" t="s">
        <v>22</v>
      </c>
      <c r="L287" s="46" t="s">
        <v>227</v>
      </c>
      <c r="M287" s="17">
        <f t="shared" si="168"/>
        <v>0.44602000000000003</v>
      </c>
      <c r="N287" s="18">
        <f t="shared" si="169"/>
        <v>1.538</v>
      </c>
      <c r="O287" s="19">
        <f>IF(E287="HERRAJE",IFERROR(_xlfn.XLOOKUP(D287,'⚙️ Configuración Costos'!$A$11:$A$20,'⚙️ Configuración Costos'!$B$11:$B$20),""),IFERROR(_xlfn.XLOOKUP(E287,'⚙️ Configuración Costos'!$A$5:$A$6,'⚙️ Configuración Costos'!$B$5:$B$6),""))</f>
        <v>239.8426229508197</v>
      </c>
      <c r="P287" s="19">
        <f t="shared" si="170"/>
        <v>106.97460668852462</v>
      </c>
      <c r="Q287" s="19">
        <f>IF(E287="HERRAJE",0,IFERROR(_xlfn.XLOOKUP(E287,'⚙️ Configuración Costos'!$E$5:$E$6,'⚙️ Configuración Costos'!$F$5:$F$6),""))</f>
        <v>6</v>
      </c>
      <c r="R287" s="19">
        <f t="shared" si="171"/>
        <v>9.2279999999999998</v>
      </c>
      <c r="S287" s="37">
        <f t="shared" si="172"/>
        <v>116.20260668852461</v>
      </c>
      <c r="T287" s="94" t="str">
        <f t="shared" si="173"/>
        <v>OK</v>
      </c>
      <c r="U287" s="95" t="str">
        <f t="shared" si="174"/>
        <v/>
      </c>
      <c r="V287" s="96">
        <f t="shared" si="175"/>
        <v>0</v>
      </c>
    </row>
    <row r="288" spans="1:22" x14ac:dyDescent="0.2">
      <c r="A288" s="35">
        <v>1</v>
      </c>
      <c r="B288" s="6">
        <v>769</v>
      </c>
      <c r="C288" s="6">
        <v>120</v>
      </c>
      <c r="D288" s="7" t="s">
        <v>194</v>
      </c>
      <c r="E288" s="7" t="s">
        <v>64</v>
      </c>
      <c r="F288" s="8">
        <v>0</v>
      </c>
      <c r="G288" s="8">
        <v>1</v>
      </c>
      <c r="H288" s="8">
        <v>1</v>
      </c>
      <c r="I288" s="8">
        <v>0</v>
      </c>
      <c r="J288" s="8">
        <v>0</v>
      </c>
      <c r="K288" s="16" t="s">
        <v>22</v>
      </c>
      <c r="L288" s="47" t="s">
        <v>228</v>
      </c>
      <c r="M288" s="10">
        <f t="shared" si="168"/>
        <v>9.2280000000000001E-2</v>
      </c>
      <c r="N288" s="11">
        <f t="shared" si="169"/>
        <v>1.538</v>
      </c>
      <c r="O288" s="12">
        <f>IF(E288="HERRAJE",IFERROR(_xlfn.XLOOKUP(D288,'⚙️ Configuración Costos'!$A$11:$A$20,'⚙️ Configuración Costos'!$B$11:$B$20),""),IFERROR(_xlfn.XLOOKUP(E288,'⚙️ Configuración Costos'!$A$5:$A$6,'⚙️ Configuración Costos'!$B$5:$B$6),""))</f>
        <v>239.8426229508197</v>
      </c>
      <c r="P288" s="12">
        <f t="shared" si="170"/>
        <v>22.132677245901643</v>
      </c>
      <c r="Q288" s="12">
        <f>IF(E288="HERRAJE",0,IFERROR(_xlfn.XLOOKUP(E288,'⚙️ Configuración Costos'!$E$5:$E$6,'⚙️ Configuración Costos'!$F$5:$F$6),""))</f>
        <v>6</v>
      </c>
      <c r="R288" s="12">
        <f t="shared" si="171"/>
        <v>9.2279999999999998</v>
      </c>
      <c r="S288" s="38">
        <f t="shared" si="172"/>
        <v>31.360677245901641</v>
      </c>
      <c r="T288" s="94" t="str">
        <f t="shared" si="173"/>
        <v>OK</v>
      </c>
      <c r="U288" s="95" t="str">
        <f t="shared" si="174"/>
        <v/>
      </c>
      <c r="V288" s="96">
        <f t="shared" si="175"/>
        <v>0</v>
      </c>
    </row>
    <row r="289" spans="1:22" x14ac:dyDescent="0.2">
      <c r="A289" s="35">
        <v>1</v>
      </c>
      <c r="B289" s="6">
        <v>769</v>
      </c>
      <c r="C289" s="6">
        <v>120</v>
      </c>
      <c r="D289" s="7" t="s">
        <v>194</v>
      </c>
      <c r="E289" s="7" t="s">
        <v>64</v>
      </c>
      <c r="F289" s="8">
        <v>0</v>
      </c>
      <c r="G289" s="8">
        <v>1</v>
      </c>
      <c r="H289" s="8">
        <v>1</v>
      </c>
      <c r="I289" s="8">
        <v>0</v>
      </c>
      <c r="J289" s="8">
        <v>0</v>
      </c>
      <c r="K289" s="16" t="s">
        <v>22</v>
      </c>
      <c r="L289" s="47" t="s">
        <v>228</v>
      </c>
      <c r="M289" s="10">
        <f t="shared" si="168"/>
        <v>9.2280000000000001E-2</v>
      </c>
      <c r="N289" s="11">
        <f t="shared" si="169"/>
        <v>1.538</v>
      </c>
      <c r="O289" s="12">
        <f>IF(E289="HERRAJE",IFERROR(_xlfn.XLOOKUP(D289,'⚙️ Configuración Costos'!$A$11:$A$20,'⚙️ Configuración Costos'!$B$11:$B$20),""),IFERROR(_xlfn.XLOOKUP(E289,'⚙️ Configuración Costos'!$A$5:$A$6,'⚙️ Configuración Costos'!$B$5:$B$6),""))</f>
        <v>239.8426229508197</v>
      </c>
      <c r="P289" s="12">
        <f t="shared" si="170"/>
        <v>22.132677245901643</v>
      </c>
      <c r="Q289" s="12">
        <f>IF(E289="HERRAJE",0,IFERROR(_xlfn.XLOOKUP(E289,'⚙️ Configuración Costos'!$E$5:$E$6,'⚙️ Configuración Costos'!$F$5:$F$6),""))</f>
        <v>6</v>
      </c>
      <c r="R289" s="12">
        <f t="shared" si="171"/>
        <v>9.2279999999999998</v>
      </c>
      <c r="S289" s="38">
        <f t="shared" si="172"/>
        <v>31.360677245901641</v>
      </c>
      <c r="T289" s="94" t="str">
        <f t="shared" si="173"/>
        <v>OK</v>
      </c>
      <c r="U289" s="95" t="str">
        <f t="shared" si="174"/>
        <v/>
      </c>
      <c r="V289" s="96">
        <f t="shared" si="175"/>
        <v>0</v>
      </c>
    </row>
    <row r="290" spans="1:22" x14ac:dyDescent="0.2">
      <c r="A290" s="35">
        <v>1</v>
      </c>
      <c r="B290" s="6">
        <v>769</v>
      </c>
      <c r="C290" s="6">
        <v>490</v>
      </c>
      <c r="D290" s="7" t="s">
        <v>179</v>
      </c>
      <c r="E290" s="7" t="s">
        <v>64</v>
      </c>
      <c r="F290" s="8">
        <v>0</v>
      </c>
      <c r="G290" s="8">
        <v>1</v>
      </c>
      <c r="H290" s="8">
        <v>0</v>
      </c>
      <c r="I290" s="8">
        <v>0</v>
      </c>
      <c r="J290" s="8">
        <v>0</v>
      </c>
      <c r="K290" s="16" t="s">
        <v>22</v>
      </c>
      <c r="L290" s="47" t="s">
        <v>229</v>
      </c>
      <c r="M290" s="10">
        <f t="shared" si="168"/>
        <v>0.37680999999999998</v>
      </c>
      <c r="N290" s="11">
        <f t="shared" si="169"/>
        <v>0.76900000000000002</v>
      </c>
      <c r="O290" s="12">
        <f>IF(E290="HERRAJE",IFERROR(_xlfn.XLOOKUP(D290,'⚙️ Configuración Costos'!$A$11:$A$20,'⚙️ Configuración Costos'!$B$11:$B$20),""),IFERROR(_xlfn.XLOOKUP(E290,'⚙️ Configuración Costos'!$A$5:$A$6,'⚙️ Configuración Costos'!$B$5:$B$6),""))</f>
        <v>239.8426229508197</v>
      </c>
      <c r="P290" s="12">
        <f t="shared" si="170"/>
        <v>90.37509875409836</v>
      </c>
      <c r="Q290" s="12">
        <f>IF(E290="HERRAJE",0,IFERROR(_xlfn.XLOOKUP(E290,'⚙️ Configuración Costos'!$E$5:$E$6,'⚙️ Configuración Costos'!$F$5:$F$6),""))</f>
        <v>6</v>
      </c>
      <c r="R290" s="12">
        <f t="shared" si="171"/>
        <v>4.6139999999999999</v>
      </c>
      <c r="S290" s="38">
        <f t="shared" si="172"/>
        <v>94.989098754098364</v>
      </c>
      <c r="T290" s="94" t="str">
        <f t="shared" si="173"/>
        <v>OK</v>
      </c>
      <c r="U290" s="95" t="str">
        <f t="shared" si="174"/>
        <v/>
      </c>
      <c r="V290" s="96">
        <f t="shared" si="175"/>
        <v>0</v>
      </c>
    </row>
    <row r="291" spans="1:22" x14ac:dyDescent="0.2">
      <c r="A291" s="35">
        <v>1</v>
      </c>
      <c r="B291" s="6">
        <v>717</v>
      </c>
      <c r="C291" s="6">
        <v>397</v>
      </c>
      <c r="D291" s="7" t="s">
        <v>181</v>
      </c>
      <c r="E291" s="7" t="s">
        <v>85</v>
      </c>
      <c r="F291" s="8">
        <v>1</v>
      </c>
      <c r="G291" s="8">
        <v>1</v>
      </c>
      <c r="H291" s="8">
        <v>1</v>
      </c>
      <c r="I291" s="8">
        <v>1</v>
      </c>
      <c r="J291" s="8">
        <v>1</v>
      </c>
      <c r="K291" s="16" t="s">
        <v>22</v>
      </c>
      <c r="L291" s="47" t="s">
        <v>230</v>
      </c>
      <c r="M291" s="10">
        <f t="shared" si="168"/>
        <v>0.28464899999999999</v>
      </c>
      <c r="N291" s="11">
        <f t="shared" si="169"/>
        <v>2.2280000000000002</v>
      </c>
      <c r="O291" s="12">
        <f>IF(E291="HERRAJE",IFERROR(_xlfn.XLOOKUP(D291,'⚙️ Configuración Costos'!$A$11:$A$20,'⚙️ Configuración Costos'!$B$11:$B$20),""),IFERROR(_xlfn.XLOOKUP(E291,'⚙️ Configuración Costos'!$A$5:$A$6,'⚙️ Configuración Costos'!$B$5:$B$6),""))</f>
        <v>332.85245901639348</v>
      </c>
      <c r="P291" s="12">
        <f t="shared" si="170"/>
        <v>94.746119606557386</v>
      </c>
      <c r="Q291" s="12">
        <f>IF(E291="HERRAJE",0,IFERROR(_xlfn.XLOOKUP(E291,'⚙️ Configuración Costos'!$E$5:$E$6,'⚙️ Configuración Costos'!$F$5:$F$6),""))</f>
        <v>9.5</v>
      </c>
      <c r="R291" s="12">
        <f t="shared" si="171"/>
        <v>21.166</v>
      </c>
      <c r="S291" s="38">
        <f t="shared" si="172"/>
        <v>115.91211960655738</v>
      </c>
      <c r="T291" s="94" t="str">
        <f t="shared" si="173"/>
        <v>OK</v>
      </c>
      <c r="U291" s="95" t="str">
        <f t="shared" si="174"/>
        <v/>
      </c>
      <c r="V291" s="96">
        <f t="shared" si="175"/>
        <v>0</v>
      </c>
    </row>
    <row r="292" spans="1:22" x14ac:dyDescent="0.2">
      <c r="A292" s="35">
        <v>1</v>
      </c>
      <c r="B292" s="6">
        <v>717</v>
      </c>
      <c r="C292" s="6">
        <v>397</v>
      </c>
      <c r="D292" s="7" t="s">
        <v>223</v>
      </c>
      <c r="E292" s="7" t="s">
        <v>85</v>
      </c>
      <c r="F292" s="8">
        <v>1</v>
      </c>
      <c r="G292" s="8">
        <v>1</v>
      </c>
      <c r="H292" s="8">
        <v>1</v>
      </c>
      <c r="I292" s="8">
        <v>1</v>
      </c>
      <c r="J292" s="8">
        <v>1</v>
      </c>
      <c r="K292" s="16" t="s">
        <v>22</v>
      </c>
      <c r="L292" s="47" t="s">
        <v>231</v>
      </c>
      <c r="M292" s="10">
        <f t="shared" si="168"/>
        <v>0.28464899999999999</v>
      </c>
      <c r="N292" s="11">
        <f t="shared" si="169"/>
        <v>2.2280000000000002</v>
      </c>
      <c r="O292" s="12">
        <f>IF(E292="HERRAJE",IFERROR(_xlfn.XLOOKUP(D292,'⚙️ Configuración Costos'!$A$11:$A$20,'⚙️ Configuración Costos'!$B$11:$B$20),""),IFERROR(_xlfn.XLOOKUP(E292,'⚙️ Configuración Costos'!$A$5:$A$6,'⚙️ Configuración Costos'!$B$5:$B$6),""))</f>
        <v>332.85245901639348</v>
      </c>
      <c r="P292" s="12">
        <f t="shared" si="170"/>
        <v>94.746119606557386</v>
      </c>
      <c r="Q292" s="12">
        <f>IF(E292="HERRAJE",0,IFERROR(_xlfn.XLOOKUP(E292,'⚙️ Configuración Costos'!$E$5:$E$6,'⚙️ Configuración Costos'!$F$5:$F$6),""))</f>
        <v>9.5</v>
      </c>
      <c r="R292" s="12">
        <f t="shared" si="171"/>
        <v>21.166</v>
      </c>
      <c r="S292" s="38">
        <f t="shared" si="172"/>
        <v>115.91211960655738</v>
      </c>
      <c r="T292" s="94" t="str">
        <f t="shared" si="173"/>
        <v>OK</v>
      </c>
      <c r="U292" s="95" t="str">
        <f t="shared" si="174"/>
        <v/>
      </c>
      <c r="V292" s="96">
        <f t="shared" si="175"/>
        <v>0</v>
      </c>
    </row>
    <row r="293" spans="1:22" x14ac:dyDescent="0.2">
      <c r="A293" s="35">
        <v>4</v>
      </c>
      <c r="B293" s="6">
        <v>0</v>
      </c>
      <c r="C293" s="6">
        <v>0</v>
      </c>
      <c r="D293" s="7" t="s">
        <v>90</v>
      </c>
      <c r="E293" s="7" t="s">
        <v>91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16" t="s">
        <v>22</v>
      </c>
      <c r="L293" s="47" t="s">
        <v>92</v>
      </c>
      <c r="M293" s="10">
        <f t="shared" si="168"/>
        <v>0</v>
      </c>
      <c r="N293" s="11">
        <f t="shared" si="169"/>
        <v>0</v>
      </c>
      <c r="O293" s="12">
        <f>IF(E293="HERRAJE",IFERROR(_xlfn.XLOOKUP(D293,'⚙️ Configuración Costos'!$A$11:$A$20,'⚙️ Configuración Costos'!$B$11:$B$20),""),IFERROR(_xlfn.XLOOKUP(E293,'⚙️ Configuración Costos'!$A$5:$A$6,'⚙️ Configuración Costos'!$B$5:$B$6),""))</f>
        <v>20</v>
      </c>
      <c r="P293" s="12">
        <f t="shared" si="170"/>
        <v>80</v>
      </c>
      <c r="Q293" s="12">
        <f>IF(E293="HERRAJE",0,IFERROR(_xlfn.XLOOKUP(E293,'⚙️ Configuración Costos'!$E$5:$E$6,'⚙️ Configuración Costos'!$F$5:$F$6),""))</f>
        <v>0</v>
      </c>
      <c r="R293" s="12">
        <f t="shared" si="171"/>
        <v>0</v>
      </c>
      <c r="S293" s="38">
        <f t="shared" si="172"/>
        <v>80</v>
      </c>
      <c r="T293" s="94" t="str">
        <f t="shared" si="173"/>
        <v>OK</v>
      </c>
      <c r="U293" s="95" t="str">
        <f t="shared" si="174"/>
        <v/>
      </c>
      <c r="V293" s="96">
        <f t="shared" si="175"/>
        <v>0</v>
      </c>
    </row>
    <row r="294" spans="1:22" x14ac:dyDescent="0.2">
      <c r="A294" s="35">
        <v>2</v>
      </c>
      <c r="B294" s="6">
        <v>0</v>
      </c>
      <c r="C294" s="6">
        <v>0</v>
      </c>
      <c r="D294" s="7" t="s">
        <v>93</v>
      </c>
      <c r="E294" s="7" t="s">
        <v>91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16" t="s">
        <v>22</v>
      </c>
      <c r="L294" s="47" t="s">
        <v>94</v>
      </c>
      <c r="M294" s="10">
        <f t="shared" si="168"/>
        <v>0</v>
      </c>
      <c r="N294" s="11">
        <f t="shared" si="169"/>
        <v>0</v>
      </c>
      <c r="O294" s="12">
        <f>IF(E294="HERRAJE",IFERROR(_xlfn.XLOOKUP(D294,'⚙️ Configuración Costos'!$A$11:$A$20,'⚙️ Configuración Costos'!$B$11:$B$20),""),IFERROR(_xlfn.XLOOKUP(E294,'⚙️ Configuración Costos'!$A$5:$A$6,'⚙️ Configuración Costos'!$B$5:$B$6),""))</f>
        <v>15</v>
      </c>
      <c r="P294" s="12">
        <f t="shared" si="170"/>
        <v>30</v>
      </c>
      <c r="Q294" s="12">
        <f>IF(E294="HERRAJE",0,IFERROR(_xlfn.XLOOKUP(E294,'⚙️ Configuración Costos'!$E$5:$E$6,'⚙️ Configuración Costos'!$F$5:$F$6),""))</f>
        <v>0</v>
      </c>
      <c r="R294" s="12">
        <f t="shared" si="171"/>
        <v>0</v>
      </c>
      <c r="S294" s="38">
        <f t="shared" si="172"/>
        <v>30</v>
      </c>
      <c r="T294" s="94" t="str">
        <f t="shared" si="173"/>
        <v>OK</v>
      </c>
      <c r="U294" s="95" t="str">
        <f t="shared" si="174"/>
        <v/>
      </c>
      <c r="V294" s="96">
        <f t="shared" si="175"/>
        <v>0</v>
      </c>
    </row>
    <row r="295" spans="1:22" x14ac:dyDescent="0.2">
      <c r="A295" s="35">
        <v>4</v>
      </c>
      <c r="B295" s="6">
        <v>0</v>
      </c>
      <c r="C295" s="6">
        <v>0</v>
      </c>
      <c r="D295" s="7" t="s">
        <v>186</v>
      </c>
      <c r="E295" s="7" t="s">
        <v>91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16" t="s">
        <v>22</v>
      </c>
      <c r="L295" s="47" t="s">
        <v>187</v>
      </c>
      <c r="M295" s="10">
        <f t="shared" si="168"/>
        <v>0</v>
      </c>
      <c r="N295" s="11">
        <f t="shared" si="169"/>
        <v>0</v>
      </c>
      <c r="O295" s="12">
        <f>IF(E295="HERRAJE",IFERROR(_xlfn.XLOOKUP(D295,'⚙️ Configuración Costos'!$A$11:$A$20,'⚙️ Configuración Costos'!$B$11:$B$20),""),IFERROR(_xlfn.XLOOKUP(E295,'⚙️ Configuración Costos'!$A$5:$A$6,'⚙️ Configuración Costos'!$B$5:$B$6),""))</f>
        <v>15</v>
      </c>
      <c r="P295" s="12">
        <f t="shared" si="170"/>
        <v>60</v>
      </c>
      <c r="Q295" s="12">
        <f>IF(E295="HERRAJE",0,IFERROR(_xlfn.XLOOKUP(E295,'⚙️ Configuración Costos'!$E$5:$E$6,'⚙️ Configuración Costos'!$F$5:$F$6),""))</f>
        <v>0</v>
      </c>
      <c r="R295" s="12">
        <f t="shared" si="171"/>
        <v>0</v>
      </c>
      <c r="S295" s="38">
        <f t="shared" si="172"/>
        <v>60</v>
      </c>
      <c r="T295" s="94" t="str">
        <f t="shared" si="173"/>
        <v>OK</v>
      </c>
      <c r="U295" s="95" t="str">
        <f t="shared" si="174"/>
        <v/>
      </c>
      <c r="V295" s="96">
        <f t="shared" si="175"/>
        <v>0</v>
      </c>
    </row>
    <row r="296" spans="1:22" x14ac:dyDescent="0.2">
      <c r="A296" s="35">
        <v>4</v>
      </c>
      <c r="B296" s="6">
        <v>0</v>
      </c>
      <c r="C296" s="6">
        <v>0</v>
      </c>
      <c r="D296" s="7" t="s">
        <v>95</v>
      </c>
      <c r="E296" s="7" t="s">
        <v>91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16" t="s">
        <v>22</v>
      </c>
      <c r="L296" s="47" t="s">
        <v>96</v>
      </c>
      <c r="M296" s="10">
        <f t="shared" si="168"/>
        <v>0</v>
      </c>
      <c r="N296" s="11">
        <f t="shared" si="169"/>
        <v>0</v>
      </c>
      <c r="O296" s="12">
        <f>IF(E296="HERRAJE",IFERROR(_xlfn.XLOOKUP(D296,'⚙️ Configuración Costos'!$A$11:$A$20,'⚙️ Configuración Costos'!$B$11:$B$20),""),IFERROR(_xlfn.XLOOKUP(E296,'⚙️ Configuración Costos'!$A$5:$A$6,'⚙️ Configuración Costos'!$B$5:$B$6),""))</f>
        <v>2</v>
      </c>
      <c r="P296" s="12">
        <f t="shared" si="170"/>
        <v>8</v>
      </c>
      <c r="Q296" s="12">
        <f>IF(E296="HERRAJE",0,IFERROR(_xlfn.XLOOKUP(E296,'⚙️ Configuración Costos'!$E$5:$E$6,'⚙️ Configuración Costos'!$F$5:$F$6),""))</f>
        <v>0</v>
      </c>
      <c r="R296" s="12">
        <f t="shared" si="171"/>
        <v>0</v>
      </c>
      <c r="S296" s="38">
        <f t="shared" si="172"/>
        <v>8</v>
      </c>
      <c r="T296" s="94" t="str">
        <f t="shared" si="173"/>
        <v>OK</v>
      </c>
      <c r="U296" s="95" t="str">
        <f t="shared" si="174"/>
        <v/>
      </c>
      <c r="V296" s="96">
        <f t="shared" si="175"/>
        <v>0</v>
      </c>
    </row>
    <row r="297" spans="1:22" ht="16" thickBot="1" x14ac:dyDescent="0.25">
      <c r="A297" s="36">
        <v>40</v>
      </c>
      <c r="B297" s="20">
        <v>0</v>
      </c>
      <c r="C297" s="20">
        <v>0</v>
      </c>
      <c r="D297" s="21" t="s">
        <v>97</v>
      </c>
      <c r="E297" s="21" t="s">
        <v>91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16" t="s">
        <v>22</v>
      </c>
      <c r="L297" s="48" t="s">
        <v>98</v>
      </c>
      <c r="M297" s="24">
        <f t="shared" si="168"/>
        <v>0</v>
      </c>
      <c r="N297" s="25">
        <f t="shared" si="169"/>
        <v>0</v>
      </c>
      <c r="O297" s="26">
        <f>IF(E297="HERRAJE",IFERROR(_xlfn.XLOOKUP(D297,'⚙️ Configuración Costos'!$A$11:$A$20,'⚙️ Configuración Costos'!$B$11:$B$20),""),IFERROR(_xlfn.XLOOKUP(E297,'⚙️ Configuración Costos'!$A$5:$A$6,'⚙️ Configuración Costos'!$B$5:$B$6),""))</f>
        <v>1.5</v>
      </c>
      <c r="P297" s="26">
        <f t="shared" si="170"/>
        <v>60</v>
      </c>
      <c r="Q297" s="26">
        <f>IF(E297="HERRAJE",0,IFERROR(_xlfn.XLOOKUP(E297,'⚙️ Configuración Costos'!$E$5:$E$6,'⚙️ Configuración Costos'!$F$5:$F$6),""))</f>
        <v>0</v>
      </c>
      <c r="R297" s="26">
        <f t="shared" si="171"/>
        <v>0</v>
      </c>
      <c r="S297" s="39">
        <f t="shared" si="172"/>
        <v>60</v>
      </c>
      <c r="T297" s="94" t="str">
        <f t="shared" si="173"/>
        <v>OK</v>
      </c>
      <c r="U297" s="95" t="str">
        <f t="shared" si="174"/>
        <v/>
      </c>
      <c r="V297" s="96">
        <f t="shared" si="175"/>
        <v>0</v>
      </c>
    </row>
    <row r="298" spans="1:22" ht="16" thickTop="1" x14ac:dyDescent="0.2">
      <c r="A298" s="27" t="s">
        <v>99</v>
      </c>
      <c r="B298" s="27"/>
      <c r="C298" s="27"/>
      <c r="D298" s="28"/>
      <c r="E298" s="28"/>
      <c r="F298" s="29"/>
      <c r="G298" s="29"/>
      <c r="H298" s="29"/>
      <c r="I298" s="29"/>
      <c r="J298" s="29"/>
      <c r="K298" s="30"/>
      <c r="L298" s="49" t="s">
        <v>188</v>
      </c>
      <c r="M298" s="31">
        <f>SUM(M284:M297)</f>
        <v>2.941729</v>
      </c>
      <c r="N298" s="32">
        <f>SUM(N284:N297)</f>
        <v>15.039</v>
      </c>
      <c r="O298" s="33"/>
      <c r="P298" s="33">
        <f>SUM(P284:P297)</f>
        <v>996.50231302295083</v>
      </c>
      <c r="Q298" s="33"/>
      <c r="R298" s="33">
        <f>SUM(R284:R297)</f>
        <v>105.83</v>
      </c>
      <c r="S298" s="33">
        <f>SUM(S284:S297)</f>
        <v>1102.3323130229508</v>
      </c>
      <c r="T298" s="97"/>
      <c r="U298" s="98"/>
      <c r="V298" s="99"/>
    </row>
    <row r="299" spans="1:22" x14ac:dyDescent="0.2">
      <c r="A299" s="186" t="s">
        <v>232</v>
      </c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8"/>
      <c r="T299" s="97"/>
      <c r="U299" s="98"/>
      <c r="V299" s="99"/>
    </row>
    <row r="300" spans="1:22" x14ac:dyDescent="0.2">
      <c r="A300" s="35">
        <v>1</v>
      </c>
      <c r="B300" s="6">
        <v>720</v>
      </c>
      <c r="C300" s="6">
        <v>580</v>
      </c>
      <c r="D300" s="7" t="s">
        <v>63</v>
      </c>
      <c r="E300" s="7" t="s">
        <v>64</v>
      </c>
      <c r="F300" s="8">
        <v>0</v>
      </c>
      <c r="G300" s="8">
        <v>1</v>
      </c>
      <c r="H300" s="8">
        <v>1</v>
      </c>
      <c r="I300" s="8">
        <v>1</v>
      </c>
      <c r="J300" s="8">
        <v>1</v>
      </c>
      <c r="K300" s="16" t="s">
        <v>23</v>
      </c>
      <c r="L300" s="47" t="s">
        <v>190</v>
      </c>
      <c r="M300" s="10">
        <f t="shared" ref="M300:M313" si="176">IF(AND(ISNUMBER(B300),ISNUMBER(C300),B300&gt;0,C300&gt;0),A300*(B300*C300/1000000),0)</f>
        <v>0.41760000000000003</v>
      </c>
      <c r="N300" s="11">
        <f t="shared" ref="N300:N313" si="177">IF(AND(ISNUMBER(B300),B300&gt;0),A300*(((G300+H300)*B300+(I300+J300)*C300)/1000),0)</f>
        <v>2.6</v>
      </c>
      <c r="O300" s="12">
        <f>IF(E300="HERRAJE",IFERROR(_xlfn.XLOOKUP(D300,'⚙️ Configuración Costos'!$A$11:$A$20,'⚙️ Configuración Costos'!$B$11:$B$20),""),IFERROR(_xlfn.XLOOKUP(E300,'⚙️ Configuración Costos'!$A$5:$A$6,'⚙️ Configuración Costos'!$B$5:$B$6),""))</f>
        <v>239.8426229508197</v>
      </c>
      <c r="P300" s="12">
        <f t="shared" ref="P300:P313" si="178">IF(E300="HERRAJE",A300*O300,M300*O300)</f>
        <v>100.15827934426231</v>
      </c>
      <c r="Q300" s="12">
        <f>IF(E300="HERRAJE",0,IFERROR(_xlfn.XLOOKUP(E300,'⚙️ Configuración Costos'!$E$5:$E$6,'⚙️ Configuración Costos'!$F$5:$F$6),""))</f>
        <v>6</v>
      </c>
      <c r="R300" s="12">
        <f t="shared" ref="R300:R313" si="179">N300*Q300</f>
        <v>15.600000000000001</v>
      </c>
      <c r="S300" s="38">
        <f t="shared" ref="S300:S313" si="180">P300+R300</f>
        <v>115.75827934426232</v>
      </c>
      <c r="T300" s="94" t="str">
        <f t="shared" ref="T300:T313" si="181">IF(K300="","SIN ID MÓDULO",IF(E300="HERRAJE",IF(OR(O300="",O300&lt;=0),"SIN PRECIO HERRAJE","OK"),IF(OR(O300="",O300&lt;=0),"SIN PRECIO MATERIAL",IF(AND(N300&gt;0,OR(Q300="",Q300&lt;=0)),"SIN PRECIO CINTILLA","OK"))))</f>
        <v>OK</v>
      </c>
      <c r="U300" s="95" t="str">
        <f t="shared" ref="U300:U313" si="182">IF(T300="OK","",IF(T300="SIN PRECIO HERRAJE","Capturar precio: "&amp;D300,IF(T300="SIN PRECIO MATERIAL","Configurar material: "&amp;E300,IF(T300="SIN PRECIO CINTILLA","Configurar cintilla: "&amp;E300,IF(T300="SIN ID MÓDULO","Revisar ID del módulo","")))))</f>
        <v/>
      </c>
      <c r="V300" s="96">
        <f t="shared" ref="V300:V313" si="183">IF(T300="OK",0,IF(T300="",0,1))</f>
        <v>0</v>
      </c>
    </row>
    <row r="301" spans="1:22" x14ac:dyDescent="0.2">
      <c r="A301" s="35">
        <v>1</v>
      </c>
      <c r="B301" s="6">
        <v>720</v>
      </c>
      <c r="C301" s="6">
        <v>580</v>
      </c>
      <c r="D301" s="7" t="s">
        <v>66</v>
      </c>
      <c r="E301" s="7" t="s">
        <v>64</v>
      </c>
      <c r="F301" s="8">
        <v>0</v>
      </c>
      <c r="G301" s="8">
        <v>1</v>
      </c>
      <c r="H301" s="8">
        <v>1</v>
      </c>
      <c r="I301" s="8">
        <v>1</v>
      </c>
      <c r="J301" s="8">
        <v>1</v>
      </c>
      <c r="K301" s="16" t="s">
        <v>23</v>
      </c>
      <c r="L301" s="47" t="s">
        <v>191</v>
      </c>
      <c r="M301" s="10">
        <f t="shared" si="176"/>
        <v>0.41760000000000003</v>
      </c>
      <c r="N301" s="11">
        <f t="shared" si="177"/>
        <v>2.6</v>
      </c>
      <c r="O301" s="12">
        <f>IF(E301="HERRAJE",IFERROR(_xlfn.XLOOKUP(D301,'⚙️ Configuración Costos'!$A$11:$A$20,'⚙️ Configuración Costos'!$B$11:$B$20),""),IFERROR(_xlfn.XLOOKUP(E301,'⚙️ Configuración Costos'!$A$5:$A$6,'⚙️ Configuración Costos'!$B$5:$B$6),""))</f>
        <v>239.8426229508197</v>
      </c>
      <c r="P301" s="12">
        <f t="shared" si="178"/>
        <v>100.15827934426231</v>
      </c>
      <c r="Q301" s="12">
        <f>IF(E301="HERRAJE",0,IFERROR(_xlfn.XLOOKUP(E301,'⚙️ Configuración Costos'!$E$5:$E$6,'⚙️ Configuración Costos'!$F$5:$F$6),""))</f>
        <v>6</v>
      </c>
      <c r="R301" s="12">
        <f t="shared" si="179"/>
        <v>15.600000000000001</v>
      </c>
      <c r="S301" s="38">
        <f t="shared" si="180"/>
        <v>115.75827934426232</v>
      </c>
      <c r="T301" s="94" t="str">
        <f t="shared" si="181"/>
        <v>OK</v>
      </c>
      <c r="U301" s="95" t="str">
        <f t="shared" si="182"/>
        <v/>
      </c>
      <c r="V301" s="96">
        <f t="shared" si="183"/>
        <v>0</v>
      </c>
    </row>
    <row r="302" spans="1:22" x14ac:dyDescent="0.2">
      <c r="A302" s="35">
        <v>1</v>
      </c>
      <c r="B302" s="6">
        <v>689</v>
      </c>
      <c r="C302" s="6">
        <v>869</v>
      </c>
      <c r="D302" s="7" t="s">
        <v>169</v>
      </c>
      <c r="E302" s="7" t="s">
        <v>64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16" t="s">
        <v>23</v>
      </c>
      <c r="L302" s="47" t="s">
        <v>233</v>
      </c>
      <c r="M302" s="10">
        <f t="shared" si="176"/>
        <v>0.59874099999999997</v>
      </c>
      <c r="N302" s="11">
        <f t="shared" si="177"/>
        <v>0</v>
      </c>
      <c r="O302" s="12">
        <f>IF(E302="HERRAJE",IFERROR(_xlfn.XLOOKUP(D302,'⚙️ Configuración Costos'!$A$11:$A$20,'⚙️ Configuración Costos'!$B$11:$B$20),""),IFERROR(_xlfn.XLOOKUP(E302,'⚙️ Configuración Costos'!$A$5:$A$6,'⚙️ Configuración Costos'!$B$5:$B$6),""))</f>
        <v>239.8426229508197</v>
      </c>
      <c r="P302" s="12">
        <f t="shared" si="178"/>
        <v>143.60361190819674</v>
      </c>
      <c r="Q302" s="12">
        <f>IF(E302="HERRAJE",0,IFERROR(_xlfn.XLOOKUP(E302,'⚙️ Configuración Costos'!$E$5:$E$6,'⚙️ Configuración Costos'!$F$5:$F$6),""))</f>
        <v>6</v>
      </c>
      <c r="R302" s="12">
        <f t="shared" si="179"/>
        <v>0</v>
      </c>
      <c r="S302" s="38">
        <f t="shared" si="180"/>
        <v>143.60361190819674</v>
      </c>
      <c r="T302" s="94" t="str">
        <f t="shared" si="181"/>
        <v>OK</v>
      </c>
      <c r="U302" s="95" t="str">
        <f t="shared" si="182"/>
        <v/>
      </c>
      <c r="V302" s="96">
        <f t="shared" si="183"/>
        <v>0</v>
      </c>
    </row>
    <row r="303" spans="1:22" x14ac:dyDescent="0.2">
      <c r="A303" s="34">
        <v>1</v>
      </c>
      <c r="B303" s="13">
        <v>869</v>
      </c>
      <c r="C303" s="13">
        <v>580</v>
      </c>
      <c r="D303" s="14" t="s">
        <v>171</v>
      </c>
      <c r="E303" s="14" t="s">
        <v>64</v>
      </c>
      <c r="F303" s="15">
        <v>0</v>
      </c>
      <c r="G303" s="15">
        <v>1</v>
      </c>
      <c r="H303" s="15">
        <v>1</v>
      </c>
      <c r="I303" s="15">
        <v>0</v>
      </c>
      <c r="J303" s="15">
        <v>0</v>
      </c>
      <c r="K303" s="16" t="s">
        <v>23</v>
      </c>
      <c r="L303" s="46" t="s">
        <v>234</v>
      </c>
      <c r="M303" s="17">
        <f t="shared" si="176"/>
        <v>0.50402000000000002</v>
      </c>
      <c r="N303" s="18">
        <f t="shared" si="177"/>
        <v>1.738</v>
      </c>
      <c r="O303" s="19">
        <f>IF(E303="HERRAJE",IFERROR(_xlfn.XLOOKUP(D303,'⚙️ Configuración Costos'!$A$11:$A$20,'⚙️ Configuración Costos'!$B$11:$B$20),""),IFERROR(_xlfn.XLOOKUP(E303,'⚙️ Configuración Costos'!$A$5:$A$6,'⚙️ Configuración Costos'!$B$5:$B$6),""))</f>
        <v>239.8426229508197</v>
      </c>
      <c r="P303" s="19">
        <f t="shared" si="178"/>
        <v>120.88547881967216</v>
      </c>
      <c r="Q303" s="19">
        <f>IF(E303="HERRAJE",0,IFERROR(_xlfn.XLOOKUP(E303,'⚙️ Configuración Costos'!$E$5:$E$6,'⚙️ Configuración Costos'!$F$5:$F$6),""))</f>
        <v>6</v>
      </c>
      <c r="R303" s="19">
        <f t="shared" si="179"/>
        <v>10.428000000000001</v>
      </c>
      <c r="S303" s="37">
        <f t="shared" si="180"/>
        <v>131.31347881967216</v>
      </c>
      <c r="T303" s="94" t="str">
        <f t="shared" si="181"/>
        <v>OK</v>
      </c>
      <c r="U303" s="95" t="str">
        <f t="shared" si="182"/>
        <v/>
      </c>
      <c r="V303" s="96">
        <f t="shared" si="183"/>
        <v>0</v>
      </c>
    </row>
    <row r="304" spans="1:22" x14ac:dyDescent="0.2">
      <c r="A304" s="35">
        <v>1</v>
      </c>
      <c r="B304" s="6">
        <v>869</v>
      </c>
      <c r="C304" s="6">
        <v>120</v>
      </c>
      <c r="D304" s="7" t="s">
        <v>194</v>
      </c>
      <c r="E304" s="7" t="s">
        <v>64</v>
      </c>
      <c r="F304" s="8">
        <v>0</v>
      </c>
      <c r="G304" s="8">
        <v>1</v>
      </c>
      <c r="H304" s="8">
        <v>1</v>
      </c>
      <c r="I304" s="8">
        <v>0</v>
      </c>
      <c r="J304" s="8">
        <v>0</v>
      </c>
      <c r="K304" s="16" t="s">
        <v>23</v>
      </c>
      <c r="L304" s="47" t="s">
        <v>235</v>
      </c>
      <c r="M304" s="10">
        <f t="shared" si="176"/>
        <v>0.10428</v>
      </c>
      <c r="N304" s="11">
        <f t="shared" si="177"/>
        <v>1.738</v>
      </c>
      <c r="O304" s="12">
        <f>IF(E304="HERRAJE",IFERROR(_xlfn.XLOOKUP(D304,'⚙️ Configuración Costos'!$A$11:$A$20,'⚙️ Configuración Costos'!$B$11:$B$20),""),IFERROR(_xlfn.XLOOKUP(E304,'⚙️ Configuración Costos'!$A$5:$A$6,'⚙️ Configuración Costos'!$B$5:$B$6),""))</f>
        <v>239.8426229508197</v>
      </c>
      <c r="P304" s="12">
        <f t="shared" si="178"/>
        <v>25.010788721311478</v>
      </c>
      <c r="Q304" s="12">
        <f>IF(E304="HERRAJE",0,IFERROR(_xlfn.XLOOKUP(E304,'⚙️ Configuración Costos'!$E$5:$E$6,'⚙️ Configuración Costos'!$F$5:$F$6),""))</f>
        <v>6</v>
      </c>
      <c r="R304" s="12">
        <f t="shared" si="179"/>
        <v>10.428000000000001</v>
      </c>
      <c r="S304" s="38">
        <f t="shared" si="180"/>
        <v>35.438788721311482</v>
      </c>
      <c r="T304" s="94" t="str">
        <f t="shared" si="181"/>
        <v>OK</v>
      </c>
      <c r="U304" s="95" t="str">
        <f t="shared" si="182"/>
        <v/>
      </c>
      <c r="V304" s="96">
        <f t="shared" si="183"/>
        <v>0</v>
      </c>
    </row>
    <row r="305" spans="1:22" x14ac:dyDescent="0.2">
      <c r="A305" s="35">
        <v>1</v>
      </c>
      <c r="B305" s="6">
        <v>869</v>
      </c>
      <c r="C305" s="6">
        <v>120</v>
      </c>
      <c r="D305" s="7" t="s">
        <v>194</v>
      </c>
      <c r="E305" s="7" t="s">
        <v>64</v>
      </c>
      <c r="F305" s="8">
        <v>0</v>
      </c>
      <c r="G305" s="8">
        <v>1</v>
      </c>
      <c r="H305" s="8">
        <v>1</v>
      </c>
      <c r="I305" s="8">
        <v>0</v>
      </c>
      <c r="J305" s="8">
        <v>0</v>
      </c>
      <c r="K305" s="16" t="s">
        <v>23</v>
      </c>
      <c r="L305" s="47" t="s">
        <v>235</v>
      </c>
      <c r="M305" s="10">
        <f t="shared" si="176"/>
        <v>0.10428</v>
      </c>
      <c r="N305" s="11">
        <f t="shared" si="177"/>
        <v>1.738</v>
      </c>
      <c r="O305" s="12">
        <f>IF(E305="HERRAJE",IFERROR(_xlfn.XLOOKUP(D305,'⚙️ Configuración Costos'!$A$11:$A$20,'⚙️ Configuración Costos'!$B$11:$B$20),""),IFERROR(_xlfn.XLOOKUP(E305,'⚙️ Configuración Costos'!$A$5:$A$6,'⚙️ Configuración Costos'!$B$5:$B$6),""))</f>
        <v>239.8426229508197</v>
      </c>
      <c r="P305" s="12">
        <f t="shared" si="178"/>
        <v>25.010788721311478</v>
      </c>
      <c r="Q305" s="12">
        <f>IF(E305="HERRAJE",0,IFERROR(_xlfn.XLOOKUP(E305,'⚙️ Configuración Costos'!$E$5:$E$6,'⚙️ Configuración Costos'!$F$5:$F$6),""))</f>
        <v>6</v>
      </c>
      <c r="R305" s="12">
        <f t="shared" si="179"/>
        <v>10.428000000000001</v>
      </c>
      <c r="S305" s="38">
        <f t="shared" si="180"/>
        <v>35.438788721311482</v>
      </c>
      <c r="T305" s="94" t="str">
        <f t="shared" si="181"/>
        <v>OK</v>
      </c>
      <c r="U305" s="95" t="str">
        <f t="shared" si="182"/>
        <v/>
      </c>
      <c r="V305" s="96">
        <f t="shared" si="183"/>
        <v>0</v>
      </c>
    </row>
    <row r="306" spans="1:22" x14ac:dyDescent="0.2">
      <c r="A306" s="35">
        <v>1</v>
      </c>
      <c r="B306" s="6">
        <v>869</v>
      </c>
      <c r="C306" s="6">
        <v>490</v>
      </c>
      <c r="D306" s="7" t="s">
        <v>179</v>
      </c>
      <c r="E306" s="7" t="s">
        <v>64</v>
      </c>
      <c r="F306" s="8">
        <v>0</v>
      </c>
      <c r="G306" s="8">
        <v>1</v>
      </c>
      <c r="H306" s="8">
        <v>0</v>
      </c>
      <c r="I306" s="8">
        <v>0</v>
      </c>
      <c r="J306" s="8">
        <v>0</v>
      </c>
      <c r="K306" s="16" t="s">
        <v>23</v>
      </c>
      <c r="L306" s="47" t="s">
        <v>236</v>
      </c>
      <c r="M306" s="10">
        <f t="shared" si="176"/>
        <v>0.42581000000000002</v>
      </c>
      <c r="N306" s="11">
        <f t="shared" si="177"/>
        <v>0.86899999999999999</v>
      </c>
      <c r="O306" s="12">
        <f>IF(E306="HERRAJE",IFERROR(_xlfn.XLOOKUP(D306,'⚙️ Configuración Costos'!$A$11:$A$20,'⚙️ Configuración Costos'!$B$11:$B$20),""),IFERROR(_xlfn.XLOOKUP(E306,'⚙️ Configuración Costos'!$A$5:$A$6,'⚙️ Configuración Costos'!$B$5:$B$6),""))</f>
        <v>239.8426229508197</v>
      </c>
      <c r="P306" s="12">
        <f t="shared" si="178"/>
        <v>102.12738727868854</v>
      </c>
      <c r="Q306" s="12">
        <f>IF(E306="HERRAJE",0,IFERROR(_xlfn.XLOOKUP(E306,'⚙️ Configuración Costos'!$E$5:$E$6,'⚙️ Configuración Costos'!$F$5:$F$6),""))</f>
        <v>6</v>
      </c>
      <c r="R306" s="12">
        <f t="shared" si="179"/>
        <v>5.2140000000000004</v>
      </c>
      <c r="S306" s="38">
        <f t="shared" si="180"/>
        <v>107.34138727868854</v>
      </c>
      <c r="T306" s="94" t="str">
        <f t="shared" si="181"/>
        <v>OK</v>
      </c>
      <c r="U306" s="95" t="str">
        <f t="shared" si="182"/>
        <v/>
      </c>
      <c r="V306" s="96">
        <f t="shared" si="183"/>
        <v>0</v>
      </c>
    </row>
    <row r="307" spans="1:22" x14ac:dyDescent="0.2">
      <c r="A307" s="35">
        <v>1</v>
      </c>
      <c r="B307" s="6">
        <v>717</v>
      </c>
      <c r="C307" s="6">
        <v>447</v>
      </c>
      <c r="D307" s="7" t="s">
        <v>181</v>
      </c>
      <c r="E307" s="7" t="s">
        <v>85</v>
      </c>
      <c r="F307" s="8">
        <v>1</v>
      </c>
      <c r="G307" s="8">
        <v>1</v>
      </c>
      <c r="H307" s="8">
        <v>1</v>
      </c>
      <c r="I307" s="8">
        <v>1</v>
      </c>
      <c r="J307" s="8">
        <v>1</v>
      </c>
      <c r="K307" s="16" t="s">
        <v>23</v>
      </c>
      <c r="L307" s="47" t="s">
        <v>237</v>
      </c>
      <c r="M307" s="10">
        <f t="shared" si="176"/>
        <v>0.32049899999999998</v>
      </c>
      <c r="N307" s="11">
        <f t="shared" si="177"/>
        <v>2.3279999999999998</v>
      </c>
      <c r="O307" s="12">
        <f>IF(E307="HERRAJE",IFERROR(_xlfn.XLOOKUP(D307,'⚙️ Configuración Costos'!$A$11:$A$20,'⚙️ Configuración Costos'!$B$11:$B$20),""),IFERROR(_xlfn.XLOOKUP(E307,'⚙️ Configuración Costos'!$A$5:$A$6,'⚙️ Configuración Costos'!$B$5:$B$6),""))</f>
        <v>332.85245901639348</v>
      </c>
      <c r="P307" s="12">
        <f t="shared" si="178"/>
        <v>106.67888026229508</v>
      </c>
      <c r="Q307" s="12">
        <f>IF(E307="HERRAJE",0,IFERROR(_xlfn.XLOOKUP(E307,'⚙️ Configuración Costos'!$E$5:$E$6,'⚙️ Configuración Costos'!$F$5:$F$6),""))</f>
        <v>9.5</v>
      </c>
      <c r="R307" s="12">
        <f t="shared" si="179"/>
        <v>22.116</v>
      </c>
      <c r="S307" s="38">
        <f t="shared" si="180"/>
        <v>128.79488026229507</v>
      </c>
      <c r="T307" s="94" t="str">
        <f t="shared" si="181"/>
        <v>OK</v>
      </c>
      <c r="U307" s="95" t="str">
        <f t="shared" si="182"/>
        <v/>
      </c>
      <c r="V307" s="96">
        <f t="shared" si="183"/>
        <v>0</v>
      </c>
    </row>
    <row r="308" spans="1:22" x14ac:dyDescent="0.2">
      <c r="A308" s="35">
        <v>1</v>
      </c>
      <c r="B308" s="6">
        <v>717</v>
      </c>
      <c r="C308" s="6">
        <v>447</v>
      </c>
      <c r="D308" s="7" t="s">
        <v>223</v>
      </c>
      <c r="E308" s="7" t="s">
        <v>85</v>
      </c>
      <c r="F308" s="8">
        <v>1</v>
      </c>
      <c r="G308" s="8">
        <v>1</v>
      </c>
      <c r="H308" s="8">
        <v>1</v>
      </c>
      <c r="I308" s="8">
        <v>1</v>
      </c>
      <c r="J308" s="8">
        <v>1</v>
      </c>
      <c r="K308" s="16" t="s">
        <v>23</v>
      </c>
      <c r="L308" s="47" t="s">
        <v>238</v>
      </c>
      <c r="M308" s="10">
        <f t="shared" si="176"/>
        <v>0.32049899999999998</v>
      </c>
      <c r="N308" s="11">
        <f t="shared" si="177"/>
        <v>2.3279999999999998</v>
      </c>
      <c r="O308" s="12">
        <f>IF(E308="HERRAJE",IFERROR(_xlfn.XLOOKUP(D308,'⚙️ Configuración Costos'!$A$11:$A$20,'⚙️ Configuración Costos'!$B$11:$B$20),""),IFERROR(_xlfn.XLOOKUP(E308,'⚙️ Configuración Costos'!$A$5:$A$6,'⚙️ Configuración Costos'!$B$5:$B$6),""))</f>
        <v>332.85245901639348</v>
      </c>
      <c r="P308" s="12">
        <f t="shared" si="178"/>
        <v>106.67888026229508</v>
      </c>
      <c r="Q308" s="12">
        <f>IF(E308="HERRAJE",0,IFERROR(_xlfn.XLOOKUP(E308,'⚙️ Configuración Costos'!$E$5:$E$6,'⚙️ Configuración Costos'!$F$5:$F$6),""))</f>
        <v>9.5</v>
      </c>
      <c r="R308" s="12">
        <f t="shared" si="179"/>
        <v>22.116</v>
      </c>
      <c r="S308" s="38">
        <f t="shared" si="180"/>
        <v>128.79488026229507</v>
      </c>
      <c r="T308" s="94" t="str">
        <f t="shared" si="181"/>
        <v>OK</v>
      </c>
      <c r="U308" s="95" t="str">
        <f t="shared" si="182"/>
        <v/>
      </c>
      <c r="V308" s="96">
        <f t="shared" si="183"/>
        <v>0</v>
      </c>
    </row>
    <row r="309" spans="1:22" x14ac:dyDescent="0.2">
      <c r="A309" s="35">
        <v>4</v>
      </c>
      <c r="B309" s="6">
        <v>0</v>
      </c>
      <c r="C309" s="6">
        <v>0</v>
      </c>
      <c r="D309" s="7" t="s">
        <v>90</v>
      </c>
      <c r="E309" s="7" t="s">
        <v>91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16" t="s">
        <v>23</v>
      </c>
      <c r="L309" s="47" t="s">
        <v>92</v>
      </c>
      <c r="M309" s="10">
        <f t="shared" si="176"/>
        <v>0</v>
      </c>
      <c r="N309" s="11">
        <f t="shared" si="177"/>
        <v>0</v>
      </c>
      <c r="O309" s="12">
        <f>IF(E309="HERRAJE",IFERROR(_xlfn.XLOOKUP(D309,'⚙️ Configuración Costos'!$A$11:$A$20,'⚙️ Configuración Costos'!$B$11:$B$20),""),IFERROR(_xlfn.XLOOKUP(E309,'⚙️ Configuración Costos'!$A$5:$A$6,'⚙️ Configuración Costos'!$B$5:$B$6),""))</f>
        <v>20</v>
      </c>
      <c r="P309" s="12">
        <f t="shared" si="178"/>
        <v>80</v>
      </c>
      <c r="Q309" s="12">
        <f>IF(E309="HERRAJE",0,IFERROR(_xlfn.XLOOKUP(E309,'⚙️ Configuración Costos'!$E$5:$E$6,'⚙️ Configuración Costos'!$F$5:$F$6),""))</f>
        <v>0</v>
      </c>
      <c r="R309" s="12">
        <f t="shared" si="179"/>
        <v>0</v>
      </c>
      <c r="S309" s="38">
        <f t="shared" si="180"/>
        <v>80</v>
      </c>
      <c r="T309" s="94" t="str">
        <f t="shared" si="181"/>
        <v>OK</v>
      </c>
      <c r="U309" s="95" t="str">
        <f t="shared" si="182"/>
        <v/>
      </c>
      <c r="V309" s="96">
        <f t="shared" si="183"/>
        <v>0</v>
      </c>
    </row>
    <row r="310" spans="1:22" x14ac:dyDescent="0.2">
      <c r="A310" s="35">
        <v>2</v>
      </c>
      <c r="B310" s="6">
        <v>0</v>
      </c>
      <c r="C310" s="6">
        <v>0</v>
      </c>
      <c r="D310" s="7" t="s">
        <v>93</v>
      </c>
      <c r="E310" s="7" t="s">
        <v>91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16" t="s">
        <v>23</v>
      </c>
      <c r="L310" s="47" t="s">
        <v>94</v>
      </c>
      <c r="M310" s="10">
        <f t="shared" si="176"/>
        <v>0</v>
      </c>
      <c r="N310" s="11">
        <f t="shared" si="177"/>
        <v>0</v>
      </c>
      <c r="O310" s="12">
        <f>IF(E310="HERRAJE",IFERROR(_xlfn.XLOOKUP(D310,'⚙️ Configuración Costos'!$A$11:$A$20,'⚙️ Configuración Costos'!$B$11:$B$20),""),IFERROR(_xlfn.XLOOKUP(E310,'⚙️ Configuración Costos'!$A$5:$A$6,'⚙️ Configuración Costos'!$B$5:$B$6),""))</f>
        <v>15</v>
      </c>
      <c r="P310" s="12">
        <f t="shared" si="178"/>
        <v>30</v>
      </c>
      <c r="Q310" s="12">
        <f>IF(E310="HERRAJE",0,IFERROR(_xlfn.XLOOKUP(E310,'⚙️ Configuración Costos'!$E$5:$E$6,'⚙️ Configuración Costos'!$F$5:$F$6),""))</f>
        <v>0</v>
      </c>
      <c r="R310" s="12">
        <f t="shared" si="179"/>
        <v>0</v>
      </c>
      <c r="S310" s="38">
        <f t="shared" si="180"/>
        <v>30</v>
      </c>
      <c r="T310" s="94" t="str">
        <f t="shared" si="181"/>
        <v>OK</v>
      </c>
      <c r="U310" s="95" t="str">
        <f t="shared" si="182"/>
        <v/>
      </c>
      <c r="V310" s="96">
        <f t="shared" si="183"/>
        <v>0</v>
      </c>
    </row>
    <row r="311" spans="1:22" x14ac:dyDescent="0.2">
      <c r="A311" s="35">
        <v>4</v>
      </c>
      <c r="B311" s="6">
        <v>0</v>
      </c>
      <c r="C311" s="6">
        <v>0</v>
      </c>
      <c r="D311" s="7" t="s">
        <v>186</v>
      </c>
      <c r="E311" s="7" t="s">
        <v>91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16" t="s">
        <v>23</v>
      </c>
      <c r="L311" s="47" t="s">
        <v>187</v>
      </c>
      <c r="M311" s="10">
        <f t="shared" si="176"/>
        <v>0</v>
      </c>
      <c r="N311" s="11">
        <f t="shared" si="177"/>
        <v>0</v>
      </c>
      <c r="O311" s="12">
        <f>IF(E311="HERRAJE",IFERROR(_xlfn.XLOOKUP(D311,'⚙️ Configuración Costos'!$A$11:$A$20,'⚙️ Configuración Costos'!$B$11:$B$20),""),IFERROR(_xlfn.XLOOKUP(E311,'⚙️ Configuración Costos'!$A$5:$A$6,'⚙️ Configuración Costos'!$B$5:$B$6),""))</f>
        <v>15</v>
      </c>
      <c r="P311" s="12">
        <f t="shared" si="178"/>
        <v>60</v>
      </c>
      <c r="Q311" s="12">
        <f>IF(E311="HERRAJE",0,IFERROR(_xlfn.XLOOKUP(E311,'⚙️ Configuración Costos'!$E$5:$E$6,'⚙️ Configuración Costos'!$F$5:$F$6),""))</f>
        <v>0</v>
      </c>
      <c r="R311" s="12">
        <f t="shared" si="179"/>
        <v>0</v>
      </c>
      <c r="S311" s="38">
        <f t="shared" si="180"/>
        <v>60</v>
      </c>
      <c r="T311" s="94" t="str">
        <f t="shared" si="181"/>
        <v>OK</v>
      </c>
      <c r="U311" s="95" t="str">
        <f t="shared" si="182"/>
        <v/>
      </c>
      <c r="V311" s="96">
        <f t="shared" si="183"/>
        <v>0</v>
      </c>
    </row>
    <row r="312" spans="1:22" x14ac:dyDescent="0.2">
      <c r="A312" s="35">
        <v>4</v>
      </c>
      <c r="B312" s="6">
        <v>0</v>
      </c>
      <c r="C312" s="6">
        <v>0</v>
      </c>
      <c r="D312" s="7" t="s">
        <v>95</v>
      </c>
      <c r="E312" s="7" t="s">
        <v>91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16" t="s">
        <v>23</v>
      </c>
      <c r="L312" s="47" t="s">
        <v>96</v>
      </c>
      <c r="M312" s="10">
        <f t="shared" si="176"/>
        <v>0</v>
      </c>
      <c r="N312" s="11">
        <f t="shared" si="177"/>
        <v>0</v>
      </c>
      <c r="O312" s="12">
        <f>IF(E312="HERRAJE",IFERROR(_xlfn.XLOOKUP(D312,'⚙️ Configuración Costos'!$A$11:$A$20,'⚙️ Configuración Costos'!$B$11:$B$20),""),IFERROR(_xlfn.XLOOKUP(E312,'⚙️ Configuración Costos'!$A$5:$A$6,'⚙️ Configuración Costos'!$B$5:$B$6),""))</f>
        <v>2</v>
      </c>
      <c r="P312" s="12">
        <f t="shared" si="178"/>
        <v>8</v>
      </c>
      <c r="Q312" s="12">
        <f>IF(E312="HERRAJE",0,IFERROR(_xlfn.XLOOKUP(E312,'⚙️ Configuración Costos'!$E$5:$E$6,'⚙️ Configuración Costos'!$F$5:$F$6),""))</f>
        <v>0</v>
      </c>
      <c r="R312" s="12">
        <f t="shared" si="179"/>
        <v>0</v>
      </c>
      <c r="S312" s="38">
        <f t="shared" si="180"/>
        <v>8</v>
      </c>
      <c r="T312" s="94" t="str">
        <f t="shared" si="181"/>
        <v>OK</v>
      </c>
      <c r="U312" s="95" t="str">
        <f t="shared" si="182"/>
        <v/>
      </c>
      <c r="V312" s="96">
        <f t="shared" si="183"/>
        <v>0</v>
      </c>
    </row>
    <row r="313" spans="1:22" ht="16" thickBot="1" x14ac:dyDescent="0.25">
      <c r="A313" s="36">
        <v>40</v>
      </c>
      <c r="B313" s="20">
        <v>0</v>
      </c>
      <c r="C313" s="20">
        <v>0</v>
      </c>
      <c r="D313" s="21" t="s">
        <v>97</v>
      </c>
      <c r="E313" s="21" t="s">
        <v>91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16" t="s">
        <v>23</v>
      </c>
      <c r="L313" s="48" t="s">
        <v>98</v>
      </c>
      <c r="M313" s="24">
        <f t="shared" si="176"/>
        <v>0</v>
      </c>
      <c r="N313" s="25">
        <f t="shared" si="177"/>
        <v>0</v>
      </c>
      <c r="O313" s="26">
        <f>IF(E313="HERRAJE",IFERROR(_xlfn.XLOOKUP(D313,'⚙️ Configuración Costos'!$A$11:$A$20,'⚙️ Configuración Costos'!$B$11:$B$20),""),IFERROR(_xlfn.XLOOKUP(E313,'⚙️ Configuración Costos'!$A$5:$A$6,'⚙️ Configuración Costos'!$B$5:$B$6),""))</f>
        <v>1.5</v>
      </c>
      <c r="P313" s="26">
        <f t="shared" si="178"/>
        <v>60</v>
      </c>
      <c r="Q313" s="26">
        <f>IF(E313="HERRAJE",0,IFERROR(_xlfn.XLOOKUP(E313,'⚙️ Configuración Costos'!$E$5:$E$6,'⚙️ Configuración Costos'!$F$5:$F$6),""))</f>
        <v>0</v>
      </c>
      <c r="R313" s="26">
        <f t="shared" si="179"/>
        <v>0</v>
      </c>
      <c r="S313" s="39">
        <f t="shared" si="180"/>
        <v>60</v>
      </c>
      <c r="T313" s="94" t="str">
        <f t="shared" si="181"/>
        <v>OK</v>
      </c>
      <c r="U313" s="95" t="str">
        <f t="shared" si="182"/>
        <v/>
      </c>
      <c r="V313" s="96">
        <f t="shared" si="183"/>
        <v>0</v>
      </c>
    </row>
    <row r="314" spans="1:22" ht="16" thickTop="1" x14ac:dyDescent="0.2">
      <c r="A314" s="27" t="s">
        <v>99</v>
      </c>
      <c r="B314" s="27"/>
      <c r="C314" s="27"/>
      <c r="D314" s="28"/>
      <c r="E314" s="28"/>
      <c r="F314" s="29"/>
      <c r="G314" s="29"/>
      <c r="H314" s="29"/>
      <c r="I314" s="29"/>
      <c r="J314" s="29"/>
      <c r="K314" s="30"/>
      <c r="L314" s="49" t="s">
        <v>188</v>
      </c>
      <c r="M314" s="31">
        <f>SUM(M300:M313)</f>
        <v>3.2133289999999999</v>
      </c>
      <c r="N314" s="32">
        <f>SUM(N300:N313)</f>
        <v>15.938999999999998</v>
      </c>
      <c r="O314" s="33"/>
      <c r="P314" s="33">
        <f>SUM(P300:P313)</f>
        <v>1068.312374662295</v>
      </c>
      <c r="Q314" s="33"/>
      <c r="R314" s="33">
        <f>SUM(R300:R313)</f>
        <v>111.92999999999999</v>
      </c>
      <c r="S314" s="33">
        <f>SUM(S300:S313)</f>
        <v>1180.2423746622953</v>
      </c>
      <c r="T314" s="97"/>
      <c r="U314" s="98"/>
      <c r="V314" s="99"/>
    </row>
    <row r="315" spans="1:22" x14ac:dyDescent="0.2">
      <c r="A315" s="186" t="s">
        <v>239</v>
      </c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8"/>
      <c r="T315" s="97"/>
      <c r="U315" s="98"/>
      <c r="V315" s="99"/>
    </row>
    <row r="316" spans="1:22" x14ac:dyDescent="0.2">
      <c r="A316" s="34">
        <v>1</v>
      </c>
      <c r="B316" s="13">
        <v>720</v>
      </c>
      <c r="C316" s="13">
        <v>580</v>
      </c>
      <c r="D316" s="14" t="s">
        <v>63</v>
      </c>
      <c r="E316" s="14" t="s">
        <v>64</v>
      </c>
      <c r="F316" s="15">
        <v>0</v>
      </c>
      <c r="G316" s="15">
        <v>1</v>
      </c>
      <c r="H316" s="15">
        <v>1</v>
      </c>
      <c r="I316" s="15">
        <v>1</v>
      </c>
      <c r="J316" s="15">
        <v>1</v>
      </c>
      <c r="K316" s="16" t="s">
        <v>24</v>
      </c>
      <c r="L316" s="46" t="s">
        <v>190</v>
      </c>
      <c r="M316" s="17">
        <f t="shared" ref="M316:M332" si="184">IF(AND(ISNUMBER(B316),ISNUMBER(C316),B316&gt;0,C316&gt;0),A316*(B316*C316/1000000),0)</f>
        <v>0.41760000000000003</v>
      </c>
      <c r="N316" s="18">
        <f t="shared" ref="N316:N332" si="185">IF(AND(ISNUMBER(B316),B316&gt;0),A316*(((G316+H316)*B316+(I316+J316)*C316)/1000),0)</f>
        <v>2.6</v>
      </c>
      <c r="O316" s="19">
        <f>IF(E316="HERRAJE",IFERROR(_xlfn.XLOOKUP(D316,'⚙️ Configuración Costos'!$A$11:$A$20,'⚙️ Configuración Costos'!$B$11:$B$20),""),IFERROR(_xlfn.XLOOKUP(E316,'⚙️ Configuración Costos'!$A$5:$A$6,'⚙️ Configuración Costos'!$B$5:$B$6),""))</f>
        <v>239.8426229508197</v>
      </c>
      <c r="P316" s="19">
        <f t="shared" ref="P316:P332" si="186">IF(E316="HERRAJE",A316*O316,M316*O316)</f>
        <v>100.15827934426231</v>
      </c>
      <c r="Q316" s="19">
        <f>IF(E316="HERRAJE",0,IFERROR(_xlfn.XLOOKUP(E316,'⚙️ Configuración Costos'!$E$5:$E$6,'⚙️ Configuración Costos'!$F$5:$F$6),""))</f>
        <v>6</v>
      </c>
      <c r="R316" s="19">
        <f t="shared" ref="R316:R332" si="187">N316*Q316</f>
        <v>15.600000000000001</v>
      </c>
      <c r="S316" s="37">
        <f t="shared" ref="S316:S332" si="188">P316+R316</f>
        <v>115.75827934426232</v>
      </c>
      <c r="T316" s="94" t="str">
        <f t="shared" ref="T316:T332" si="189">IF(K316="","SIN ID MÓDULO",IF(E316="HERRAJE",IF(OR(O316="",O316&lt;=0),"SIN PRECIO HERRAJE","OK"),IF(OR(O316="",O316&lt;=0),"SIN PRECIO MATERIAL",IF(AND(N316&gt;0,OR(Q316="",Q316&lt;=0)),"SIN PRECIO CINTILLA","OK"))))</f>
        <v>OK</v>
      </c>
      <c r="U316" s="95" t="str">
        <f t="shared" ref="U316:U332" si="190">IF(T316="OK","",IF(T316="SIN PRECIO HERRAJE","Capturar precio: "&amp;D316,IF(T316="SIN PRECIO MATERIAL","Configurar material: "&amp;E316,IF(T316="SIN PRECIO CINTILLA","Configurar cintilla: "&amp;E316,IF(T316="SIN ID MÓDULO","Revisar ID del módulo","")))))</f>
        <v/>
      </c>
      <c r="V316" s="96">
        <f t="shared" ref="V316:V332" si="191">IF(T316="OK",0,IF(T316="",0,1))</f>
        <v>0</v>
      </c>
    </row>
    <row r="317" spans="1:22" x14ac:dyDescent="0.2">
      <c r="A317" s="35">
        <v>1</v>
      </c>
      <c r="B317" s="6">
        <v>720</v>
      </c>
      <c r="C317" s="6">
        <v>580</v>
      </c>
      <c r="D317" s="7" t="s">
        <v>66</v>
      </c>
      <c r="E317" s="7" t="s">
        <v>64</v>
      </c>
      <c r="F317" s="8">
        <v>0</v>
      </c>
      <c r="G317" s="8">
        <v>1</v>
      </c>
      <c r="H317" s="8">
        <v>1</v>
      </c>
      <c r="I317" s="8">
        <v>1</v>
      </c>
      <c r="J317" s="8">
        <v>1</v>
      </c>
      <c r="K317" s="16" t="s">
        <v>24</v>
      </c>
      <c r="L317" s="47" t="s">
        <v>191</v>
      </c>
      <c r="M317" s="10">
        <f t="shared" si="184"/>
        <v>0.41760000000000003</v>
      </c>
      <c r="N317" s="11">
        <f t="shared" si="185"/>
        <v>2.6</v>
      </c>
      <c r="O317" s="12">
        <f>IF(E317="HERRAJE",IFERROR(_xlfn.XLOOKUP(D317,'⚙️ Configuración Costos'!$A$11:$A$20,'⚙️ Configuración Costos'!$B$11:$B$20),""),IFERROR(_xlfn.XLOOKUP(E317,'⚙️ Configuración Costos'!$A$5:$A$6,'⚙️ Configuración Costos'!$B$5:$B$6),""))</f>
        <v>239.8426229508197</v>
      </c>
      <c r="P317" s="12">
        <f t="shared" si="186"/>
        <v>100.15827934426231</v>
      </c>
      <c r="Q317" s="12">
        <f>IF(E317="HERRAJE",0,IFERROR(_xlfn.XLOOKUP(E317,'⚙️ Configuración Costos'!$E$5:$E$6,'⚙️ Configuración Costos'!$F$5:$F$6),""))</f>
        <v>6</v>
      </c>
      <c r="R317" s="12">
        <f t="shared" si="187"/>
        <v>15.600000000000001</v>
      </c>
      <c r="S317" s="38">
        <f t="shared" si="188"/>
        <v>115.75827934426232</v>
      </c>
      <c r="T317" s="94" t="str">
        <f t="shared" si="189"/>
        <v>OK</v>
      </c>
      <c r="U317" s="95" t="str">
        <f t="shared" si="190"/>
        <v/>
      </c>
      <c r="V317" s="96">
        <f t="shared" si="191"/>
        <v>0</v>
      </c>
    </row>
    <row r="318" spans="1:22" x14ac:dyDescent="0.2">
      <c r="A318" s="35">
        <v>2</v>
      </c>
      <c r="B318" s="6">
        <v>369</v>
      </c>
      <c r="C318" s="6">
        <v>120</v>
      </c>
      <c r="D318" s="7" t="s">
        <v>240</v>
      </c>
      <c r="E318" s="7" t="s">
        <v>64</v>
      </c>
      <c r="F318" s="8">
        <v>0</v>
      </c>
      <c r="G318" s="8">
        <v>1</v>
      </c>
      <c r="H318" s="8">
        <v>1</v>
      </c>
      <c r="I318" s="8">
        <v>0</v>
      </c>
      <c r="J318" s="8">
        <v>0</v>
      </c>
      <c r="K318" s="16" t="s">
        <v>24</v>
      </c>
      <c r="L318" s="47" t="s">
        <v>241</v>
      </c>
      <c r="M318" s="10">
        <f t="shared" si="184"/>
        <v>8.856E-2</v>
      </c>
      <c r="N318" s="11">
        <f t="shared" si="185"/>
        <v>1.476</v>
      </c>
      <c r="O318" s="12">
        <f>IF(E318="HERRAJE",IFERROR(_xlfn.XLOOKUP(D318,'⚙️ Configuración Costos'!$A$11:$A$20,'⚙️ Configuración Costos'!$B$11:$B$20),""),IFERROR(_xlfn.XLOOKUP(E318,'⚙️ Configuración Costos'!$A$5:$A$6,'⚙️ Configuración Costos'!$B$5:$B$6),""))</f>
        <v>239.8426229508197</v>
      </c>
      <c r="P318" s="12">
        <f t="shared" si="186"/>
        <v>21.240462688524591</v>
      </c>
      <c r="Q318" s="12">
        <f>IF(E318="HERRAJE",0,IFERROR(_xlfn.XLOOKUP(E318,'⚙️ Configuración Costos'!$E$5:$E$6,'⚙️ Configuración Costos'!$F$5:$F$6),""))</f>
        <v>6</v>
      </c>
      <c r="R318" s="12">
        <f t="shared" si="187"/>
        <v>8.8559999999999999</v>
      </c>
      <c r="S318" s="38">
        <f t="shared" si="188"/>
        <v>30.096462688524589</v>
      </c>
      <c r="T318" s="94" t="str">
        <f t="shared" si="189"/>
        <v>OK</v>
      </c>
      <c r="U318" s="95" t="str">
        <f t="shared" si="190"/>
        <v/>
      </c>
      <c r="V318" s="96">
        <f t="shared" si="191"/>
        <v>0</v>
      </c>
    </row>
    <row r="319" spans="1:22" x14ac:dyDescent="0.2">
      <c r="A319" s="35">
        <v>1</v>
      </c>
      <c r="B319" s="6">
        <v>369</v>
      </c>
      <c r="C319" s="6">
        <v>580</v>
      </c>
      <c r="D319" s="7" t="s">
        <v>171</v>
      </c>
      <c r="E319" s="7" t="s">
        <v>64</v>
      </c>
      <c r="F319" s="8">
        <v>0</v>
      </c>
      <c r="G319" s="8">
        <v>0</v>
      </c>
      <c r="H319" s="8">
        <v>0</v>
      </c>
      <c r="I319" s="8">
        <v>1</v>
      </c>
      <c r="J319" s="8">
        <v>1</v>
      </c>
      <c r="K319" s="16" t="s">
        <v>24</v>
      </c>
      <c r="L319" s="47" t="s">
        <v>201</v>
      </c>
      <c r="M319" s="10">
        <f t="shared" si="184"/>
        <v>0.21401999999999999</v>
      </c>
      <c r="N319" s="11">
        <f t="shared" si="185"/>
        <v>1.1599999999999999</v>
      </c>
      <c r="O319" s="12">
        <f>IF(E319="HERRAJE",IFERROR(_xlfn.XLOOKUP(D319,'⚙️ Configuración Costos'!$A$11:$A$20,'⚙️ Configuración Costos'!$B$11:$B$20),""),IFERROR(_xlfn.XLOOKUP(E319,'⚙️ Configuración Costos'!$A$5:$A$6,'⚙️ Configuración Costos'!$B$5:$B$6),""))</f>
        <v>239.8426229508197</v>
      </c>
      <c r="P319" s="12">
        <f t="shared" si="186"/>
        <v>51.331118163934427</v>
      </c>
      <c r="Q319" s="12">
        <f>IF(E319="HERRAJE",0,IFERROR(_xlfn.XLOOKUP(E319,'⚙️ Configuración Costos'!$E$5:$E$6,'⚙️ Configuración Costos'!$F$5:$F$6),""))</f>
        <v>6</v>
      </c>
      <c r="R319" s="12">
        <f t="shared" si="187"/>
        <v>6.9599999999999991</v>
      </c>
      <c r="S319" s="38">
        <f t="shared" si="188"/>
        <v>58.291118163934428</v>
      </c>
      <c r="T319" s="94" t="str">
        <f t="shared" si="189"/>
        <v>OK</v>
      </c>
      <c r="U319" s="95" t="str">
        <f t="shared" si="190"/>
        <v/>
      </c>
      <c r="V319" s="96">
        <f t="shared" si="191"/>
        <v>0</v>
      </c>
    </row>
    <row r="320" spans="1:22" x14ac:dyDescent="0.2">
      <c r="A320" s="35">
        <v>2</v>
      </c>
      <c r="B320" s="6">
        <v>369</v>
      </c>
      <c r="C320" s="6">
        <v>120</v>
      </c>
      <c r="D320" s="7" t="s">
        <v>194</v>
      </c>
      <c r="E320" s="7" t="s">
        <v>64</v>
      </c>
      <c r="F320" s="8">
        <v>0</v>
      </c>
      <c r="G320" s="8">
        <v>1</v>
      </c>
      <c r="H320" s="8">
        <v>1</v>
      </c>
      <c r="I320" s="8">
        <v>0</v>
      </c>
      <c r="J320" s="8">
        <v>0</v>
      </c>
      <c r="K320" s="16" t="s">
        <v>24</v>
      </c>
      <c r="L320" s="47" t="s">
        <v>202</v>
      </c>
      <c r="M320" s="10">
        <f t="shared" si="184"/>
        <v>8.856E-2</v>
      </c>
      <c r="N320" s="11">
        <f t="shared" si="185"/>
        <v>1.476</v>
      </c>
      <c r="O320" s="12">
        <f>IF(E320="HERRAJE",IFERROR(_xlfn.XLOOKUP(D320,'⚙️ Configuración Costos'!$A$11:$A$20,'⚙️ Configuración Costos'!$B$11:$B$20),""),IFERROR(_xlfn.XLOOKUP(E320,'⚙️ Configuración Costos'!$A$5:$A$6,'⚙️ Configuración Costos'!$B$5:$B$6),""))</f>
        <v>239.8426229508197</v>
      </c>
      <c r="P320" s="12">
        <f t="shared" si="186"/>
        <v>21.240462688524591</v>
      </c>
      <c r="Q320" s="12">
        <f>IF(E320="HERRAJE",0,IFERROR(_xlfn.XLOOKUP(E320,'⚙️ Configuración Costos'!$E$5:$E$6,'⚙️ Configuración Costos'!$F$5:$F$6),""))</f>
        <v>6</v>
      </c>
      <c r="R320" s="12">
        <f t="shared" si="187"/>
        <v>8.8559999999999999</v>
      </c>
      <c r="S320" s="38">
        <f t="shared" si="188"/>
        <v>30.096462688524589</v>
      </c>
      <c r="T320" s="94" t="str">
        <f t="shared" si="189"/>
        <v>OK</v>
      </c>
      <c r="U320" s="95" t="str">
        <f t="shared" si="190"/>
        <v/>
      </c>
      <c r="V320" s="96">
        <f t="shared" si="191"/>
        <v>0</v>
      </c>
    </row>
    <row r="321" spans="1:22" x14ac:dyDescent="0.2">
      <c r="A321" s="35">
        <v>2</v>
      </c>
      <c r="B321" s="6">
        <v>500</v>
      </c>
      <c r="C321" s="6">
        <v>230</v>
      </c>
      <c r="D321" s="7" t="s">
        <v>242</v>
      </c>
      <c r="E321" s="7" t="s">
        <v>64</v>
      </c>
      <c r="F321" s="8">
        <v>0</v>
      </c>
      <c r="G321" s="8">
        <v>1</v>
      </c>
      <c r="H321" s="8">
        <v>1</v>
      </c>
      <c r="I321" s="8">
        <v>1</v>
      </c>
      <c r="J321" s="8">
        <v>1</v>
      </c>
      <c r="K321" s="16" t="s">
        <v>24</v>
      </c>
      <c r="L321" s="47" t="s">
        <v>243</v>
      </c>
      <c r="M321" s="10">
        <f t="shared" si="184"/>
        <v>0.23</v>
      </c>
      <c r="N321" s="11">
        <f t="shared" si="185"/>
        <v>2.92</v>
      </c>
      <c r="O321" s="12">
        <f>IF(E321="HERRAJE",IFERROR(_xlfn.XLOOKUP(D321,'⚙️ Configuración Costos'!$A$11:$A$20,'⚙️ Configuración Costos'!$B$11:$B$20),""),IFERROR(_xlfn.XLOOKUP(E321,'⚙️ Configuración Costos'!$A$5:$A$6,'⚙️ Configuración Costos'!$B$5:$B$6),""))</f>
        <v>239.8426229508197</v>
      </c>
      <c r="P321" s="12">
        <f t="shared" si="186"/>
        <v>55.163803278688533</v>
      </c>
      <c r="Q321" s="12">
        <f>IF(E321="HERRAJE",0,IFERROR(_xlfn.XLOOKUP(E321,'⚙️ Configuración Costos'!$E$5:$E$6,'⚙️ Configuración Costos'!$F$5:$F$6),""))</f>
        <v>6</v>
      </c>
      <c r="R321" s="12">
        <f t="shared" si="187"/>
        <v>17.52</v>
      </c>
      <c r="S321" s="38">
        <f t="shared" si="188"/>
        <v>72.683803278688529</v>
      </c>
      <c r="T321" s="94" t="str">
        <f t="shared" si="189"/>
        <v>OK</v>
      </c>
      <c r="U321" s="95" t="str">
        <f t="shared" si="190"/>
        <v/>
      </c>
      <c r="V321" s="96">
        <f t="shared" si="191"/>
        <v>0</v>
      </c>
    </row>
    <row r="322" spans="1:22" x14ac:dyDescent="0.2">
      <c r="A322" s="35">
        <v>4</v>
      </c>
      <c r="B322" s="6">
        <v>500</v>
      </c>
      <c r="C322" s="6">
        <v>100</v>
      </c>
      <c r="D322" s="7" t="s">
        <v>242</v>
      </c>
      <c r="E322" s="7" t="s">
        <v>64</v>
      </c>
      <c r="F322" s="8">
        <v>0</v>
      </c>
      <c r="G322" s="8">
        <v>1</v>
      </c>
      <c r="H322" s="8">
        <v>1</v>
      </c>
      <c r="I322" s="8">
        <v>1</v>
      </c>
      <c r="J322" s="8">
        <v>1</v>
      </c>
      <c r="K322" s="16" t="s">
        <v>24</v>
      </c>
      <c r="L322" s="47" t="s">
        <v>244</v>
      </c>
      <c r="M322" s="10">
        <f t="shared" si="184"/>
        <v>0.2</v>
      </c>
      <c r="N322" s="11">
        <f t="shared" si="185"/>
        <v>4.8</v>
      </c>
      <c r="O322" s="12">
        <f>IF(E322="HERRAJE",IFERROR(_xlfn.XLOOKUP(D322,'⚙️ Configuración Costos'!$A$11:$A$20,'⚙️ Configuración Costos'!$B$11:$B$20),""),IFERROR(_xlfn.XLOOKUP(E322,'⚙️ Configuración Costos'!$A$5:$A$6,'⚙️ Configuración Costos'!$B$5:$B$6),""))</f>
        <v>239.8426229508197</v>
      </c>
      <c r="P322" s="12">
        <f t="shared" si="186"/>
        <v>47.968524590163945</v>
      </c>
      <c r="Q322" s="12">
        <f>IF(E322="HERRAJE",0,IFERROR(_xlfn.XLOOKUP(E322,'⚙️ Configuración Costos'!$E$5:$E$6,'⚙️ Configuración Costos'!$F$5:$F$6),""))</f>
        <v>6</v>
      </c>
      <c r="R322" s="12">
        <f t="shared" si="187"/>
        <v>28.799999999999997</v>
      </c>
      <c r="S322" s="38">
        <f t="shared" si="188"/>
        <v>76.768524590163935</v>
      </c>
      <c r="T322" s="94" t="str">
        <f t="shared" si="189"/>
        <v>OK</v>
      </c>
      <c r="U322" s="95" t="str">
        <f t="shared" si="190"/>
        <v/>
      </c>
      <c r="V322" s="96">
        <f t="shared" si="191"/>
        <v>0</v>
      </c>
    </row>
    <row r="323" spans="1:22" x14ac:dyDescent="0.2">
      <c r="A323" s="35">
        <v>3</v>
      </c>
      <c r="B323" s="6">
        <v>312</v>
      </c>
      <c r="C323" s="6">
        <v>469</v>
      </c>
      <c r="D323" s="7" t="s">
        <v>245</v>
      </c>
      <c r="E323" s="7" t="s">
        <v>64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16" t="s">
        <v>24</v>
      </c>
      <c r="L323" s="47" t="s">
        <v>246</v>
      </c>
      <c r="M323" s="10">
        <f t="shared" si="184"/>
        <v>0.43898400000000004</v>
      </c>
      <c r="N323" s="11">
        <f t="shared" si="185"/>
        <v>0</v>
      </c>
      <c r="O323" s="12">
        <f>IF(E323="HERRAJE",IFERROR(_xlfn.XLOOKUP(D323,'⚙️ Configuración Costos'!$A$11:$A$20,'⚙️ Configuración Costos'!$B$11:$B$20),""),IFERROR(_xlfn.XLOOKUP(E323,'⚙️ Configuración Costos'!$A$5:$A$6,'⚙️ Configuración Costos'!$B$5:$B$6),""))</f>
        <v>239.8426229508197</v>
      </c>
      <c r="P323" s="12">
        <f t="shared" si="186"/>
        <v>105.28707399344265</v>
      </c>
      <c r="Q323" s="12">
        <f>IF(E323="HERRAJE",0,IFERROR(_xlfn.XLOOKUP(E323,'⚙️ Configuración Costos'!$E$5:$E$6,'⚙️ Configuración Costos'!$F$5:$F$6),""))</f>
        <v>6</v>
      </c>
      <c r="R323" s="12">
        <f t="shared" si="187"/>
        <v>0</v>
      </c>
      <c r="S323" s="38">
        <f t="shared" si="188"/>
        <v>105.28707399344265</v>
      </c>
      <c r="T323" s="94" t="str">
        <f t="shared" si="189"/>
        <v>OK</v>
      </c>
      <c r="U323" s="95" t="str">
        <f t="shared" si="190"/>
        <v/>
      </c>
      <c r="V323" s="96">
        <f t="shared" si="191"/>
        <v>0</v>
      </c>
    </row>
    <row r="324" spans="1:22" x14ac:dyDescent="0.2">
      <c r="A324" s="35">
        <v>2</v>
      </c>
      <c r="B324" s="6">
        <v>312</v>
      </c>
      <c r="C324" s="6">
        <v>230</v>
      </c>
      <c r="D324" s="7" t="s">
        <v>247</v>
      </c>
      <c r="E324" s="7" t="s">
        <v>64</v>
      </c>
      <c r="F324" s="8">
        <v>0</v>
      </c>
      <c r="G324" s="8">
        <v>1</v>
      </c>
      <c r="H324" s="8">
        <v>1</v>
      </c>
      <c r="I324" s="8">
        <v>0</v>
      </c>
      <c r="J324" s="8">
        <v>0</v>
      </c>
      <c r="K324" s="16" t="s">
        <v>24</v>
      </c>
      <c r="L324" s="47" t="s">
        <v>248</v>
      </c>
      <c r="M324" s="10">
        <f t="shared" si="184"/>
        <v>0.14352000000000001</v>
      </c>
      <c r="N324" s="11">
        <f t="shared" si="185"/>
        <v>1.248</v>
      </c>
      <c r="O324" s="12">
        <f>IF(E324="HERRAJE",IFERROR(_xlfn.XLOOKUP(D324,'⚙️ Configuración Costos'!$A$11:$A$20,'⚙️ Configuración Costos'!$B$11:$B$20),""),IFERROR(_xlfn.XLOOKUP(E324,'⚙️ Configuración Costos'!$A$5:$A$6,'⚙️ Configuración Costos'!$B$5:$B$6),""))</f>
        <v>239.8426229508197</v>
      </c>
      <c r="P324" s="12">
        <f t="shared" si="186"/>
        <v>34.422213245901645</v>
      </c>
      <c r="Q324" s="12">
        <f>IF(E324="HERRAJE",0,IFERROR(_xlfn.XLOOKUP(E324,'⚙️ Configuración Costos'!$E$5:$E$6,'⚙️ Configuración Costos'!$F$5:$F$6),""))</f>
        <v>6</v>
      </c>
      <c r="R324" s="12">
        <f t="shared" si="187"/>
        <v>7.4879999999999995</v>
      </c>
      <c r="S324" s="38">
        <f t="shared" si="188"/>
        <v>41.910213245901645</v>
      </c>
      <c r="T324" s="94" t="str">
        <f t="shared" si="189"/>
        <v>OK</v>
      </c>
      <c r="U324" s="95" t="str">
        <f t="shared" si="190"/>
        <v/>
      </c>
      <c r="V324" s="96">
        <f t="shared" si="191"/>
        <v>0</v>
      </c>
    </row>
    <row r="325" spans="1:22" x14ac:dyDescent="0.2">
      <c r="A325" s="35">
        <v>4</v>
      </c>
      <c r="B325" s="6">
        <v>312</v>
      </c>
      <c r="C325" s="6">
        <v>100</v>
      </c>
      <c r="D325" s="7" t="s">
        <v>247</v>
      </c>
      <c r="E325" s="7" t="s">
        <v>64</v>
      </c>
      <c r="F325" s="8">
        <v>0</v>
      </c>
      <c r="G325" s="8">
        <v>1</v>
      </c>
      <c r="H325" s="8">
        <v>1</v>
      </c>
      <c r="I325" s="8">
        <v>0</v>
      </c>
      <c r="J325" s="8">
        <v>0</v>
      </c>
      <c r="K325" s="16" t="s">
        <v>24</v>
      </c>
      <c r="L325" s="47" t="s">
        <v>249</v>
      </c>
      <c r="M325" s="10">
        <f t="shared" si="184"/>
        <v>0.12479999999999999</v>
      </c>
      <c r="N325" s="11">
        <f t="shared" si="185"/>
        <v>2.496</v>
      </c>
      <c r="O325" s="12">
        <f>IF(E325="HERRAJE",IFERROR(_xlfn.XLOOKUP(D325,'⚙️ Configuración Costos'!$A$11:$A$20,'⚙️ Configuración Costos'!$B$11:$B$20),""),IFERROR(_xlfn.XLOOKUP(E325,'⚙️ Configuración Costos'!$A$5:$A$6,'⚙️ Configuración Costos'!$B$5:$B$6),""))</f>
        <v>239.8426229508197</v>
      </c>
      <c r="P325" s="12">
        <f t="shared" si="186"/>
        <v>29.932359344262299</v>
      </c>
      <c r="Q325" s="12">
        <f>IF(E325="HERRAJE",0,IFERROR(_xlfn.XLOOKUP(E325,'⚙️ Configuración Costos'!$E$5:$E$6,'⚙️ Configuración Costos'!$F$5:$F$6),""))</f>
        <v>6</v>
      </c>
      <c r="R325" s="12">
        <f t="shared" si="187"/>
        <v>14.975999999999999</v>
      </c>
      <c r="S325" s="38">
        <f t="shared" si="188"/>
        <v>44.908359344262294</v>
      </c>
      <c r="T325" s="94" t="str">
        <f t="shared" si="189"/>
        <v>OK</v>
      </c>
      <c r="U325" s="95" t="str">
        <f t="shared" si="190"/>
        <v/>
      </c>
      <c r="V325" s="96">
        <f t="shared" si="191"/>
        <v>0</v>
      </c>
    </row>
    <row r="326" spans="1:22" x14ac:dyDescent="0.2">
      <c r="A326" s="35">
        <v>1</v>
      </c>
      <c r="B326" s="6">
        <v>396</v>
      </c>
      <c r="C326" s="6">
        <v>356</v>
      </c>
      <c r="D326" s="7" t="s">
        <v>250</v>
      </c>
      <c r="E326" s="7" t="s">
        <v>85</v>
      </c>
      <c r="F326" s="8">
        <v>1</v>
      </c>
      <c r="G326" s="8">
        <v>1</v>
      </c>
      <c r="H326" s="8">
        <v>1</v>
      </c>
      <c r="I326" s="8">
        <v>1</v>
      </c>
      <c r="J326" s="8">
        <v>1</v>
      </c>
      <c r="K326" s="16" t="s">
        <v>24</v>
      </c>
      <c r="L326" s="47" t="s">
        <v>251</v>
      </c>
      <c r="M326" s="10">
        <f t="shared" si="184"/>
        <v>0.14097599999999999</v>
      </c>
      <c r="N326" s="11">
        <f t="shared" si="185"/>
        <v>1.504</v>
      </c>
      <c r="O326" s="12">
        <f>IF(E326="HERRAJE",IFERROR(_xlfn.XLOOKUP(D326,'⚙️ Configuración Costos'!$A$11:$A$20,'⚙️ Configuración Costos'!$B$11:$B$20),""),IFERROR(_xlfn.XLOOKUP(E326,'⚙️ Configuración Costos'!$A$5:$A$6,'⚙️ Configuración Costos'!$B$5:$B$6),""))</f>
        <v>332.85245901639348</v>
      </c>
      <c r="P326" s="12">
        <f t="shared" si="186"/>
        <v>46.924208262295082</v>
      </c>
      <c r="Q326" s="12">
        <f>IF(E326="HERRAJE",0,IFERROR(_xlfn.XLOOKUP(E326,'⚙️ Configuración Costos'!$E$5:$E$6,'⚙️ Configuración Costos'!$F$5:$F$6),""))</f>
        <v>9.5</v>
      </c>
      <c r="R326" s="12">
        <f t="shared" si="187"/>
        <v>14.288</v>
      </c>
      <c r="S326" s="38">
        <f t="shared" si="188"/>
        <v>61.212208262295078</v>
      </c>
      <c r="T326" s="94" t="str">
        <f t="shared" si="189"/>
        <v>OK</v>
      </c>
      <c r="U326" s="95" t="str">
        <f t="shared" si="190"/>
        <v/>
      </c>
      <c r="V326" s="96">
        <f t="shared" si="191"/>
        <v>0</v>
      </c>
    </row>
    <row r="327" spans="1:22" x14ac:dyDescent="0.2">
      <c r="A327" s="35">
        <v>1</v>
      </c>
      <c r="B327" s="6">
        <v>396</v>
      </c>
      <c r="C327" s="6">
        <v>176</v>
      </c>
      <c r="D327" s="7" t="s">
        <v>252</v>
      </c>
      <c r="E327" s="7" t="s">
        <v>85</v>
      </c>
      <c r="F327" s="8">
        <v>1</v>
      </c>
      <c r="G327" s="8">
        <v>1</v>
      </c>
      <c r="H327" s="8">
        <v>1</v>
      </c>
      <c r="I327" s="8">
        <v>1</v>
      </c>
      <c r="J327" s="8">
        <v>1</v>
      </c>
      <c r="K327" s="16" t="s">
        <v>24</v>
      </c>
      <c r="L327" s="47" t="s">
        <v>253</v>
      </c>
      <c r="M327" s="10">
        <f t="shared" si="184"/>
        <v>6.9695999999999994E-2</v>
      </c>
      <c r="N327" s="11">
        <f t="shared" si="185"/>
        <v>1.1439999999999999</v>
      </c>
      <c r="O327" s="12">
        <f>IF(E327="HERRAJE",IFERROR(_xlfn.XLOOKUP(D327,'⚙️ Configuración Costos'!$A$11:$A$20,'⚙️ Configuración Costos'!$B$11:$B$20),""),IFERROR(_xlfn.XLOOKUP(E327,'⚙️ Configuración Costos'!$A$5:$A$6,'⚙️ Configuración Costos'!$B$5:$B$6),""))</f>
        <v>332.85245901639348</v>
      </c>
      <c r="P327" s="12">
        <f t="shared" si="186"/>
        <v>23.198484983606559</v>
      </c>
      <c r="Q327" s="12">
        <f>IF(E327="HERRAJE",0,IFERROR(_xlfn.XLOOKUP(E327,'⚙️ Configuración Costos'!$E$5:$E$6,'⚙️ Configuración Costos'!$F$5:$F$6),""))</f>
        <v>9.5</v>
      </c>
      <c r="R327" s="12">
        <f t="shared" si="187"/>
        <v>10.867999999999999</v>
      </c>
      <c r="S327" s="38">
        <f t="shared" si="188"/>
        <v>34.066484983606557</v>
      </c>
      <c r="T327" s="94" t="str">
        <f t="shared" si="189"/>
        <v>OK</v>
      </c>
      <c r="U327" s="95" t="str">
        <f t="shared" si="190"/>
        <v/>
      </c>
      <c r="V327" s="96">
        <f t="shared" si="191"/>
        <v>0</v>
      </c>
    </row>
    <row r="328" spans="1:22" x14ac:dyDescent="0.2">
      <c r="A328" s="35">
        <v>1</v>
      </c>
      <c r="B328" s="6">
        <v>396</v>
      </c>
      <c r="C328" s="6">
        <v>176</v>
      </c>
      <c r="D328" s="7" t="s">
        <v>254</v>
      </c>
      <c r="E328" s="7" t="s">
        <v>85</v>
      </c>
      <c r="F328" s="8">
        <v>1</v>
      </c>
      <c r="G328" s="8">
        <v>1</v>
      </c>
      <c r="H328" s="8">
        <v>1</v>
      </c>
      <c r="I328" s="8">
        <v>1</v>
      </c>
      <c r="J328" s="8">
        <v>1</v>
      </c>
      <c r="K328" s="16" t="s">
        <v>24</v>
      </c>
      <c r="L328" s="47" t="s">
        <v>255</v>
      </c>
      <c r="M328" s="10">
        <f t="shared" si="184"/>
        <v>6.9695999999999994E-2</v>
      </c>
      <c r="N328" s="11">
        <f t="shared" si="185"/>
        <v>1.1439999999999999</v>
      </c>
      <c r="O328" s="12">
        <f>IF(E328="HERRAJE",IFERROR(_xlfn.XLOOKUP(D328,'⚙️ Configuración Costos'!$A$11:$A$20,'⚙️ Configuración Costos'!$B$11:$B$20),""),IFERROR(_xlfn.XLOOKUP(E328,'⚙️ Configuración Costos'!$A$5:$A$6,'⚙️ Configuración Costos'!$B$5:$B$6),""))</f>
        <v>332.85245901639348</v>
      </c>
      <c r="P328" s="12">
        <f t="shared" si="186"/>
        <v>23.198484983606559</v>
      </c>
      <c r="Q328" s="12">
        <f>IF(E328="HERRAJE",0,IFERROR(_xlfn.XLOOKUP(E328,'⚙️ Configuración Costos'!$E$5:$E$6,'⚙️ Configuración Costos'!$F$5:$F$6),""))</f>
        <v>9.5</v>
      </c>
      <c r="R328" s="12">
        <f t="shared" si="187"/>
        <v>10.867999999999999</v>
      </c>
      <c r="S328" s="38">
        <f t="shared" si="188"/>
        <v>34.066484983606557</v>
      </c>
      <c r="T328" s="94" t="str">
        <f t="shared" si="189"/>
        <v>OK</v>
      </c>
      <c r="U328" s="95" t="str">
        <f t="shared" si="190"/>
        <v/>
      </c>
      <c r="V328" s="96">
        <f t="shared" si="191"/>
        <v>0</v>
      </c>
    </row>
    <row r="329" spans="1:22" x14ac:dyDescent="0.2">
      <c r="A329" s="35">
        <v>3</v>
      </c>
      <c r="B329" s="6">
        <v>0</v>
      </c>
      <c r="C329" s="6">
        <v>0</v>
      </c>
      <c r="D329" s="7" t="s">
        <v>256</v>
      </c>
      <c r="E329" s="7" t="s">
        <v>91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16" t="s">
        <v>24</v>
      </c>
      <c r="L329" s="47" t="s">
        <v>257</v>
      </c>
      <c r="M329" s="10">
        <f t="shared" si="184"/>
        <v>0</v>
      </c>
      <c r="N329" s="11">
        <f t="shared" si="185"/>
        <v>0</v>
      </c>
      <c r="O329" s="12">
        <f>IF(E329="HERRAJE",IFERROR(_xlfn.XLOOKUP(D329,'⚙️ Configuración Costos'!$A$11:$A$20,'⚙️ Configuración Costos'!$B$11:$B$20),""),IFERROR(_xlfn.XLOOKUP(E329,'⚙️ Configuración Costos'!$A$5:$A$6,'⚙️ Configuración Costos'!$B$5:$B$6),""))</f>
        <v>125</v>
      </c>
      <c r="P329" s="12">
        <f t="shared" si="186"/>
        <v>375</v>
      </c>
      <c r="Q329" s="12">
        <f>IF(E329="HERRAJE",0,IFERROR(_xlfn.XLOOKUP(E329,'⚙️ Configuración Costos'!$E$5:$E$6,'⚙️ Configuración Costos'!$F$5:$F$6),""))</f>
        <v>0</v>
      </c>
      <c r="R329" s="12">
        <f t="shared" si="187"/>
        <v>0</v>
      </c>
      <c r="S329" s="38">
        <f t="shared" si="188"/>
        <v>375</v>
      </c>
      <c r="T329" s="94" t="str">
        <f t="shared" si="189"/>
        <v>OK</v>
      </c>
      <c r="U329" s="95" t="str">
        <f t="shared" si="190"/>
        <v/>
      </c>
      <c r="V329" s="96">
        <f t="shared" si="191"/>
        <v>0</v>
      </c>
    </row>
    <row r="330" spans="1:22" x14ac:dyDescent="0.2">
      <c r="A330" s="35">
        <v>3</v>
      </c>
      <c r="B330" s="6">
        <v>0</v>
      </c>
      <c r="C330" s="6">
        <v>0</v>
      </c>
      <c r="D330" s="7" t="s">
        <v>93</v>
      </c>
      <c r="E330" s="7" t="s">
        <v>91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16" t="s">
        <v>24</v>
      </c>
      <c r="L330" s="47" t="s">
        <v>94</v>
      </c>
      <c r="M330" s="10">
        <f t="shared" si="184"/>
        <v>0</v>
      </c>
      <c r="N330" s="11">
        <f t="shared" si="185"/>
        <v>0</v>
      </c>
      <c r="O330" s="12">
        <f>IF(E330="HERRAJE",IFERROR(_xlfn.XLOOKUP(D330,'⚙️ Configuración Costos'!$A$11:$A$20,'⚙️ Configuración Costos'!$B$11:$B$20),""),IFERROR(_xlfn.XLOOKUP(E330,'⚙️ Configuración Costos'!$A$5:$A$6,'⚙️ Configuración Costos'!$B$5:$B$6),""))</f>
        <v>15</v>
      </c>
      <c r="P330" s="12">
        <f t="shared" si="186"/>
        <v>45</v>
      </c>
      <c r="Q330" s="12">
        <f>IF(E330="HERRAJE",0,IFERROR(_xlfn.XLOOKUP(E330,'⚙️ Configuración Costos'!$E$5:$E$6,'⚙️ Configuración Costos'!$F$5:$F$6),""))</f>
        <v>0</v>
      </c>
      <c r="R330" s="12">
        <f t="shared" si="187"/>
        <v>0</v>
      </c>
      <c r="S330" s="38">
        <f t="shared" si="188"/>
        <v>45</v>
      </c>
      <c r="T330" s="94" t="str">
        <f t="shared" si="189"/>
        <v>OK</v>
      </c>
      <c r="U330" s="95" t="str">
        <f t="shared" si="190"/>
        <v/>
      </c>
      <c r="V330" s="96">
        <f t="shared" si="191"/>
        <v>0</v>
      </c>
    </row>
    <row r="331" spans="1:22" x14ac:dyDescent="0.2">
      <c r="A331" s="35">
        <v>4</v>
      </c>
      <c r="B331" s="6">
        <v>0</v>
      </c>
      <c r="C331" s="6">
        <v>0</v>
      </c>
      <c r="D331" s="7" t="s">
        <v>186</v>
      </c>
      <c r="E331" s="7" t="s">
        <v>91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6" t="s">
        <v>24</v>
      </c>
      <c r="L331" s="47" t="s">
        <v>187</v>
      </c>
      <c r="M331" s="10">
        <f t="shared" si="184"/>
        <v>0</v>
      </c>
      <c r="N331" s="11">
        <f t="shared" si="185"/>
        <v>0</v>
      </c>
      <c r="O331" s="12">
        <f>IF(E331="HERRAJE",IFERROR(_xlfn.XLOOKUP(D331,'⚙️ Configuración Costos'!$A$11:$A$20,'⚙️ Configuración Costos'!$B$11:$B$20),""),IFERROR(_xlfn.XLOOKUP(E331,'⚙️ Configuración Costos'!$A$5:$A$6,'⚙️ Configuración Costos'!$B$5:$B$6),""))</f>
        <v>15</v>
      </c>
      <c r="P331" s="12">
        <f t="shared" si="186"/>
        <v>60</v>
      </c>
      <c r="Q331" s="12">
        <f>IF(E331="HERRAJE",0,IFERROR(_xlfn.XLOOKUP(E331,'⚙️ Configuración Costos'!$E$5:$E$6,'⚙️ Configuración Costos'!$F$5:$F$6),""))</f>
        <v>0</v>
      </c>
      <c r="R331" s="12">
        <f t="shared" si="187"/>
        <v>0</v>
      </c>
      <c r="S331" s="38">
        <f t="shared" si="188"/>
        <v>60</v>
      </c>
      <c r="T331" s="94" t="str">
        <f t="shared" si="189"/>
        <v>OK</v>
      </c>
      <c r="U331" s="95" t="str">
        <f t="shared" si="190"/>
        <v/>
      </c>
      <c r="V331" s="96">
        <f t="shared" si="191"/>
        <v>0</v>
      </c>
    </row>
    <row r="332" spans="1:22" ht="16" thickBot="1" x14ac:dyDescent="0.25">
      <c r="A332" s="36">
        <v>50</v>
      </c>
      <c r="B332" s="20">
        <v>0</v>
      </c>
      <c r="C332" s="20">
        <v>0</v>
      </c>
      <c r="D332" s="21" t="s">
        <v>97</v>
      </c>
      <c r="E332" s="21" t="s">
        <v>91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16" t="s">
        <v>24</v>
      </c>
      <c r="L332" s="48" t="s">
        <v>98</v>
      </c>
      <c r="M332" s="24">
        <f t="shared" si="184"/>
        <v>0</v>
      </c>
      <c r="N332" s="25">
        <f t="shared" si="185"/>
        <v>0</v>
      </c>
      <c r="O332" s="26">
        <f>IF(E332="HERRAJE",IFERROR(_xlfn.XLOOKUP(D332,'⚙️ Configuración Costos'!$A$11:$A$20,'⚙️ Configuración Costos'!$B$11:$B$20),""),IFERROR(_xlfn.XLOOKUP(E332,'⚙️ Configuración Costos'!$A$5:$A$6,'⚙️ Configuración Costos'!$B$5:$B$6),""))</f>
        <v>1.5</v>
      </c>
      <c r="P332" s="26">
        <f t="shared" si="186"/>
        <v>75</v>
      </c>
      <c r="Q332" s="26">
        <f>IF(E332="HERRAJE",0,IFERROR(_xlfn.XLOOKUP(E332,'⚙️ Configuración Costos'!$E$5:$E$6,'⚙️ Configuración Costos'!$F$5:$F$6),""))</f>
        <v>0</v>
      </c>
      <c r="R332" s="26">
        <f t="shared" si="187"/>
        <v>0</v>
      </c>
      <c r="S332" s="39">
        <f t="shared" si="188"/>
        <v>75</v>
      </c>
      <c r="T332" s="94" t="str">
        <f t="shared" si="189"/>
        <v>OK</v>
      </c>
      <c r="U332" s="95" t="str">
        <f t="shared" si="190"/>
        <v/>
      </c>
      <c r="V332" s="96">
        <f t="shared" si="191"/>
        <v>0</v>
      </c>
    </row>
    <row r="333" spans="1:22" ht="16" thickTop="1" x14ac:dyDescent="0.2">
      <c r="A333" s="27" t="s">
        <v>99</v>
      </c>
      <c r="B333" s="27"/>
      <c r="C333" s="27"/>
      <c r="D333" s="28"/>
      <c r="E333" s="28"/>
      <c r="F333" s="29"/>
      <c r="G333" s="29"/>
      <c r="H333" s="29"/>
      <c r="I333" s="29"/>
      <c r="J333" s="29"/>
      <c r="K333" s="30"/>
      <c r="L333" s="49" t="s">
        <v>188</v>
      </c>
      <c r="M333" s="31">
        <f>SUM(M316:M332)</f>
        <v>2.644012</v>
      </c>
      <c r="N333" s="32">
        <f>SUM(N316:N332)</f>
        <v>24.567999999999998</v>
      </c>
      <c r="O333" s="33"/>
      <c r="P333" s="33">
        <f>SUM(P316:P332)</f>
        <v>1215.2237549114757</v>
      </c>
      <c r="Q333" s="33"/>
      <c r="R333" s="33">
        <f>SUM(R316:R332)</f>
        <v>160.68</v>
      </c>
      <c r="S333" s="33">
        <f>SUM(S316:S332)</f>
        <v>1375.9037549114755</v>
      </c>
      <c r="T333" s="97"/>
      <c r="U333" s="98"/>
      <c r="V333" s="99"/>
    </row>
    <row r="334" spans="1:22" x14ac:dyDescent="0.2">
      <c r="A334" s="186" t="s">
        <v>258</v>
      </c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8"/>
      <c r="T334" s="97"/>
      <c r="U334" s="98"/>
      <c r="V334" s="99"/>
    </row>
    <row r="335" spans="1:22" x14ac:dyDescent="0.2">
      <c r="A335" s="34">
        <v>1</v>
      </c>
      <c r="B335" s="13">
        <v>720</v>
      </c>
      <c r="C335" s="13">
        <v>580</v>
      </c>
      <c r="D335" s="14" t="s">
        <v>63</v>
      </c>
      <c r="E335" s="14" t="s">
        <v>64</v>
      </c>
      <c r="F335" s="15">
        <v>0</v>
      </c>
      <c r="G335" s="15">
        <v>1</v>
      </c>
      <c r="H335" s="15">
        <v>1</v>
      </c>
      <c r="I335" s="15">
        <v>1</v>
      </c>
      <c r="J335" s="15">
        <v>1</v>
      </c>
      <c r="K335" s="23" t="s">
        <v>25</v>
      </c>
      <c r="L335" s="46" t="s">
        <v>190</v>
      </c>
      <c r="M335" s="17">
        <f t="shared" ref="M335:M351" si="192">IF(AND(ISNUMBER(B335),ISNUMBER(C335),B335&gt;0,C335&gt;0),A335*(B335*C335/1000000),0)</f>
        <v>0.41760000000000003</v>
      </c>
      <c r="N335" s="18">
        <f t="shared" ref="N335:N351" si="193">IF(AND(ISNUMBER(B335),B335&gt;0),A335*(((G335+H335)*B335+(I335+J335)*C335)/1000),0)</f>
        <v>2.6</v>
      </c>
      <c r="O335" s="19">
        <f>IF(E335="HERRAJE",IFERROR(_xlfn.XLOOKUP(D335,'⚙️ Configuración Costos'!$A$11:$A$20,'⚙️ Configuración Costos'!$B$11:$B$20),""),IFERROR(_xlfn.XLOOKUP(E335,'⚙️ Configuración Costos'!$A$5:$A$6,'⚙️ Configuración Costos'!$B$5:$B$6),""))</f>
        <v>239.8426229508197</v>
      </c>
      <c r="P335" s="19">
        <f t="shared" ref="P335:P351" si="194">IF(E335="HERRAJE",A335*O335,M335*O335)</f>
        <v>100.15827934426231</v>
      </c>
      <c r="Q335" s="19">
        <f>IF(E335="HERRAJE",0,IFERROR(_xlfn.XLOOKUP(E335,'⚙️ Configuración Costos'!$E$5:$E$6,'⚙️ Configuración Costos'!$F$5:$F$6),""))</f>
        <v>6</v>
      </c>
      <c r="R335" s="19">
        <f t="shared" ref="R335:R351" si="195">N335*Q335</f>
        <v>15.600000000000001</v>
      </c>
      <c r="S335" s="37">
        <f t="shared" ref="S335:S351" si="196">P335+R335</f>
        <v>115.75827934426232</v>
      </c>
      <c r="T335" s="94" t="str">
        <f t="shared" ref="T335:T351" si="197">IF(K335="","SIN ID MÓDULO",IF(E335="HERRAJE",IF(OR(O335="",O335&lt;=0),"SIN PRECIO HERRAJE","OK"),IF(OR(O335="",O335&lt;=0),"SIN PRECIO MATERIAL",IF(AND(N335&gt;0,OR(Q335="",Q335&lt;=0)),"SIN PRECIO CINTILLA","OK"))))</f>
        <v>OK</v>
      </c>
      <c r="U335" s="95" t="str">
        <f t="shared" ref="U335:U351" si="198">IF(T335="OK","",IF(T335="SIN PRECIO HERRAJE","Capturar precio: "&amp;D335,IF(T335="SIN PRECIO MATERIAL","Configurar material: "&amp;E335,IF(T335="SIN PRECIO CINTILLA","Configurar cintilla: "&amp;E335,IF(T335="SIN ID MÓDULO","Revisar ID del módulo","")))))</f>
        <v/>
      </c>
      <c r="V335" s="96">
        <f t="shared" ref="V335:V351" si="199">IF(T335="OK",0,IF(T335="",0,1))</f>
        <v>0</v>
      </c>
    </row>
    <row r="336" spans="1:22" x14ac:dyDescent="0.2">
      <c r="A336" s="35">
        <v>1</v>
      </c>
      <c r="B336" s="6">
        <v>720</v>
      </c>
      <c r="C336" s="6">
        <v>580</v>
      </c>
      <c r="D336" s="7" t="s">
        <v>66</v>
      </c>
      <c r="E336" s="7" t="s">
        <v>64</v>
      </c>
      <c r="F336" s="8">
        <v>0</v>
      </c>
      <c r="G336" s="8">
        <v>1</v>
      </c>
      <c r="H336" s="8">
        <v>1</v>
      </c>
      <c r="I336" s="8">
        <v>1</v>
      </c>
      <c r="J336" s="8">
        <v>1</v>
      </c>
      <c r="K336" s="23" t="s">
        <v>25</v>
      </c>
      <c r="L336" s="47" t="s">
        <v>191</v>
      </c>
      <c r="M336" s="10">
        <f t="shared" si="192"/>
        <v>0.41760000000000003</v>
      </c>
      <c r="N336" s="11">
        <f t="shared" si="193"/>
        <v>2.6</v>
      </c>
      <c r="O336" s="12">
        <f>IF(E336="HERRAJE",IFERROR(_xlfn.XLOOKUP(D336,'⚙️ Configuración Costos'!$A$11:$A$20,'⚙️ Configuración Costos'!$B$11:$B$20),""),IFERROR(_xlfn.XLOOKUP(E336,'⚙️ Configuración Costos'!$A$5:$A$6,'⚙️ Configuración Costos'!$B$5:$B$6),""))</f>
        <v>239.8426229508197</v>
      </c>
      <c r="P336" s="12">
        <f t="shared" si="194"/>
        <v>100.15827934426231</v>
      </c>
      <c r="Q336" s="12">
        <f>IF(E336="HERRAJE",0,IFERROR(_xlfn.XLOOKUP(E336,'⚙️ Configuración Costos'!$E$5:$E$6,'⚙️ Configuración Costos'!$F$5:$F$6),""))</f>
        <v>6</v>
      </c>
      <c r="R336" s="12">
        <f t="shared" si="195"/>
        <v>15.600000000000001</v>
      </c>
      <c r="S336" s="38">
        <f t="shared" si="196"/>
        <v>115.75827934426232</v>
      </c>
      <c r="T336" s="94" t="str">
        <f t="shared" si="197"/>
        <v>OK</v>
      </c>
      <c r="U336" s="95" t="str">
        <f t="shared" si="198"/>
        <v/>
      </c>
      <c r="V336" s="96">
        <f t="shared" si="199"/>
        <v>0</v>
      </c>
    </row>
    <row r="337" spans="1:22" x14ac:dyDescent="0.2">
      <c r="A337" s="35">
        <v>2</v>
      </c>
      <c r="B337" s="6">
        <v>469</v>
      </c>
      <c r="C337" s="6">
        <v>120</v>
      </c>
      <c r="D337" s="7" t="s">
        <v>240</v>
      </c>
      <c r="E337" s="7" t="s">
        <v>64</v>
      </c>
      <c r="F337" s="8">
        <v>0</v>
      </c>
      <c r="G337" s="8">
        <v>1</v>
      </c>
      <c r="H337" s="8">
        <v>1</v>
      </c>
      <c r="I337" s="8">
        <v>0</v>
      </c>
      <c r="J337" s="8">
        <v>0</v>
      </c>
      <c r="K337" s="23" t="s">
        <v>25</v>
      </c>
      <c r="L337" s="47" t="s">
        <v>259</v>
      </c>
      <c r="M337" s="10">
        <f t="shared" si="192"/>
        <v>0.11255999999999999</v>
      </c>
      <c r="N337" s="11">
        <f t="shared" si="193"/>
        <v>1.8759999999999999</v>
      </c>
      <c r="O337" s="12">
        <f>IF(E337="HERRAJE",IFERROR(_xlfn.XLOOKUP(D337,'⚙️ Configuración Costos'!$A$11:$A$20,'⚙️ Configuración Costos'!$B$11:$B$20),""),IFERROR(_xlfn.XLOOKUP(E337,'⚙️ Configuración Costos'!$A$5:$A$6,'⚙️ Configuración Costos'!$B$5:$B$6),""))</f>
        <v>239.8426229508197</v>
      </c>
      <c r="P337" s="12">
        <f t="shared" si="194"/>
        <v>26.996685639344264</v>
      </c>
      <c r="Q337" s="12">
        <f>IF(E337="HERRAJE",0,IFERROR(_xlfn.XLOOKUP(E337,'⚙️ Configuración Costos'!$E$5:$E$6,'⚙️ Configuración Costos'!$F$5:$F$6),""))</f>
        <v>6</v>
      </c>
      <c r="R337" s="12">
        <f t="shared" si="195"/>
        <v>11.256</v>
      </c>
      <c r="S337" s="38">
        <f t="shared" si="196"/>
        <v>38.252685639344264</v>
      </c>
      <c r="T337" s="94" t="str">
        <f t="shared" si="197"/>
        <v>OK</v>
      </c>
      <c r="U337" s="95" t="str">
        <f t="shared" si="198"/>
        <v/>
      </c>
      <c r="V337" s="96">
        <f t="shared" si="199"/>
        <v>0</v>
      </c>
    </row>
    <row r="338" spans="1:22" x14ac:dyDescent="0.2">
      <c r="A338" s="35">
        <v>1</v>
      </c>
      <c r="B338" s="6">
        <v>469</v>
      </c>
      <c r="C338" s="6">
        <v>580</v>
      </c>
      <c r="D338" s="7" t="s">
        <v>171</v>
      </c>
      <c r="E338" s="7" t="s">
        <v>64</v>
      </c>
      <c r="F338" s="8">
        <v>0</v>
      </c>
      <c r="G338" s="8">
        <v>0</v>
      </c>
      <c r="H338" s="8">
        <v>0</v>
      </c>
      <c r="I338" s="8">
        <v>1</v>
      </c>
      <c r="J338" s="8">
        <v>1</v>
      </c>
      <c r="K338" s="23" t="s">
        <v>25</v>
      </c>
      <c r="L338" s="47" t="s">
        <v>207</v>
      </c>
      <c r="M338" s="10">
        <f t="shared" si="192"/>
        <v>0.27201999999999998</v>
      </c>
      <c r="N338" s="11">
        <f t="shared" si="193"/>
        <v>1.1599999999999999</v>
      </c>
      <c r="O338" s="12">
        <f>IF(E338="HERRAJE",IFERROR(_xlfn.XLOOKUP(D338,'⚙️ Configuración Costos'!$A$11:$A$20,'⚙️ Configuración Costos'!$B$11:$B$20),""),IFERROR(_xlfn.XLOOKUP(E338,'⚙️ Configuración Costos'!$A$5:$A$6,'⚙️ Configuración Costos'!$B$5:$B$6),""))</f>
        <v>239.8426229508197</v>
      </c>
      <c r="P338" s="12">
        <f t="shared" si="194"/>
        <v>65.241990295081976</v>
      </c>
      <c r="Q338" s="12">
        <f>IF(E338="HERRAJE",0,IFERROR(_xlfn.XLOOKUP(E338,'⚙️ Configuración Costos'!$E$5:$E$6,'⚙️ Configuración Costos'!$F$5:$F$6),""))</f>
        <v>6</v>
      </c>
      <c r="R338" s="12">
        <f t="shared" si="195"/>
        <v>6.9599999999999991</v>
      </c>
      <c r="S338" s="38">
        <f t="shared" si="196"/>
        <v>72.20199029508197</v>
      </c>
      <c r="T338" s="94" t="str">
        <f t="shared" si="197"/>
        <v>OK</v>
      </c>
      <c r="U338" s="95" t="str">
        <f t="shared" si="198"/>
        <v/>
      </c>
      <c r="V338" s="96">
        <f t="shared" si="199"/>
        <v>0</v>
      </c>
    </row>
    <row r="339" spans="1:22" x14ac:dyDescent="0.2">
      <c r="A339" s="35">
        <v>2</v>
      </c>
      <c r="B339" s="6">
        <v>469</v>
      </c>
      <c r="C339" s="6">
        <v>120</v>
      </c>
      <c r="D339" s="7" t="s">
        <v>194</v>
      </c>
      <c r="E339" s="7" t="s">
        <v>64</v>
      </c>
      <c r="F339" s="8">
        <v>0</v>
      </c>
      <c r="G339" s="8">
        <v>1</v>
      </c>
      <c r="H339" s="8">
        <v>1</v>
      </c>
      <c r="I339" s="8">
        <v>0</v>
      </c>
      <c r="J339" s="8">
        <v>0</v>
      </c>
      <c r="K339" s="23" t="s">
        <v>25</v>
      </c>
      <c r="L339" s="47" t="s">
        <v>208</v>
      </c>
      <c r="M339" s="10">
        <f t="shared" si="192"/>
        <v>0.11255999999999999</v>
      </c>
      <c r="N339" s="11">
        <f t="shared" si="193"/>
        <v>1.8759999999999999</v>
      </c>
      <c r="O339" s="12">
        <f>IF(E339="HERRAJE",IFERROR(_xlfn.XLOOKUP(D339,'⚙️ Configuración Costos'!$A$11:$A$20,'⚙️ Configuración Costos'!$B$11:$B$20),""),IFERROR(_xlfn.XLOOKUP(E339,'⚙️ Configuración Costos'!$A$5:$A$6,'⚙️ Configuración Costos'!$B$5:$B$6),""))</f>
        <v>239.8426229508197</v>
      </c>
      <c r="P339" s="12">
        <f t="shared" si="194"/>
        <v>26.996685639344264</v>
      </c>
      <c r="Q339" s="12">
        <f>IF(E339="HERRAJE",0,IFERROR(_xlfn.XLOOKUP(E339,'⚙️ Configuración Costos'!$E$5:$E$6,'⚙️ Configuración Costos'!$F$5:$F$6),""))</f>
        <v>6</v>
      </c>
      <c r="R339" s="12">
        <f t="shared" si="195"/>
        <v>11.256</v>
      </c>
      <c r="S339" s="38">
        <f t="shared" si="196"/>
        <v>38.252685639344264</v>
      </c>
      <c r="T339" s="94" t="str">
        <f t="shared" si="197"/>
        <v>OK</v>
      </c>
      <c r="U339" s="95" t="str">
        <f t="shared" si="198"/>
        <v/>
      </c>
      <c r="V339" s="96">
        <f t="shared" si="199"/>
        <v>0</v>
      </c>
    </row>
    <row r="340" spans="1:22" x14ac:dyDescent="0.2">
      <c r="A340" s="35">
        <v>2</v>
      </c>
      <c r="B340" s="6">
        <v>500</v>
      </c>
      <c r="C340" s="6">
        <v>230</v>
      </c>
      <c r="D340" s="7" t="s">
        <v>242</v>
      </c>
      <c r="E340" s="7" t="s">
        <v>64</v>
      </c>
      <c r="F340" s="8">
        <v>0</v>
      </c>
      <c r="G340" s="8">
        <v>1</v>
      </c>
      <c r="H340" s="8">
        <v>1</v>
      </c>
      <c r="I340" s="8">
        <v>1</v>
      </c>
      <c r="J340" s="8">
        <v>1</v>
      </c>
      <c r="K340" s="23" t="s">
        <v>25</v>
      </c>
      <c r="L340" s="47" t="s">
        <v>243</v>
      </c>
      <c r="M340" s="10">
        <f t="shared" si="192"/>
        <v>0.23</v>
      </c>
      <c r="N340" s="11">
        <f t="shared" si="193"/>
        <v>2.92</v>
      </c>
      <c r="O340" s="12">
        <f>IF(E340="HERRAJE",IFERROR(_xlfn.XLOOKUP(D340,'⚙️ Configuración Costos'!$A$11:$A$20,'⚙️ Configuración Costos'!$B$11:$B$20),""),IFERROR(_xlfn.XLOOKUP(E340,'⚙️ Configuración Costos'!$A$5:$A$6,'⚙️ Configuración Costos'!$B$5:$B$6),""))</f>
        <v>239.8426229508197</v>
      </c>
      <c r="P340" s="12">
        <f t="shared" si="194"/>
        <v>55.163803278688533</v>
      </c>
      <c r="Q340" s="12">
        <f>IF(E340="HERRAJE",0,IFERROR(_xlfn.XLOOKUP(E340,'⚙️ Configuración Costos'!$E$5:$E$6,'⚙️ Configuración Costos'!$F$5:$F$6),""))</f>
        <v>6</v>
      </c>
      <c r="R340" s="12">
        <f t="shared" si="195"/>
        <v>17.52</v>
      </c>
      <c r="S340" s="38">
        <f t="shared" si="196"/>
        <v>72.683803278688529</v>
      </c>
      <c r="T340" s="94" t="str">
        <f t="shared" si="197"/>
        <v>OK</v>
      </c>
      <c r="U340" s="95" t="str">
        <f t="shared" si="198"/>
        <v/>
      </c>
      <c r="V340" s="96">
        <f t="shared" si="199"/>
        <v>0</v>
      </c>
    </row>
    <row r="341" spans="1:22" x14ac:dyDescent="0.2">
      <c r="A341" s="35">
        <v>4</v>
      </c>
      <c r="B341" s="6">
        <v>500</v>
      </c>
      <c r="C341" s="6">
        <v>100</v>
      </c>
      <c r="D341" s="7" t="s">
        <v>242</v>
      </c>
      <c r="E341" s="7" t="s">
        <v>64</v>
      </c>
      <c r="F341" s="8">
        <v>0</v>
      </c>
      <c r="G341" s="8">
        <v>1</v>
      </c>
      <c r="H341" s="8">
        <v>1</v>
      </c>
      <c r="I341" s="8">
        <v>1</v>
      </c>
      <c r="J341" s="8">
        <v>1</v>
      </c>
      <c r="K341" s="23" t="s">
        <v>25</v>
      </c>
      <c r="L341" s="47" t="s">
        <v>244</v>
      </c>
      <c r="M341" s="10">
        <f t="shared" si="192"/>
        <v>0.2</v>
      </c>
      <c r="N341" s="11">
        <f t="shared" si="193"/>
        <v>4.8</v>
      </c>
      <c r="O341" s="12">
        <f>IF(E341="HERRAJE",IFERROR(_xlfn.XLOOKUP(D341,'⚙️ Configuración Costos'!$A$11:$A$20,'⚙️ Configuración Costos'!$B$11:$B$20),""),IFERROR(_xlfn.XLOOKUP(E341,'⚙️ Configuración Costos'!$A$5:$A$6,'⚙️ Configuración Costos'!$B$5:$B$6),""))</f>
        <v>239.8426229508197</v>
      </c>
      <c r="P341" s="12">
        <f t="shared" si="194"/>
        <v>47.968524590163945</v>
      </c>
      <c r="Q341" s="12">
        <f>IF(E341="HERRAJE",0,IFERROR(_xlfn.XLOOKUP(E341,'⚙️ Configuración Costos'!$E$5:$E$6,'⚙️ Configuración Costos'!$F$5:$F$6),""))</f>
        <v>6</v>
      </c>
      <c r="R341" s="12">
        <f t="shared" si="195"/>
        <v>28.799999999999997</v>
      </c>
      <c r="S341" s="38">
        <f t="shared" si="196"/>
        <v>76.768524590163935</v>
      </c>
      <c r="T341" s="94" t="str">
        <f t="shared" si="197"/>
        <v>OK</v>
      </c>
      <c r="U341" s="95" t="str">
        <f t="shared" si="198"/>
        <v/>
      </c>
      <c r="V341" s="96">
        <f t="shared" si="199"/>
        <v>0</v>
      </c>
    </row>
    <row r="342" spans="1:22" x14ac:dyDescent="0.2">
      <c r="A342" s="35">
        <v>3</v>
      </c>
      <c r="B342" s="6">
        <v>412</v>
      </c>
      <c r="C342" s="6">
        <v>469</v>
      </c>
      <c r="D342" s="7" t="s">
        <v>245</v>
      </c>
      <c r="E342" s="7" t="s">
        <v>64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23" t="s">
        <v>25</v>
      </c>
      <c r="L342" s="47" t="s">
        <v>260</v>
      </c>
      <c r="M342" s="10">
        <f t="shared" si="192"/>
        <v>0.57968400000000009</v>
      </c>
      <c r="N342" s="11">
        <f t="shared" si="193"/>
        <v>0</v>
      </c>
      <c r="O342" s="12">
        <f>IF(E342="HERRAJE",IFERROR(_xlfn.XLOOKUP(D342,'⚙️ Configuración Costos'!$A$11:$A$20,'⚙️ Configuración Costos'!$B$11:$B$20),""),IFERROR(_xlfn.XLOOKUP(E342,'⚙️ Configuración Costos'!$A$5:$A$6,'⚙️ Configuración Costos'!$B$5:$B$6),""))</f>
        <v>239.8426229508197</v>
      </c>
      <c r="P342" s="12">
        <f t="shared" si="194"/>
        <v>139.03293104262298</v>
      </c>
      <c r="Q342" s="12">
        <f>IF(E342="HERRAJE",0,IFERROR(_xlfn.XLOOKUP(E342,'⚙️ Configuración Costos'!$E$5:$E$6,'⚙️ Configuración Costos'!$F$5:$F$6),""))</f>
        <v>6</v>
      </c>
      <c r="R342" s="12">
        <f t="shared" si="195"/>
        <v>0</v>
      </c>
      <c r="S342" s="38">
        <f t="shared" si="196"/>
        <v>139.03293104262298</v>
      </c>
      <c r="T342" s="94" t="str">
        <f t="shared" si="197"/>
        <v>OK</v>
      </c>
      <c r="U342" s="95" t="str">
        <f t="shared" si="198"/>
        <v/>
      </c>
      <c r="V342" s="96">
        <f t="shared" si="199"/>
        <v>0</v>
      </c>
    </row>
    <row r="343" spans="1:22" x14ac:dyDescent="0.2">
      <c r="A343" s="35">
        <v>2</v>
      </c>
      <c r="B343" s="6">
        <v>412</v>
      </c>
      <c r="C343" s="6">
        <v>230</v>
      </c>
      <c r="D343" s="7" t="s">
        <v>261</v>
      </c>
      <c r="E343" s="7" t="s">
        <v>64</v>
      </c>
      <c r="F343" s="8">
        <v>0</v>
      </c>
      <c r="G343" s="8">
        <v>1</v>
      </c>
      <c r="H343" s="8">
        <v>1</v>
      </c>
      <c r="I343" s="8">
        <v>0</v>
      </c>
      <c r="J343" s="8">
        <v>0</v>
      </c>
      <c r="K343" s="23" t="s">
        <v>25</v>
      </c>
      <c r="L343" s="47" t="s">
        <v>262</v>
      </c>
      <c r="M343" s="10">
        <f t="shared" si="192"/>
        <v>0.18951999999999999</v>
      </c>
      <c r="N343" s="11">
        <f t="shared" si="193"/>
        <v>1.6479999999999999</v>
      </c>
      <c r="O343" s="12">
        <f>IF(E343="HERRAJE",IFERROR(_xlfn.XLOOKUP(D343,'⚙️ Configuración Costos'!$A$11:$A$20,'⚙️ Configuración Costos'!$B$11:$B$20),""),IFERROR(_xlfn.XLOOKUP(E343,'⚙️ Configuración Costos'!$A$5:$A$6,'⚙️ Configuración Costos'!$B$5:$B$6),""))</f>
        <v>239.8426229508197</v>
      </c>
      <c r="P343" s="12">
        <f t="shared" si="194"/>
        <v>45.454973901639349</v>
      </c>
      <c r="Q343" s="12">
        <f>IF(E343="HERRAJE",0,IFERROR(_xlfn.XLOOKUP(E343,'⚙️ Configuración Costos'!$E$5:$E$6,'⚙️ Configuración Costos'!$F$5:$F$6),""))</f>
        <v>6</v>
      </c>
      <c r="R343" s="12">
        <f t="shared" si="195"/>
        <v>9.8879999999999999</v>
      </c>
      <c r="S343" s="38">
        <f t="shared" si="196"/>
        <v>55.342973901639347</v>
      </c>
      <c r="T343" s="94" t="str">
        <f t="shared" si="197"/>
        <v>OK</v>
      </c>
      <c r="U343" s="95" t="str">
        <f t="shared" si="198"/>
        <v/>
      </c>
      <c r="V343" s="96">
        <f t="shared" si="199"/>
        <v>0</v>
      </c>
    </row>
    <row r="344" spans="1:22" x14ac:dyDescent="0.2">
      <c r="A344" s="35">
        <v>4</v>
      </c>
      <c r="B344" s="6">
        <v>412</v>
      </c>
      <c r="C344" s="6">
        <v>100</v>
      </c>
      <c r="D344" s="7" t="s">
        <v>261</v>
      </c>
      <c r="E344" s="7" t="s">
        <v>64</v>
      </c>
      <c r="F344" s="8">
        <v>0</v>
      </c>
      <c r="G344" s="8">
        <v>1</v>
      </c>
      <c r="H344" s="8">
        <v>1</v>
      </c>
      <c r="I344" s="8">
        <v>0</v>
      </c>
      <c r="J344" s="8">
        <v>0</v>
      </c>
      <c r="K344" s="23" t="s">
        <v>25</v>
      </c>
      <c r="L344" s="47" t="s">
        <v>263</v>
      </c>
      <c r="M344" s="10">
        <f t="shared" si="192"/>
        <v>0.1648</v>
      </c>
      <c r="N344" s="11">
        <f t="shared" si="193"/>
        <v>3.2959999999999998</v>
      </c>
      <c r="O344" s="12">
        <f>IF(E344="HERRAJE",IFERROR(_xlfn.XLOOKUP(D344,'⚙️ Configuración Costos'!$A$11:$A$20,'⚙️ Configuración Costos'!$B$11:$B$20),""),IFERROR(_xlfn.XLOOKUP(E344,'⚙️ Configuración Costos'!$A$5:$A$6,'⚙️ Configuración Costos'!$B$5:$B$6),""))</f>
        <v>239.8426229508197</v>
      </c>
      <c r="P344" s="12">
        <f t="shared" si="194"/>
        <v>39.526064262295087</v>
      </c>
      <c r="Q344" s="12">
        <f>IF(E344="HERRAJE",0,IFERROR(_xlfn.XLOOKUP(E344,'⚙️ Configuración Costos'!$E$5:$E$6,'⚙️ Configuración Costos'!$F$5:$F$6),""))</f>
        <v>6</v>
      </c>
      <c r="R344" s="12">
        <f t="shared" si="195"/>
        <v>19.776</v>
      </c>
      <c r="S344" s="38">
        <f t="shared" si="196"/>
        <v>59.30206426229509</v>
      </c>
      <c r="T344" s="94" t="str">
        <f t="shared" si="197"/>
        <v>OK</v>
      </c>
      <c r="U344" s="95" t="str">
        <f t="shared" si="198"/>
        <v/>
      </c>
      <c r="V344" s="96">
        <f t="shared" si="199"/>
        <v>0</v>
      </c>
    </row>
    <row r="345" spans="1:22" x14ac:dyDescent="0.2">
      <c r="A345" s="35">
        <v>1</v>
      </c>
      <c r="B345" s="6">
        <v>496</v>
      </c>
      <c r="C345" s="6">
        <v>356</v>
      </c>
      <c r="D345" s="7" t="s">
        <v>250</v>
      </c>
      <c r="E345" s="7" t="s">
        <v>85</v>
      </c>
      <c r="F345" s="8">
        <v>1</v>
      </c>
      <c r="G345" s="8">
        <v>1</v>
      </c>
      <c r="H345" s="8">
        <v>1</v>
      </c>
      <c r="I345" s="8">
        <v>1</v>
      </c>
      <c r="J345" s="8">
        <v>1</v>
      </c>
      <c r="K345" s="23" t="s">
        <v>25</v>
      </c>
      <c r="L345" s="47" t="s">
        <v>264</v>
      </c>
      <c r="M345" s="10">
        <f t="shared" si="192"/>
        <v>0.17657600000000001</v>
      </c>
      <c r="N345" s="11">
        <f t="shared" si="193"/>
        <v>1.704</v>
      </c>
      <c r="O345" s="12">
        <f>IF(E345="HERRAJE",IFERROR(_xlfn.XLOOKUP(D345,'⚙️ Configuración Costos'!$A$11:$A$20,'⚙️ Configuración Costos'!$B$11:$B$20),""),IFERROR(_xlfn.XLOOKUP(E345,'⚙️ Configuración Costos'!$A$5:$A$6,'⚙️ Configuración Costos'!$B$5:$B$6),""))</f>
        <v>332.85245901639348</v>
      </c>
      <c r="P345" s="12">
        <f t="shared" si="194"/>
        <v>58.773755803278696</v>
      </c>
      <c r="Q345" s="12">
        <f>IF(E345="HERRAJE",0,IFERROR(_xlfn.XLOOKUP(E345,'⚙️ Configuración Costos'!$E$5:$E$6,'⚙️ Configuración Costos'!$F$5:$F$6),""))</f>
        <v>9.5</v>
      </c>
      <c r="R345" s="12">
        <f t="shared" si="195"/>
        <v>16.187999999999999</v>
      </c>
      <c r="S345" s="38">
        <f t="shared" si="196"/>
        <v>74.961755803278692</v>
      </c>
      <c r="T345" s="94" t="str">
        <f t="shared" si="197"/>
        <v>OK</v>
      </c>
      <c r="U345" s="95" t="str">
        <f t="shared" si="198"/>
        <v/>
      </c>
      <c r="V345" s="96">
        <f t="shared" si="199"/>
        <v>0</v>
      </c>
    </row>
    <row r="346" spans="1:22" x14ac:dyDescent="0.2">
      <c r="A346" s="35">
        <v>1</v>
      </c>
      <c r="B346" s="6">
        <v>496</v>
      </c>
      <c r="C346" s="6">
        <v>176</v>
      </c>
      <c r="D346" s="7" t="s">
        <v>252</v>
      </c>
      <c r="E346" s="7" t="s">
        <v>85</v>
      </c>
      <c r="F346" s="8">
        <v>1</v>
      </c>
      <c r="G346" s="8">
        <v>1</v>
      </c>
      <c r="H346" s="8">
        <v>1</v>
      </c>
      <c r="I346" s="8">
        <v>1</v>
      </c>
      <c r="J346" s="8">
        <v>1</v>
      </c>
      <c r="K346" s="23" t="s">
        <v>25</v>
      </c>
      <c r="L346" s="47" t="s">
        <v>265</v>
      </c>
      <c r="M346" s="10">
        <f t="shared" si="192"/>
        <v>8.7295999999999999E-2</v>
      </c>
      <c r="N346" s="11">
        <f t="shared" si="193"/>
        <v>1.3440000000000001</v>
      </c>
      <c r="O346" s="12">
        <f>IF(E346="HERRAJE",IFERROR(_xlfn.XLOOKUP(D346,'⚙️ Configuración Costos'!$A$11:$A$20,'⚙️ Configuración Costos'!$B$11:$B$20),""),IFERROR(_xlfn.XLOOKUP(E346,'⚙️ Configuración Costos'!$A$5:$A$6,'⚙️ Configuración Costos'!$B$5:$B$6),""))</f>
        <v>332.85245901639348</v>
      </c>
      <c r="P346" s="12">
        <f t="shared" si="194"/>
        <v>29.056688262295086</v>
      </c>
      <c r="Q346" s="12">
        <f>IF(E346="HERRAJE",0,IFERROR(_xlfn.XLOOKUP(E346,'⚙️ Configuración Costos'!$E$5:$E$6,'⚙️ Configuración Costos'!$F$5:$F$6),""))</f>
        <v>9.5</v>
      </c>
      <c r="R346" s="12">
        <f t="shared" si="195"/>
        <v>12.768000000000001</v>
      </c>
      <c r="S346" s="38">
        <f t="shared" si="196"/>
        <v>41.824688262295084</v>
      </c>
      <c r="T346" s="94" t="str">
        <f t="shared" si="197"/>
        <v>OK</v>
      </c>
      <c r="U346" s="95" t="str">
        <f t="shared" si="198"/>
        <v/>
      </c>
      <c r="V346" s="96">
        <f t="shared" si="199"/>
        <v>0</v>
      </c>
    </row>
    <row r="347" spans="1:22" x14ac:dyDescent="0.2">
      <c r="A347" s="35">
        <v>1</v>
      </c>
      <c r="B347" s="6">
        <v>496</v>
      </c>
      <c r="C347" s="6">
        <v>176</v>
      </c>
      <c r="D347" s="7" t="s">
        <v>254</v>
      </c>
      <c r="E347" s="7" t="s">
        <v>85</v>
      </c>
      <c r="F347" s="8">
        <v>1</v>
      </c>
      <c r="G347" s="8">
        <v>1</v>
      </c>
      <c r="H347" s="8">
        <v>1</v>
      </c>
      <c r="I347" s="8">
        <v>1</v>
      </c>
      <c r="J347" s="8">
        <v>1</v>
      </c>
      <c r="K347" s="23" t="s">
        <v>25</v>
      </c>
      <c r="L347" s="47" t="s">
        <v>266</v>
      </c>
      <c r="M347" s="10">
        <f t="shared" si="192"/>
        <v>8.7295999999999999E-2</v>
      </c>
      <c r="N347" s="11">
        <f t="shared" si="193"/>
        <v>1.3440000000000001</v>
      </c>
      <c r="O347" s="12">
        <f>IF(E347="HERRAJE",IFERROR(_xlfn.XLOOKUP(D347,'⚙️ Configuración Costos'!$A$11:$A$20,'⚙️ Configuración Costos'!$B$11:$B$20),""),IFERROR(_xlfn.XLOOKUP(E347,'⚙️ Configuración Costos'!$A$5:$A$6,'⚙️ Configuración Costos'!$B$5:$B$6),""))</f>
        <v>332.85245901639348</v>
      </c>
      <c r="P347" s="12">
        <f t="shared" si="194"/>
        <v>29.056688262295086</v>
      </c>
      <c r="Q347" s="12">
        <f>IF(E347="HERRAJE",0,IFERROR(_xlfn.XLOOKUP(E347,'⚙️ Configuración Costos'!$E$5:$E$6,'⚙️ Configuración Costos'!$F$5:$F$6),""))</f>
        <v>9.5</v>
      </c>
      <c r="R347" s="12">
        <f t="shared" si="195"/>
        <v>12.768000000000001</v>
      </c>
      <c r="S347" s="38">
        <f t="shared" si="196"/>
        <v>41.824688262295084</v>
      </c>
      <c r="T347" s="94" t="str">
        <f t="shared" si="197"/>
        <v>OK</v>
      </c>
      <c r="U347" s="95" t="str">
        <f t="shared" si="198"/>
        <v/>
      </c>
      <c r="V347" s="96">
        <f t="shared" si="199"/>
        <v>0</v>
      </c>
    </row>
    <row r="348" spans="1:22" x14ac:dyDescent="0.2">
      <c r="A348" s="35">
        <v>3</v>
      </c>
      <c r="B348" s="6">
        <v>0</v>
      </c>
      <c r="C348" s="6">
        <v>0</v>
      </c>
      <c r="D348" s="7" t="s">
        <v>256</v>
      </c>
      <c r="E348" s="7" t="s">
        <v>91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23" t="s">
        <v>25</v>
      </c>
      <c r="L348" s="47" t="s">
        <v>257</v>
      </c>
      <c r="M348" s="10">
        <f t="shared" si="192"/>
        <v>0</v>
      </c>
      <c r="N348" s="11">
        <f t="shared" si="193"/>
        <v>0</v>
      </c>
      <c r="O348" s="12">
        <f>IF(E348="HERRAJE",IFERROR(_xlfn.XLOOKUP(D348,'⚙️ Configuración Costos'!$A$11:$A$20,'⚙️ Configuración Costos'!$B$11:$B$20),""),IFERROR(_xlfn.XLOOKUP(E348,'⚙️ Configuración Costos'!$A$5:$A$6,'⚙️ Configuración Costos'!$B$5:$B$6),""))</f>
        <v>125</v>
      </c>
      <c r="P348" s="12">
        <f t="shared" si="194"/>
        <v>375</v>
      </c>
      <c r="Q348" s="12">
        <f>IF(E348="HERRAJE",0,IFERROR(_xlfn.XLOOKUP(E348,'⚙️ Configuración Costos'!$E$5:$E$6,'⚙️ Configuración Costos'!$F$5:$F$6),""))</f>
        <v>0</v>
      </c>
      <c r="R348" s="12">
        <f t="shared" si="195"/>
        <v>0</v>
      </c>
      <c r="S348" s="38">
        <f t="shared" si="196"/>
        <v>375</v>
      </c>
      <c r="T348" s="94" t="str">
        <f t="shared" si="197"/>
        <v>OK</v>
      </c>
      <c r="U348" s="95" t="str">
        <f t="shared" si="198"/>
        <v/>
      </c>
      <c r="V348" s="96">
        <f t="shared" si="199"/>
        <v>0</v>
      </c>
    </row>
    <row r="349" spans="1:22" x14ac:dyDescent="0.2">
      <c r="A349" s="35">
        <v>3</v>
      </c>
      <c r="B349" s="6">
        <v>0</v>
      </c>
      <c r="C349" s="6">
        <v>0</v>
      </c>
      <c r="D349" s="7" t="s">
        <v>93</v>
      </c>
      <c r="E349" s="7" t="s">
        <v>91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23" t="s">
        <v>25</v>
      </c>
      <c r="L349" s="47" t="s">
        <v>94</v>
      </c>
      <c r="M349" s="10">
        <f t="shared" si="192"/>
        <v>0</v>
      </c>
      <c r="N349" s="11">
        <f t="shared" si="193"/>
        <v>0</v>
      </c>
      <c r="O349" s="12">
        <f>IF(E349="HERRAJE",IFERROR(_xlfn.XLOOKUP(D349,'⚙️ Configuración Costos'!$A$11:$A$20,'⚙️ Configuración Costos'!$B$11:$B$20),""),IFERROR(_xlfn.XLOOKUP(E349,'⚙️ Configuración Costos'!$A$5:$A$6,'⚙️ Configuración Costos'!$B$5:$B$6),""))</f>
        <v>15</v>
      </c>
      <c r="P349" s="12">
        <f t="shared" si="194"/>
        <v>45</v>
      </c>
      <c r="Q349" s="12">
        <f>IF(E349="HERRAJE",0,IFERROR(_xlfn.XLOOKUP(E349,'⚙️ Configuración Costos'!$E$5:$E$6,'⚙️ Configuración Costos'!$F$5:$F$6),""))</f>
        <v>0</v>
      </c>
      <c r="R349" s="12">
        <f t="shared" si="195"/>
        <v>0</v>
      </c>
      <c r="S349" s="38">
        <f t="shared" si="196"/>
        <v>45</v>
      </c>
      <c r="T349" s="94" t="str">
        <f t="shared" si="197"/>
        <v>OK</v>
      </c>
      <c r="U349" s="95" t="str">
        <f t="shared" si="198"/>
        <v/>
      </c>
      <c r="V349" s="96">
        <f t="shared" si="199"/>
        <v>0</v>
      </c>
    </row>
    <row r="350" spans="1:22" x14ac:dyDescent="0.2">
      <c r="A350" s="35">
        <v>4</v>
      </c>
      <c r="B350" s="6">
        <v>0</v>
      </c>
      <c r="C350" s="6">
        <v>0</v>
      </c>
      <c r="D350" s="7" t="s">
        <v>186</v>
      </c>
      <c r="E350" s="7" t="s">
        <v>91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23" t="s">
        <v>25</v>
      </c>
      <c r="L350" s="47" t="s">
        <v>187</v>
      </c>
      <c r="M350" s="10">
        <f t="shared" si="192"/>
        <v>0</v>
      </c>
      <c r="N350" s="11">
        <f t="shared" si="193"/>
        <v>0</v>
      </c>
      <c r="O350" s="12">
        <f>IF(E350="HERRAJE",IFERROR(_xlfn.XLOOKUP(D350,'⚙️ Configuración Costos'!$A$11:$A$20,'⚙️ Configuración Costos'!$B$11:$B$20),""),IFERROR(_xlfn.XLOOKUP(E350,'⚙️ Configuración Costos'!$A$5:$A$6,'⚙️ Configuración Costos'!$B$5:$B$6),""))</f>
        <v>15</v>
      </c>
      <c r="P350" s="12">
        <f t="shared" si="194"/>
        <v>60</v>
      </c>
      <c r="Q350" s="12">
        <f>IF(E350="HERRAJE",0,IFERROR(_xlfn.XLOOKUP(E350,'⚙️ Configuración Costos'!$E$5:$E$6,'⚙️ Configuración Costos'!$F$5:$F$6),""))</f>
        <v>0</v>
      </c>
      <c r="R350" s="12">
        <f t="shared" si="195"/>
        <v>0</v>
      </c>
      <c r="S350" s="38">
        <f t="shared" si="196"/>
        <v>60</v>
      </c>
      <c r="T350" s="94" t="str">
        <f t="shared" si="197"/>
        <v>OK</v>
      </c>
      <c r="U350" s="95" t="str">
        <f t="shared" si="198"/>
        <v/>
      </c>
      <c r="V350" s="96">
        <f t="shared" si="199"/>
        <v>0</v>
      </c>
    </row>
    <row r="351" spans="1:22" ht="16" thickBot="1" x14ac:dyDescent="0.25">
      <c r="A351" s="36">
        <v>50</v>
      </c>
      <c r="B351" s="20">
        <v>0</v>
      </c>
      <c r="C351" s="20">
        <v>0</v>
      </c>
      <c r="D351" s="21" t="s">
        <v>97</v>
      </c>
      <c r="E351" s="21" t="s">
        <v>91</v>
      </c>
      <c r="F351" s="22">
        <v>0</v>
      </c>
      <c r="G351" s="22">
        <v>0</v>
      </c>
      <c r="H351" s="22">
        <v>0</v>
      </c>
      <c r="I351" s="22">
        <v>0</v>
      </c>
      <c r="J351" s="22">
        <v>0</v>
      </c>
      <c r="K351" s="23" t="s">
        <v>25</v>
      </c>
      <c r="L351" s="48" t="s">
        <v>98</v>
      </c>
      <c r="M351" s="24">
        <f t="shared" si="192"/>
        <v>0</v>
      </c>
      <c r="N351" s="25">
        <f t="shared" si="193"/>
        <v>0</v>
      </c>
      <c r="O351" s="26">
        <f>IF(E351="HERRAJE",IFERROR(_xlfn.XLOOKUP(D351,'⚙️ Configuración Costos'!$A$11:$A$20,'⚙️ Configuración Costos'!$B$11:$B$20),""),IFERROR(_xlfn.XLOOKUP(E351,'⚙️ Configuración Costos'!$A$5:$A$6,'⚙️ Configuración Costos'!$B$5:$B$6),""))</f>
        <v>1.5</v>
      </c>
      <c r="P351" s="26">
        <f t="shared" si="194"/>
        <v>75</v>
      </c>
      <c r="Q351" s="26">
        <f>IF(E351="HERRAJE",0,IFERROR(_xlfn.XLOOKUP(E351,'⚙️ Configuración Costos'!$E$5:$E$6,'⚙️ Configuración Costos'!$F$5:$F$6),""))</f>
        <v>0</v>
      </c>
      <c r="R351" s="26">
        <f t="shared" si="195"/>
        <v>0</v>
      </c>
      <c r="S351" s="39">
        <f t="shared" si="196"/>
        <v>75</v>
      </c>
      <c r="T351" s="94" t="str">
        <f t="shared" si="197"/>
        <v>OK</v>
      </c>
      <c r="U351" s="95" t="str">
        <f t="shared" si="198"/>
        <v/>
      </c>
      <c r="V351" s="96">
        <f t="shared" si="199"/>
        <v>0</v>
      </c>
    </row>
    <row r="352" spans="1:22" ht="16" thickTop="1" x14ac:dyDescent="0.2">
      <c r="A352" s="27" t="s">
        <v>99</v>
      </c>
      <c r="B352" s="27"/>
      <c r="C352" s="27"/>
      <c r="D352" s="28"/>
      <c r="E352" s="28"/>
      <c r="F352" s="29"/>
      <c r="G352" s="29"/>
      <c r="H352" s="29"/>
      <c r="I352" s="29"/>
      <c r="J352" s="29"/>
      <c r="K352" s="30"/>
      <c r="L352" s="49" t="s">
        <v>188</v>
      </c>
      <c r="M352" s="31">
        <f>SUM(M335:M351)</f>
        <v>3.0475119999999998</v>
      </c>
      <c r="N352" s="32">
        <f>SUM(N335:N351)</f>
        <v>27.168000000000003</v>
      </c>
      <c r="O352" s="33"/>
      <c r="P352" s="33">
        <f>SUM(P335:P351)</f>
        <v>1318.5853496655741</v>
      </c>
      <c r="Q352" s="33"/>
      <c r="R352" s="33">
        <f>SUM(R335:R351)</f>
        <v>178.38</v>
      </c>
      <c r="S352" s="33">
        <f>SUM(S335:S351)</f>
        <v>1496.9653496655737</v>
      </c>
      <c r="T352" s="97"/>
      <c r="U352" s="98"/>
      <c r="V352" s="99"/>
    </row>
    <row r="353" spans="1:22" x14ac:dyDescent="0.2">
      <c r="A353" s="186" t="s">
        <v>267</v>
      </c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8"/>
      <c r="T353" s="97"/>
      <c r="U353" s="98"/>
      <c r="V353" s="99"/>
    </row>
    <row r="354" spans="1:22" x14ac:dyDescent="0.2">
      <c r="A354" s="34">
        <v>1</v>
      </c>
      <c r="B354" s="13">
        <v>720</v>
      </c>
      <c r="C354" s="13">
        <v>580</v>
      </c>
      <c r="D354" s="14" t="s">
        <v>63</v>
      </c>
      <c r="E354" s="14" t="s">
        <v>64</v>
      </c>
      <c r="F354" s="15">
        <v>0</v>
      </c>
      <c r="G354" s="15">
        <v>1</v>
      </c>
      <c r="H354" s="15">
        <v>1</v>
      </c>
      <c r="I354" s="15">
        <v>1</v>
      </c>
      <c r="J354" s="15">
        <v>1</v>
      </c>
      <c r="K354" s="23" t="s">
        <v>26</v>
      </c>
      <c r="L354" s="46" t="s">
        <v>190</v>
      </c>
      <c r="M354" s="17">
        <f t="shared" ref="M354:M370" si="200">IF(AND(ISNUMBER(B354),ISNUMBER(C354),B354&gt;0,C354&gt;0),A354*(B354*C354/1000000),0)</f>
        <v>0.41760000000000003</v>
      </c>
      <c r="N354" s="18">
        <f t="shared" ref="N354:N370" si="201">IF(AND(ISNUMBER(B354),B354&gt;0),A354*(((G354+H354)*B354+(I354+J354)*C354)/1000),0)</f>
        <v>2.6</v>
      </c>
      <c r="O354" s="19">
        <f>IF(E354="HERRAJE",IFERROR(_xlfn.XLOOKUP(D354,'⚙️ Configuración Costos'!$A$11:$A$20,'⚙️ Configuración Costos'!$B$11:$B$20),""),IFERROR(_xlfn.XLOOKUP(E354,'⚙️ Configuración Costos'!$A$5:$A$6,'⚙️ Configuración Costos'!$B$5:$B$6),""))</f>
        <v>239.8426229508197</v>
      </c>
      <c r="P354" s="19">
        <f t="shared" ref="P354:P370" si="202">IF(E354="HERRAJE",A354*O354,M354*O354)</f>
        <v>100.15827934426231</v>
      </c>
      <c r="Q354" s="19">
        <f>IF(E354="HERRAJE",0,IFERROR(_xlfn.XLOOKUP(E354,'⚙️ Configuración Costos'!$E$5:$E$6,'⚙️ Configuración Costos'!$F$5:$F$6),""))</f>
        <v>6</v>
      </c>
      <c r="R354" s="19">
        <f t="shared" ref="R354:R370" si="203">N354*Q354</f>
        <v>15.600000000000001</v>
      </c>
      <c r="S354" s="37">
        <f t="shared" ref="S354:S370" si="204">P354+R354</f>
        <v>115.75827934426232</v>
      </c>
      <c r="T354" s="94" t="str">
        <f t="shared" ref="T354:T370" si="205">IF(K354="","SIN ID MÓDULO",IF(E354="HERRAJE",IF(OR(O354="",O354&lt;=0),"SIN PRECIO HERRAJE","OK"),IF(OR(O354="",O354&lt;=0),"SIN PRECIO MATERIAL",IF(AND(N354&gt;0,OR(Q354="",Q354&lt;=0)),"SIN PRECIO CINTILLA","OK"))))</f>
        <v>OK</v>
      </c>
      <c r="U354" s="95" t="str">
        <f t="shared" ref="U354:U370" si="206">IF(T354="OK","",IF(T354="SIN PRECIO HERRAJE","Capturar precio: "&amp;D354,IF(T354="SIN PRECIO MATERIAL","Configurar material: "&amp;E354,IF(T354="SIN PRECIO CINTILLA","Configurar cintilla: "&amp;E354,IF(T354="SIN ID MÓDULO","Revisar ID del módulo","")))))</f>
        <v/>
      </c>
      <c r="V354" s="96">
        <f t="shared" ref="V354:V370" si="207">IF(T354="OK",0,IF(T354="",0,1))</f>
        <v>0</v>
      </c>
    </row>
    <row r="355" spans="1:22" x14ac:dyDescent="0.2">
      <c r="A355" s="35">
        <v>1</v>
      </c>
      <c r="B355" s="6">
        <v>720</v>
      </c>
      <c r="C355" s="6">
        <v>580</v>
      </c>
      <c r="D355" s="7" t="s">
        <v>66</v>
      </c>
      <c r="E355" s="7" t="s">
        <v>64</v>
      </c>
      <c r="F355" s="8">
        <v>0</v>
      </c>
      <c r="G355" s="8">
        <v>1</v>
      </c>
      <c r="H355" s="8">
        <v>1</v>
      </c>
      <c r="I355" s="8">
        <v>1</v>
      </c>
      <c r="J355" s="8">
        <v>1</v>
      </c>
      <c r="K355" s="23" t="s">
        <v>26</v>
      </c>
      <c r="L355" s="47" t="s">
        <v>191</v>
      </c>
      <c r="M355" s="10">
        <f t="shared" si="200"/>
        <v>0.41760000000000003</v>
      </c>
      <c r="N355" s="11">
        <f t="shared" si="201"/>
        <v>2.6</v>
      </c>
      <c r="O355" s="12">
        <f>IF(E355="HERRAJE",IFERROR(_xlfn.XLOOKUP(D355,'⚙️ Configuración Costos'!$A$11:$A$20,'⚙️ Configuración Costos'!$B$11:$B$20),""),IFERROR(_xlfn.XLOOKUP(E355,'⚙️ Configuración Costos'!$A$5:$A$6,'⚙️ Configuración Costos'!$B$5:$B$6),""))</f>
        <v>239.8426229508197</v>
      </c>
      <c r="P355" s="12">
        <f t="shared" si="202"/>
        <v>100.15827934426231</v>
      </c>
      <c r="Q355" s="12">
        <f>IF(E355="HERRAJE",0,IFERROR(_xlfn.XLOOKUP(E355,'⚙️ Configuración Costos'!$E$5:$E$6,'⚙️ Configuración Costos'!$F$5:$F$6),""))</f>
        <v>6</v>
      </c>
      <c r="R355" s="12">
        <f t="shared" si="203"/>
        <v>15.600000000000001</v>
      </c>
      <c r="S355" s="38">
        <f t="shared" si="204"/>
        <v>115.75827934426232</v>
      </c>
      <c r="T355" s="94" t="str">
        <f t="shared" si="205"/>
        <v>OK</v>
      </c>
      <c r="U355" s="95" t="str">
        <f t="shared" si="206"/>
        <v/>
      </c>
      <c r="V355" s="96">
        <f t="shared" si="207"/>
        <v>0</v>
      </c>
    </row>
    <row r="356" spans="1:22" x14ac:dyDescent="0.2">
      <c r="A356" s="35">
        <v>2</v>
      </c>
      <c r="B356" s="6">
        <v>569</v>
      </c>
      <c r="C356" s="6">
        <v>120</v>
      </c>
      <c r="D356" s="7" t="s">
        <v>194</v>
      </c>
      <c r="E356" s="7" t="s">
        <v>64</v>
      </c>
      <c r="F356" s="8">
        <v>0</v>
      </c>
      <c r="G356" s="8">
        <v>1</v>
      </c>
      <c r="H356" s="8">
        <v>1</v>
      </c>
      <c r="I356" s="8">
        <v>0</v>
      </c>
      <c r="J356" s="8">
        <v>0</v>
      </c>
      <c r="K356" s="23" t="s">
        <v>26</v>
      </c>
      <c r="L356" s="47" t="s">
        <v>214</v>
      </c>
      <c r="M356" s="10">
        <f t="shared" si="200"/>
        <v>0.13655999999999999</v>
      </c>
      <c r="N356" s="11">
        <f t="shared" si="201"/>
        <v>2.2759999999999998</v>
      </c>
      <c r="O356" s="12">
        <f>IF(E356="HERRAJE",IFERROR(_xlfn.XLOOKUP(D356,'⚙️ Configuración Costos'!$A$11:$A$20,'⚙️ Configuración Costos'!$B$11:$B$20),""),IFERROR(_xlfn.XLOOKUP(E356,'⚙️ Configuración Costos'!$A$5:$A$6,'⚙️ Configuración Costos'!$B$5:$B$6),""))</f>
        <v>239.8426229508197</v>
      </c>
      <c r="P356" s="12">
        <f t="shared" si="202"/>
        <v>32.752908590163933</v>
      </c>
      <c r="Q356" s="12">
        <f>IF(E356="HERRAJE",0,IFERROR(_xlfn.XLOOKUP(E356,'⚙️ Configuración Costos'!$E$5:$E$6,'⚙️ Configuración Costos'!$F$5:$F$6),""))</f>
        <v>6</v>
      </c>
      <c r="R356" s="12">
        <f t="shared" si="203"/>
        <v>13.655999999999999</v>
      </c>
      <c r="S356" s="38">
        <f t="shared" si="204"/>
        <v>46.408908590163932</v>
      </c>
      <c r="T356" s="94" t="str">
        <f t="shared" si="205"/>
        <v>OK</v>
      </c>
      <c r="U356" s="95" t="str">
        <f t="shared" si="206"/>
        <v/>
      </c>
      <c r="V356" s="96">
        <f t="shared" si="207"/>
        <v>0</v>
      </c>
    </row>
    <row r="357" spans="1:22" x14ac:dyDescent="0.2">
      <c r="A357" s="35">
        <v>1</v>
      </c>
      <c r="B357" s="6">
        <v>569</v>
      </c>
      <c r="C357" s="6">
        <v>580</v>
      </c>
      <c r="D357" s="7" t="s">
        <v>171</v>
      </c>
      <c r="E357" s="7" t="s">
        <v>64</v>
      </c>
      <c r="F357" s="8">
        <v>0</v>
      </c>
      <c r="G357" s="8">
        <v>0</v>
      </c>
      <c r="H357" s="8">
        <v>0</v>
      </c>
      <c r="I357" s="8">
        <v>1</v>
      </c>
      <c r="J357" s="8">
        <v>1</v>
      </c>
      <c r="K357" s="23" t="s">
        <v>26</v>
      </c>
      <c r="L357" s="47" t="s">
        <v>213</v>
      </c>
      <c r="M357" s="10">
        <f t="shared" si="200"/>
        <v>0.33001999999999998</v>
      </c>
      <c r="N357" s="11">
        <f t="shared" si="201"/>
        <v>1.1599999999999999</v>
      </c>
      <c r="O357" s="12">
        <f>IF(E357="HERRAJE",IFERROR(_xlfn.XLOOKUP(D357,'⚙️ Configuración Costos'!$A$11:$A$20,'⚙️ Configuración Costos'!$B$11:$B$20),""),IFERROR(_xlfn.XLOOKUP(E357,'⚙️ Configuración Costos'!$A$5:$A$6,'⚙️ Configuración Costos'!$B$5:$B$6),""))</f>
        <v>239.8426229508197</v>
      </c>
      <c r="P357" s="12">
        <f t="shared" si="202"/>
        <v>79.152862426229518</v>
      </c>
      <c r="Q357" s="12">
        <f>IF(E357="HERRAJE",0,IFERROR(_xlfn.XLOOKUP(E357,'⚙️ Configuración Costos'!$E$5:$E$6,'⚙️ Configuración Costos'!$F$5:$F$6),""))</f>
        <v>6</v>
      </c>
      <c r="R357" s="12">
        <f t="shared" si="203"/>
        <v>6.9599999999999991</v>
      </c>
      <c r="S357" s="38">
        <f t="shared" si="204"/>
        <v>86.112862426229512</v>
      </c>
      <c r="T357" s="94" t="str">
        <f t="shared" si="205"/>
        <v>OK</v>
      </c>
      <c r="U357" s="95" t="str">
        <f t="shared" si="206"/>
        <v/>
      </c>
      <c r="V357" s="96">
        <f t="shared" si="207"/>
        <v>0</v>
      </c>
    </row>
    <row r="358" spans="1:22" x14ac:dyDescent="0.2">
      <c r="A358" s="35">
        <v>2</v>
      </c>
      <c r="B358" s="6">
        <v>569</v>
      </c>
      <c r="C358" s="6">
        <v>120</v>
      </c>
      <c r="D358" s="7" t="s">
        <v>240</v>
      </c>
      <c r="E358" s="7" t="s">
        <v>64</v>
      </c>
      <c r="F358" s="8">
        <v>0</v>
      </c>
      <c r="G358" s="8">
        <v>1</v>
      </c>
      <c r="H358" s="8">
        <v>1</v>
      </c>
      <c r="I358" s="8">
        <v>0</v>
      </c>
      <c r="J358" s="8">
        <v>0</v>
      </c>
      <c r="K358" s="23" t="s">
        <v>26</v>
      </c>
      <c r="L358" s="47" t="s">
        <v>268</v>
      </c>
      <c r="M358" s="10">
        <f t="shared" si="200"/>
        <v>0.13655999999999999</v>
      </c>
      <c r="N358" s="11">
        <f t="shared" si="201"/>
        <v>2.2759999999999998</v>
      </c>
      <c r="O358" s="12">
        <f>IF(E358="HERRAJE",IFERROR(_xlfn.XLOOKUP(D358,'⚙️ Configuración Costos'!$A$11:$A$20,'⚙️ Configuración Costos'!$B$11:$B$20),""),IFERROR(_xlfn.XLOOKUP(E358,'⚙️ Configuración Costos'!$A$5:$A$6,'⚙️ Configuración Costos'!$B$5:$B$6),""))</f>
        <v>239.8426229508197</v>
      </c>
      <c r="P358" s="12">
        <f t="shared" si="202"/>
        <v>32.752908590163933</v>
      </c>
      <c r="Q358" s="12">
        <f>IF(E358="HERRAJE",0,IFERROR(_xlfn.XLOOKUP(E358,'⚙️ Configuración Costos'!$E$5:$E$6,'⚙️ Configuración Costos'!$F$5:$F$6),""))</f>
        <v>6</v>
      </c>
      <c r="R358" s="12">
        <f t="shared" si="203"/>
        <v>13.655999999999999</v>
      </c>
      <c r="S358" s="38">
        <f t="shared" si="204"/>
        <v>46.408908590163932</v>
      </c>
      <c r="T358" s="94" t="str">
        <f t="shared" si="205"/>
        <v>OK</v>
      </c>
      <c r="U358" s="95" t="str">
        <f t="shared" si="206"/>
        <v/>
      </c>
      <c r="V358" s="96">
        <f t="shared" si="207"/>
        <v>0</v>
      </c>
    </row>
    <row r="359" spans="1:22" x14ac:dyDescent="0.2">
      <c r="A359" s="35">
        <v>3</v>
      </c>
      <c r="B359" s="6">
        <v>512</v>
      </c>
      <c r="C359" s="6">
        <v>469</v>
      </c>
      <c r="D359" s="7" t="s">
        <v>245</v>
      </c>
      <c r="E359" s="7" t="s">
        <v>64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23" t="s">
        <v>26</v>
      </c>
      <c r="L359" s="47" t="s">
        <v>269</v>
      </c>
      <c r="M359" s="10">
        <f t="shared" si="200"/>
        <v>0.72038400000000002</v>
      </c>
      <c r="N359" s="11">
        <f t="shared" si="201"/>
        <v>0</v>
      </c>
      <c r="O359" s="12">
        <f>IF(E359="HERRAJE",IFERROR(_xlfn.XLOOKUP(D359,'⚙️ Configuración Costos'!$A$11:$A$20,'⚙️ Configuración Costos'!$B$11:$B$20),""),IFERROR(_xlfn.XLOOKUP(E359,'⚙️ Configuración Costos'!$A$5:$A$6,'⚙️ Configuración Costos'!$B$5:$B$6),""))</f>
        <v>239.8426229508197</v>
      </c>
      <c r="P359" s="12">
        <f t="shared" si="202"/>
        <v>172.77878809180331</v>
      </c>
      <c r="Q359" s="12">
        <f>IF(E359="HERRAJE",0,IFERROR(_xlfn.XLOOKUP(E359,'⚙️ Configuración Costos'!$E$5:$E$6,'⚙️ Configuración Costos'!$F$5:$F$6),""))</f>
        <v>6</v>
      </c>
      <c r="R359" s="12">
        <f t="shared" si="203"/>
        <v>0</v>
      </c>
      <c r="S359" s="38">
        <f t="shared" si="204"/>
        <v>172.77878809180331</v>
      </c>
      <c r="T359" s="94" t="str">
        <f t="shared" si="205"/>
        <v>OK</v>
      </c>
      <c r="U359" s="95" t="str">
        <f t="shared" si="206"/>
        <v/>
      </c>
      <c r="V359" s="96">
        <f t="shared" si="207"/>
        <v>0</v>
      </c>
    </row>
    <row r="360" spans="1:22" x14ac:dyDescent="0.2">
      <c r="A360" s="35">
        <v>2</v>
      </c>
      <c r="B360" s="6">
        <v>512</v>
      </c>
      <c r="C360" s="6">
        <v>230</v>
      </c>
      <c r="D360" s="7" t="s">
        <v>247</v>
      </c>
      <c r="E360" s="7" t="s">
        <v>64</v>
      </c>
      <c r="F360" s="8">
        <v>0</v>
      </c>
      <c r="G360" s="8">
        <v>1</v>
      </c>
      <c r="H360" s="8">
        <v>1</v>
      </c>
      <c r="I360" s="8">
        <v>0</v>
      </c>
      <c r="J360" s="8">
        <v>0</v>
      </c>
      <c r="K360" s="23" t="s">
        <v>26</v>
      </c>
      <c r="L360" s="47" t="s">
        <v>270</v>
      </c>
      <c r="M360" s="10">
        <f t="shared" si="200"/>
        <v>0.23552000000000001</v>
      </c>
      <c r="N360" s="11">
        <f t="shared" si="201"/>
        <v>2.048</v>
      </c>
      <c r="O360" s="12">
        <f>IF(E360="HERRAJE",IFERROR(_xlfn.XLOOKUP(D360,'⚙️ Configuración Costos'!$A$11:$A$20,'⚙️ Configuración Costos'!$B$11:$B$20),""),IFERROR(_xlfn.XLOOKUP(E360,'⚙️ Configuración Costos'!$A$5:$A$6,'⚙️ Configuración Costos'!$B$5:$B$6),""))</f>
        <v>239.8426229508197</v>
      </c>
      <c r="P360" s="12">
        <f t="shared" si="202"/>
        <v>56.48773455737706</v>
      </c>
      <c r="Q360" s="12">
        <f>IF(E360="HERRAJE",0,IFERROR(_xlfn.XLOOKUP(E360,'⚙️ Configuración Costos'!$E$5:$E$6,'⚙️ Configuración Costos'!$F$5:$F$6),""))</f>
        <v>6</v>
      </c>
      <c r="R360" s="12">
        <f t="shared" si="203"/>
        <v>12.288</v>
      </c>
      <c r="S360" s="38">
        <f t="shared" si="204"/>
        <v>68.775734557377064</v>
      </c>
      <c r="T360" s="94" t="str">
        <f t="shared" si="205"/>
        <v>OK</v>
      </c>
      <c r="U360" s="95" t="str">
        <f t="shared" si="206"/>
        <v/>
      </c>
      <c r="V360" s="96">
        <f t="shared" si="207"/>
        <v>0</v>
      </c>
    </row>
    <row r="361" spans="1:22" x14ac:dyDescent="0.2">
      <c r="A361" s="35">
        <v>4</v>
      </c>
      <c r="B361" s="6">
        <v>512</v>
      </c>
      <c r="C361" s="6">
        <v>100</v>
      </c>
      <c r="D361" s="7" t="s">
        <v>247</v>
      </c>
      <c r="E361" s="7" t="s">
        <v>64</v>
      </c>
      <c r="F361" s="8">
        <v>0</v>
      </c>
      <c r="G361" s="8">
        <v>1</v>
      </c>
      <c r="H361" s="8">
        <v>1</v>
      </c>
      <c r="I361" s="8">
        <v>0</v>
      </c>
      <c r="J361" s="8">
        <v>0</v>
      </c>
      <c r="K361" s="23" t="s">
        <v>26</v>
      </c>
      <c r="L361" s="47" t="s">
        <v>271</v>
      </c>
      <c r="M361" s="10">
        <f t="shared" si="200"/>
        <v>0.20480000000000001</v>
      </c>
      <c r="N361" s="11">
        <f t="shared" si="201"/>
        <v>4.0960000000000001</v>
      </c>
      <c r="O361" s="12">
        <f>IF(E361="HERRAJE",IFERROR(_xlfn.XLOOKUP(D361,'⚙️ Configuración Costos'!$A$11:$A$20,'⚙️ Configuración Costos'!$B$11:$B$20),""),IFERROR(_xlfn.XLOOKUP(E361,'⚙️ Configuración Costos'!$A$5:$A$6,'⚙️ Configuración Costos'!$B$5:$B$6),""))</f>
        <v>239.8426229508197</v>
      </c>
      <c r="P361" s="12">
        <f t="shared" si="202"/>
        <v>49.119769180327879</v>
      </c>
      <c r="Q361" s="12">
        <f>IF(E361="HERRAJE",0,IFERROR(_xlfn.XLOOKUP(E361,'⚙️ Configuración Costos'!$E$5:$E$6,'⚙️ Configuración Costos'!$F$5:$F$6),""))</f>
        <v>6</v>
      </c>
      <c r="R361" s="12">
        <f t="shared" si="203"/>
        <v>24.576000000000001</v>
      </c>
      <c r="S361" s="38">
        <f t="shared" si="204"/>
        <v>73.695769180327886</v>
      </c>
      <c r="T361" s="94" t="str">
        <f t="shared" si="205"/>
        <v>OK</v>
      </c>
      <c r="U361" s="95" t="str">
        <f t="shared" si="206"/>
        <v/>
      </c>
      <c r="V361" s="96">
        <f t="shared" si="207"/>
        <v>0</v>
      </c>
    </row>
    <row r="362" spans="1:22" x14ac:dyDescent="0.2">
      <c r="A362" s="35">
        <v>2</v>
      </c>
      <c r="B362" s="6">
        <v>500</v>
      </c>
      <c r="C362" s="6">
        <v>230</v>
      </c>
      <c r="D362" s="7" t="s">
        <v>242</v>
      </c>
      <c r="E362" s="7" t="s">
        <v>64</v>
      </c>
      <c r="F362" s="8">
        <v>0</v>
      </c>
      <c r="G362" s="8">
        <v>1</v>
      </c>
      <c r="H362" s="8">
        <v>1</v>
      </c>
      <c r="I362" s="8">
        <v>1</v>
      </c>
      <c r="J362" s="8">
        <v>1</v>
      </c>
      <c r="K362" s="23" t="s">
        <v>26</v>
      </c>
      <c r="L362" s="47" t="s">
        <v>243</v>
      </c>
      <c r="M362" s="10">
        <f t="shared" si="200"/>
        <v>0.23</v>
      </c>
      <c r="N362" s="11">
        <f t="shared" si="201"/>
        <v>2.92</v>
      </c>
      <c r="O362" s="12">
        <f>IF(E362="HERRAJE",IFERROR(_xlfn.XLOOKUP(D362,'⚙️ Configuración Costos'!$A$11:$A$20,'⚙️ Configuración Costos'!$B$11:$B$20),""),IFERROR(_xlfn.XLOOKUP(E362,'⚙️ Configuración Costos'!$A$5:$A$6,'⚙️ Configuración Costos'!$B$5:$B$6),""))</f>
        <v>239.8426229508197</v>
      </c>
      <c r="P362" s="12">
        <f t="shared" si="202"/>
        <v>55.163803278688533</v>
      </c>
      <c r="Q362" s="12">
        <f>IF(E362="HERRAJE",0,IFERROR(_xlfn.XLOOKUP(E362,'⚙️ Configuración Costos'!$E$5:$E$6,'⚙️ Configuración Costos'!$F$5:$F$6),""))</f>
        <v>6</v>
      </c>
      <c r="R362" s="12">
        <f t="shared" si="203"/>
        <v>17.52</v>
      </c>
      <c r="S362" s="38">
        <f t="shared" si="204"/>
        <v>72.683803278688529</v>
      </c>
      <c r="T362" s="94" t="str">
        <f t="shared" si="205"/>
        <v>OK</v>
      </c>
      <c r="U362" s="95" t="str">
        <f t="shared" si="206"/>
        <v/>
      </c>
      <c r="V362" s="96">
        <f t="shared" si="207"/>
        <v>0</v>
      </c>
    </row>
    <row r="363" spans="1:22" x14ac:dyDescent="0.2">
      <c r="A363" s="35">
        <v>4</v>
      </c>
      <c r="B363" s="6">
        <v>500</v>
      </c>
      <c r="C363" s="6">
        <v>100</v>
      </c>
      <c r="D363" s="7" t="s">
        <v>242</v>
      </c>
      <c r="E363" s="7" t="s">
        <v>64</v>
      </c>
      <c r="F363" s="8">
        <v>0</v>
      </c>
      <c r="G363" s="8">
        <v>1</v>
      </c>
      <c r="H363" s="8">
        <v>1</v>
      </c>
      <c r="I363" s="8">
        <v>1</v>
      </c>
      <c r="J363" s="8">
        <v>1</v>
      </c>
      <c r="K363" s="23" t="s">
        <v>26</v>
      </c>
      <c r="L363" s="47" t="s">
        <v>244</v>
      </c>
      <c r="M363" s="10">
        <f t="shared" si="200"/>
        <v>0.2</v>
      </c>
      <c r="N363" s="11">
        <f t="shared" si="201"/>
        <v>4.8</v>
      </c>
      <c r="O363" s="12">
        <f>IF(E363="HERRAJE",IFERROR(_xlfn.XLOOKUP(D363,'⚙️ Configuración Costos'!$A$11:$A$20,'⚙️ Configuración Costos'!$B$11:$B$20),""),IFERROR(_xlfn.XLOOKUP(E363,'⚙️ Configuración Costos'!$A$5:$A$6,'⚙️ Configuración Costos'!$B$5:$B$6),""))</f>
        <v>239.8426229508197</v>
      </c>
      <c r="P363" s="12">
        <f t="shared" si="202"/>
        <v>47.968524590163945</v>
      </c>
      <c r="Q363" s="12">
        <f>IF(E363="HERRAJE",0,IFERROR(_xlfn.XLOOKUP(E363,'⚙️ Configuración Costos'!$E$5:$E$6,'⚙️ Configuración Costos'!$F$5:$F$6),""))</f>
        <v>6</v>
      </c>
      <c r="R363" s="12">
        <f t="shared" si="203"/>
        <v>28.799999999999997</v>
      </c>
      <c r="S363" s="38">
        <f t="shared" si="204"/>
        <v>76.768524590163935</v>
      </c>
      <c r="T363" s="94" t="str">
        <f t="shared" si="205"/>
        <v>OK</v>
      </c>
      <c r="U363" s="95" t="str">
        <f t="shared" si="206"/>
        <v/>
      </c>
      <c r="V363" s="96">
        <f t="shared" si="207"/>
        <v>0</v>
      </c>
    </row>
    <row r="364" spans="1:22" x14ac:dyDescent="0.2">
      <c r="A364" s="35">
        <v>1</v>
      </c>
      <c r="B364" s="6">
        <v>596</v>
      </c>
      <c r="C364" s="6">
        <v>356</v>
      </c>
      <c r="D364" s="7" t="s">
        <v>250</v>
      </c>
      <c r="E364" s="7" t="s">
        <v>85</v>
      </c>
      <c r="F364" s="8">
        <v>1</v>
      </c>
      <c r="G364" s="8">
        <v>1</v>
      </c>
      <c r="H364" s="8">
        <v>1</v>
      </c>
      <c r="I364" s="8">
        <v>1</v>
      </c>
      <c r="J364" s="8">
        <v>1</v>
      </c>
      <c r="K364" s="23" t="s">
        <v>26</v>
      </c>
      <c r="L364" s="47" t="s">
        <v>272</v>
      </c>
      <c r="M364" s="10">
        <f t="shared" si="200"/>
        <v>0.212176</v>
      </c>
      <c r="N364" s="11">
        <f t="shared" si="201"/>
        <v>1.9039999999999999</v>
      </c>
      <c r="O364" s="12">
        <f>IF(E364="HERRAJE",IFERROR(_xlfn.XLOOKUP(D364,'⚙️ Configuración Costos'!$A$11:$A$20,'⚙️ Configuración Costos'!$B$11:$B$20),""),IFERROR(_xlfn.XLOOKUP(E364,'⚙️ Configuración Costos'!$A$5:$A$6,'⚙️ Configuración Costos'!$B$5:$B$6),""))</f>
        <v>332.85245901639348</v>
      </c>
      <c r="P364" s="12">
        <f t="shared" si="202"/>
        <v>70.623303344262311</v>
      </c>
      <c r="Q364" s="12">
        <f>IF(E364="HERRAJE",0,IFERROR(_xlfn.XLOOKUP(E364,'⚙️ Configuración Costos'!$E$5:$E$6,'⚙️ Configuración Costos'!$F$5:$F$6),""))</f>
        <v>9.5</v>
      </c>
      <c r="R364" s="12">
        <f t="shared" si="203"/>
        <v>18.088000000000001</v>
      </c>
      <c r="S364" s="38">
        <f t="shared" si="204"/>
        <v>88.711303344262319</v>
      </c>
      <c r="T364" s="94" t="str">
        <f t="shared" si="205"/>
        <v>OK</v>
      </c>
      <c r="U364" s="95" t="str">
        <f t="shared" si="206"/>
        <v/>
      </c>
      <c r="V364" s="96">
        <f t="shared" si="207"/>
        <v>0</v>
      </c>
    </row>
    <row r="365" spans="1:22" x14ac:dyDescent="0.2">
      <c r="A365" s="35">
        <v>1</v>
      </c>
      <c r="B365" s="6">
        <v>596</v>
      </c>
      <c r="C365" s="6">
        <v>176</v>
      </c>
      <c r="D365" s="7" t="s">
        <v>252</v>
      </c>
      <c r="E365" s="7" t="s">
        <v>85</v>
      </c>
      <c r="F365" s="8">
        <v>1</v>
      </c>
      <c r="G365" s="8">
        <v>1</v>
      </c>
      <c r="H365" s="8">
        <v>1</v>
      </c>
      <c r="I365" s="8">
        <v>1</v>
      </c>
      <c r="J365" s="8">
        <v>1</v>
      </c>
      <c r="K365" s="23" t="s">
        <v>26</v>
      </c>
      <c r="L365" s="47" t="s">
        <v>273</v>
      </c>
      <c r="M365" s="10">
        <f t="shared" si="200"/>
        <v>0.104896</v>
      </c>
      <c r="N365" s="11">
        <f t="shared" si="201"/>
        <v>1.544</v>
      </c>
      <c r="O365" s="12">
        <f>IF(E365="HERRAJE",IFERROR(_xlfn.XLOOKUP(D365,'⚙️ Configuración Costos'!$A$11:$A$20,'⚙️ Configuración Costos'!$B$11:$B$20),""),IFERROR(_xlfn.XLOOKUP(E365,'⚙️ Configuración Costos'!$A$5:$A$6,'⚙️ Configuración Costos'!$B$5:$B$6),""))</f>
        <v>332.85245901639348</v>
      </c>
      <c r="P365" s="12">
        <f t="shared" si="202"/>
        <v>34.914891540983611</v>
      </c>
      <c r="Q365" s="12">
        <f>IF(E365="HERRAJE",0,IFERROR(_xlfn.XLOOKUP(E365,'⚙️ Configuración Costos'!$E$5:$E$6,'⚙️ Configuración Costos'!$F$5:$F$6),""))</f>
        <v>9.5</v>
      </c>
      <c r="R365" s="12">
        <f t="shared" si="203"/>
        <v>14.668000000000001</v>
      </c>
      <c r="S365" s="38">
        <f t="shared" si="204"/>
        <v>49.58289154098361</v>
      </c>
      <c r="T365" s="94" t="str">
        <f t="shared" si="205"/>
        <v>OK</v>
      </c>
      <c r="U365" s="95" t="str">
        <f t="shared" si="206"/>
        <v/>
      </c>
      <c r="V365" s="96">
        <f t="shared" si="207"/>
        <v>0</v>
      </c>
    </row>
    <row r="366" spans="1:22" x14ac:dyDescent="0.2">
      <c r="A366" s="35">
        <v>1</v>
      </c>
      <c r="B366" s="6">
        <v>596</v>
      </c>
      <c r="C366" s="6">
        <v>176</v>
      </c>
      <c r="D366" s="7" t="s">
        <v>254</v>
      </c>
      <c r="E366" s="7" t="s">
        <v>85</v>
      </c>
      <c r="F366" s="8">
        <v>1</v>
      </c>
      <c r="G366" s="8">
        <v>1</v>
      </c>
      <c r="H366" s="8">
        <v>1</v>
      </c>
      <c r="I366" s="8">
        <v>1</v>
      </c>
      <c r="J366" s="8">
        <v>1</v>
      </c>
      <c r="K366" s="23" t="s">
        <v>26</v>
      </c>
      <c r="L366" s="47" t="s">
        <v>274</v>
      </c>
      <c r="M366" s="10">
        <f t="shared" si="200"/>
        <v>0.104896</v>
      </c>
      <c r="N366" s="11">
        <f t="shared" si="201"/>
        <v>1.544</v>
      </c>
      <c r="O366" s="12">
        <f>IF(E366="HERRAJE",IFERROR(_xlfn.XLOOKUP(D366,'⚙️ Configuración Costos'!$A$11:$A$20,'⚙️ Configuración Costos'!$B$11:$B$20),""),IFERROR(_xlfn.XLOOKUP(E366,'⚙️ Configuración Costos'!$A$5:$A$6,'⚙️ Configuración Costos'!$B$5:$B$6),""))</f>
        <v>332.85245901639348</v>
      </c>
      <c r="P366" s="12">
        <f t="shared" si="202"/>
        <v>34.914891540983611</v>
      </c>
      <c r="Q366" s="12">
        <f>IF(E366="HERRAJE",0,IFERROR(_xlfn.XLOOKUP(E366,'⚙️ Configuración Costos'!$E$5:$E$6,'⚙️ Configuración Costos'!$F$5:$F$6),""))</f>
        <v>9.5</v>
      </c>
      <c r="R366" s="12">
        <f t="shared" si="203"/>
        <v>14.668000000000001</v>
      </c>
      <c r="S366" s="38">
        <f t="shared" si="204"/>
        <v>49.58289154098361</v>
      </c>
      <c r="T366" s="94" t="str">
        <f t="shared" si="205"/>
        <v>OK</v>
      </c>
      <c r="U366" s="95" t="str">
        <f t="shared" si="206"/>
        <v/>
      </c>
      <c r="V366" s="96">
        <f t="shared" si="207"/>
        <v>0</v>
      </c>
    </row>
    <row r="367" spans="1:22" x14ac:dyDescent="0.2">
      <c r="A367" s="35">
        <v>3</v>
      </c>
      <c r="B367" s="6">
        <v>0</v>
      </c>
      <c r="C367" s="6">
        <v>0</v>
      </c>
      <c r="D367" s="7" t="s">
        <v>256</v>
      </c>
      <c r="E367" s="7" t="s">
        <v>91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23" t="s">
        <v>26</v>
      </c>
      <c r="L367" s="47" t="s">
        <v>257</v>
      </c>
      <c r="M367" s="10">
        <f t="shared" si="200"/>
        <v>0</v>
      </c>
      <c r="N367" s="11">
        <f t="shared" si="201"/>
        <v>0</v>
      </c>
      <c r="O367" s="12">
        <f>IF(E367="HERRAJE",IFERROR(_xlfn.XLOOKUP(D367,'⚙️ Configuración Costos'!$A$11:$A$20,'⚙️ Configuración Costos'!$B$11:$B$20),""),IFERROR(_xlfn.XLOOKUP(E367,'⚙️ Configuración Costos'!$A$5:$A$6,'⚙️ Configuración Costos'!$B$5:$B$6),""))</f>
        <v>125</v>
      </c>
      <c r="P367" s="12">
        <f t="shared" si="202"/>
        <v>375</v>
      </c>
      <c r="Q367" s="12">
        <f>IF(E367="HERRAJE",0,IFERROR(_xlfn.XLOOKUP(E367,'⚙️ Configuración Costos'!$E$5:$E$6,'⚙️ Configuración Costos'!$F$5:$F$6),""))</f>
        <v>0</v>
      </c>
      <c r="R367" s="12">
        <f t="shared" si="203"/>
        <v>0</v>
      </c>
      <c r="S367" s="38">
        <f t="shared" si="204"/>
        <v>375</v>
      </c>
      <c r="T367" s="94" t="str">
        <f t="shared" si="205"/>
        <v>OK</v>
      </c>
      <c r="U367" s="95" t="str">
        <f t="shared" si="206"/>
        <v/>
      </c>
      <c r="V367" s="96">
        <f t="shared" si="207"/>
        <v>0</v>
      </c>
    </row>
    <row r="368" spans="1:22" x14ac:dyDescent="0.2">
      <c r="A368" s="35">
        <v>3</v>
      </c>
      <c r="B368" s="6">
        <v>0</v>
      </c>
      <c r="C368" s="6">
        <v>0</v>
      </c>
      <c r="D368" s="7" t="s">
        <v>93</v>
      </c>
      <c r="E368" s="7" t="s">
        <v>91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23" t="s">
        <v>26</v>
      </c>
      <c r="L368" s="47" t="s">
        <v>94</v>
      </c>
      <c r="M368" s="10">
        <f t="shared" si="200"/>
        <v>0</v>
      </c>
      <c r="N368" s="11">
        <f t="shared" si="201"/>
        <v>0</v>
      </c>
      <c r="O368" s="12">
        <f>IF(E368="HERRAJE",IFERROR(_xlfn.XLOOKUP(D368,'⚙️ Configuración Costos'!$A$11:$A$20,'⚙️ Configuración Costos'!$B$11:$B$20),""),IFERROR(_xlfn.XLOOKUP(E368,'⚙️ Configuración Costos'!$A$5:$A$6,'⚙️ Configuración Costos'!$B$5:$B$6),""))</f>
        <v>15</v>
      </c>
      <c r="P368" s="12">
        <f t="shared" si="202"/>
        <v>45</v>
      </c>
      <c r="Q368" s="12">
        <f>IF(E368="HERRAJE",0,IFERROR(_xlfn.XLOOKUP(E368,'⚙️ Configuración Costos'!$E$5:$E$6,'⚙️ Configuración Costos'!$F$5:$F$6),""))</f>
        <v>0</v>
      </c>
      <c r="R368" s="12">
        <f t="shared" si="203"/>
        <v>0</v>
      </c>
      <c r="S368" s="38">
        <f t="shared" si="204"/>
        <v>45</v>
      </c>
      <c r="T368" s="94" t="str">
        <f t="shared" si="205"/>
        <v>OK</v>
      </c>
      <c r="U368" s="95" t="str">
        <f t="shared" si="206"/>
        <v/>
      </c>
      <c r="V368" s="96">
        <f t="shared" si="207"/>
        <v>0</v>
      </c>
    </row>
    <row r="369" spans="1:22" x14ac:dyDescent="0.2">
      <c r="A369" s="35">
        <v>4</v>
      </c>
      <c r="B369" s="6">
        <v>0</v>
      </c>
      <c r="C369" s="6">
        <v>0</v>
      </c>
      <c r="D369" s="7" t="s">
        <v>186</v>
      </c>
      <c r="E369" s="7" t="s">
        <v>91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23" t="s">
        <v>26</v>
      </c>
      <c r="L369" s="47" t="s">
        <v>187</v>
      </c>
      <c r="M369" s="10">
        <f t="shared" si="200"/>
        <v>0</v>
      </c>
      <c r="N369" s="11">
        <f t="shared" si="201"/>
        <v>0</v>
      </c>
      <c r="O369" s="12">
        <f>IF(E369="HERRAJE",IFERROR(_xlfn.XLOOKUP(D369,'⚙️ Configuración Costos'!$A$11:$A$20,'⚙️ Configuración Costos'!$B$11:$B$20),""),IFERROR(_xlfn.XLOOKUP(E369,'⚙️ Configuración Costos'!$A$5:$A$6,'⚙️ Configuración Costos'!$B$5:$B$6),""))</f>
        <v>15</v>
      </c>
      <c r="P369" s="12">
        <f t="shared" si="202"/>
        <v>60</v>
      </c>
      <c r="Q369" s="12">
        <f>IF(E369="HERRAJE",0,IFERROR(_xlfn.XLOOKUP(E369,'⚙️ Configuración Costos'!$E$5:$E$6,'⚙️ Configuración Costos'!$F$5:$F$6),""))</f>
        <v>0</v>
      </c>
      <c r="R369" s="12">
        <f t="shared" si="203"/>
        <v>0</v>
      </c>
      <c r="S369" s="38">
        <f t="shared" si="204"/>
        <v>60</v>
      </c>
      <c r="T369" s="94" t="str">
        <f t="shared" si="205"/>
        <v>OK</v>
      </c>
      <c r="U369" s="95" t="str">
        <f t="shared" si="206"/>
        <v/>
      </c>
      <c r="V369" s="96">
        <f t="shared" si="207"/>
        <v>0</v>
      </c>
    </row>
    <row r="370" spans="1:22" ht="16" thickBot="1" x14ac:dyDescent="0.25">
      <c r="A370" s="36">
        <v>50</v>
      </c>
      <c r="B370" s="20">
        <v>0</v>
      </c>
      <c r="C370" s="20">
        <v>0</v>
      </c>
      <c r="D370" s="21" t="s">
        <v>97</v>
      </c>
      <c r="E370" s="21" t="s">
        <v>91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3" t="s">
        <v>26</v>
      </c>
      <c r="L370" s="48" t="s">
        <v>98</v>
      </c>
      <c r="M370" s="24">
        <f t="shared" si="200"/>
        <v>0</v>
      </c>
      <c r="N370" s="25">
        <f t="shared" si="201"/>
        <v>0</v>
      </c>
      <c r="O370" s="26">
        <f>IF(E370="HERRAJE",IFERROR(_xlfn.XLOOKUP(D370,'⚙️ Configuración Costos'!$A$11:$A$20,'⚙️ Configuración Costos'!$B$11:$B$20),""),IFERROR(_xlfn.XLOOKUP(E370,'⚙️ Configuración Costos'!$A$5:$A$6,'⚙️ Configuración Costos'!$B$5:$B$6),""))</f>
        <v>1.5</v>
      </c>
      <c r="P370" s="26">
        <f t="shared" si="202"/>
        <v>75</v>
      </c>
      <c r="Q370" s="26">
        <f>IF(E370="HERRAJE",0,IFERROR(_xlfn.XLOOKUP(E370,'⚙️ Configuración Costos'!$E$5:$E$6,'⚙️ Configuración Costos'!$F$5:$F$6),""))</f>
        <v>0</v>
      </c>
      <c r="R370" s="26">
        <f t="shared" si="203"/>
        <v>0</v>
      </c>
      <c r="S370" s="39">
        <f t="shared" si="204"/>
        <v>75</v>
      </c>
      <c r="T370" s="94" t="str">
        <f t="shared" si="205"/>
        <v>OK</v>
      </c>
      <c r="U370" s="95" t="str">
        <f t="shared" si="206"/>
        <v/>
      </c>
      <c r="V370" s="96">
        <f t="shared" si="207"/>
        <v>0</v>
      </c>
    </row>
    <row r="371" spans="1:22" ht="16" thickTop="1" x14ac:dyDescent="0.2">
      <c r="A371" s="27" t="s">
        <v>99</v>
      </c>
      <c r="B371" s="27"/>
      <c r="C371" s="27"/>
      <c r="D371" s="28"/>
      <c r="E371" s="28"/>
      <c r="F371" s="29"/>
      <c r="G371" s="29"/>
      <c r="H371" s="29"/>
      <c r="I371" s="29"/>
      <c r="J371" s="29"/>
      <c r="K371" s="30"/>
      <c r="L371" s="49" t="s">
        <v>188</v>
      </c>
      <c r="M371" s="31">
        <f>SUM(M354:M370)</f>
        <v>3.4510120000000004</v>
      </c>
      <c r="N371" s="32">
        <f>SUM(N354:N370)</f>
        <v>29.768000000000001</v>
      </c>
      <c r="O371" s="33"/>
      <c r="P371" s="33">
        <f>SUM(P354:P370)</f>
        <v>1421.9469444196725</v>
      </c>
      <c r="Q371" s="33"/>
      <c r="R371" s="33">
        <f>SUM(R354:R370)</f>
        <v>196.08</v>
      </c>
      <c r="S371" s="33">
        <f>SUM(S354:S370)</f>
        <v>1618.0269444196722</v>
      </c>
      <c r="T371" s="97"/>
      <c r="U371" s="98"/>
      <c r="V371" s="99"/>
    </row>
    <row r="372" spans="1:22" x14ac:dyDescent="0.2">
      <c r="A372" s="283" t="s">
        <v>649</v>
      </c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5"/>
      <c r="T372" s="97"/>
      <c r="U372" s="98"/>
      <c r="V372" s="99"/>
    </row>
    <row r="373" spans="1:22" x14ac:dyDescent="0.2">
      <c r="A373" s="35">
        <v>1</v>
      </c>
      <c r="B373" s="44">
        <v>360</v>
      </c>
      <c r="C373" s="44">
        <v>580</v>
      </c>
      <c r="D373" s="43" t="s">
        <v>63</v>
      </c>
      <c r="E373" s="43" t="s">
        <v>85</v>
      </c>
      <c r="F373" s="53">
        <v>1</v>
      </c>
      <c r="G373" s="44">
        <v>1</v>
      </c>
      <c r="H373" s="44">
        <v>1</v>
      </c>
      <c r="I373" s="44">
        <v>1</v>
      </c>
      <c r="J373" s="44">
        <v>1</v>
      </c>
      <c r="K373" s="23" t="s">
        <v>650</v>
      </c>
      <c r="L373" t="s">
        <v>651</v>
      </c>
      <c r="M373" s="10">
        <f t="shared" ref="M373:M378" si="208">IF(AND(ISNUMBER(B373),ISNUMBER(C373),B373&gt;0,C373&gt;0),A373*(B373*C373/1000000),0)</f>
        <v>0.20880000000000001</v>
      </c>
      <c r="N373" s="11">
        <f t="shared" ref="N373:N378" si="209">IF(AND(ISNUMBER(B373),B373&gt;0),A373*(((G373+H373)*B373+(I373+J373)*C373)/1000),0)</f>
        <v>1.88</v>
      </c>
      <c r="O373" s="12">
        <f>IF(E373="HERRAJE",IFERROR(_xlfn.XLOOKUP(D373,'⚙️ Configuración Costos'!$A$11:$A$20,'⚙️ Configuración Costos'!$B$11:$B$20),""),IFERROR(_xlfn.XLOOKUP(E373,'⚙️ Configuración Costos'!$A$5:$A$6,'⚙️ Configuración Costos'!$B$5:$B$6),""))</f>
        <v>332.85245901639348</v>
      </c>
      <c r="P373" s="12">
        <f t="shared" ref="P373:P378" si="210">IF(E373="HERRAJE",A373*O373,M373*O373)</f>
        <v>69.499593442622967</v>
      </c>
      <c r="Q373">
        <f>IF(E373="HERRAJE",0,IFERROR(_xlfn.XLOOKUP(E373,'⚙️ Configuración Costos'!$E$5:$E$6,'⚙️ Configuración Costos'!$F$5:$F$6),""))</f>
        <v>9.5</v>
      </c>
      <c r="R373">
        <f t="shared" ref="R373:R378" si="211">N373*Q373</f>
        <v>17.86</v>
      </c>
      <c r="S373" s="38">
        <f t="shared" ref="S373:S378" si="212">P373+R373</f>
        <v>87.359593442622966</v>
      </c>
      <c r="T373" s="94" t="str">
        <f t="shared" ref="T373:T378" si="213">IF(K373="","SIN ID MÓDULO",IF(E373="HERRAJE",IF(OR(O373="",O373&lt;=0),"SIN PRECIO HERRAJE","OK"),IF(OR(O373="",O373&lt;=0),"SIN PRECIO MATERIAL",IF(AND(N373&gt;0,OR(Q373="",Q373&lt;=0)),"SIN PRECIO CINTILLA","OK"))))</f>
        <v>OK</v>
      </c>
      <c r="U373" s="95" t="str">
        <f t="shared" ref="U373:U378" si="214">IF(T373="OK","",IF(T373="SIN PRECIO HERRAJE","Capturar precio: "&amp;D373,IF(T373="SIN PRECIO MATERIAL","Configurar material: "&amp;E373,IF(T373="SIN PRECIO CINTILLA","Configurar cintilla: "&amp;E373,IF(T373="SIN ID MÓDULO","Revisar ID del módulo","")))))</f>
        <v/>
      </c>
      <c r="V373" s="96">
        <f t="shared" ref="V373:V378" si="215">IF(T373="OK",0,IF(T373="",0,1))</f>
        <v>0</v>
      </c>
    </row>
    <row r="374" spans="1:22" x14ac:dyDescent="0.2">
      <c r="A374" s="35">
        <v>1</v>
      </c>
      <c r="B374" s="44">
        <v>360</v>
      </c>
      <c r="C374" s="44">
        <v>580</v>
      </c>
      <c r="D374" s="43" t="s">
        <v>66</v>
      </c>
      <c r="E374" s="43" t="s">
        <v>85</v>
      </c>
      <c r="F374" s="53">
        <v>1</v>
      </c>
      <c r="G374" s="44">
        <v>1</v>
      </c>
      <c r="H374" s="44">
        <v>1</v>
      </c>
      <c r="I374" s="44">
        <v>1</v>
      </c>
      <c r="J374" s="44">
        <v>1</v>
      </c>
      <c r="K374" s="23" t="s">
        <v>650</v>
      </c>
      <c r="L374" t="s">
        <v>652</v>
      </c>
      <c r="M374" s="10">
        <f t="shared" si="208"/>
        <v>0.20880000000000001</v>
      </c>
      <c r="N374" s="11">
        <f t="shared" si="209"/>
        <v>1.88</v>
      </c>
      <c r="O374" s="12">
        <f>IF(E374="HERRAJE",IFERROR(_xlfn.XLOOKUP(D374,'⚙️ Configuración Costos'!$A$11:$A$20,'⚙️ Configuración Costos'!$B$11:$B$20),""),IFERROR(_xlfn.XLOOKUP(E374,'⚙️ Configuración Costos'!$A$5:$A$6,'⚙️ Configuración Costos'!$B$5:$B$6),""))</f>
        <v>332.85245901639348</v>
      </c>
      <c r="P374" s="12">
        <f t="shared" si="210"/>
        <v>69.499593442622967</v>
      </c>
      <c r="Q374">
        <f>IF(E374="HERRAJE",0,IFERROR(_xlfn.XLOOKUP(E374,'⚙️ Configuración Costos'!$E$5:$E$6,'⚙️ Configuración Costos'!$F$5:$F$6),""))</f>
        <v>9.5</v>
      </c>
      <c r="R374">
        <f t="shared" si="211"/>
        <v>17.86</v>
      </c>
      <c r="S374" s="38">
        <f t="shared" si="212"/>
        <v>87.359593442622966</v>
      </c>
      <c r="T374" s="94" t="str">
        <f t="shared" si="213"/>
        <v>OK</v>
      </c>
      <c r="U374" s="95" t="str">
        <f t="shared" si="214"/>
        <v/>
      </c>
      <c r="V374" s="96">
        <f t="shared" si="215"/>
        <v>0</v>
      </c>
    </row>
    <row r="375" spans="1:22" x14ac:dyDescent="0.2">
      <c r="A375" s="35">
        <v>1</v>
      </c>
      <c r="B375" s="44">
        <v>329</v>
      </c>
      <c r="C375" s="44">
        <v>569</v>
      </c>
      <c r="D375" s="43" t="s">
        <v>473</v>
      </c>
      <c r="E375" s="43" t="s">
        <v>85</v>
      </c>
      <c r="F375" s="53">
        <v>1</v>
      </c>
      <c r="G375" s="44">
        <v>0</v>
      </c>
      <c r="H375" s="44">
        <v>0</v>
      </c>
      <c r="I375" s="44">
        <v>0</v>
      </c>
      <c r="J375" s="44">
        <v>0</v>
      </c>
      <c r="K375" s="23" t="s">
        <v>650</v>
      </c>
      <c r="L375" t="s">
        <v>653</v>
      </c>
      <c r="M375" s="10">
        <f t="shared" si="208"/>
        <v>0.18720100000000001</v>
      </c>
      <c r="N375" s="11">
        <f t="shared" si="209"/>
        <v>0</v>
      </c>
      <c r="O375" s="12">
        <f>IF(E375="HERRAJE",IFERROR(_xlfn.XLOOKUP(D375,'⚙️ Configuración Costos'!$A$11:$A$20,'⚙️ Configuración Costos'!$B$11:$B$20),""),IFERROR(_xlfn.XLOOKUP(E375,'⚙️ Configuración Costos'!$A$5:$A$6,'⚙️ Configuración Costos'!$B$5:$B$6),""))</f>
        <v>332.85245901639348</v>
      </c>
      <c r="P375" s="12">
        <f t="shared" si="210"/>
        <v>62.310313180327881</v>
      </c>
      <c r="Q375">
        <f>IF(E375="HERRAJE",0,IFERROR(_xlfn.XLOOKUP(E375,'⚙️ Configuración Costos'!$E$5:$E$6,'⚙️ Configuración Costos'!$F$5:$F$6),""))</f>
        <v>9.5</v>
      </c>
      <c r="R375">
        <f t="shared" si="211"/>
        <v>0</v>
      </c>
      <c r="S375" s="38">
        <f t="shared" si="212"/>
        <v>62.310313180327881</v>
      </c>
      <c r="T375" s="94" t="str">
        <f t="shared" si="213"/>
        <v>OK</v>
      </c>
      <c r="U375" s="95" t="str">
        <f t="shared" si="214"/>
        <v/>
      </c>
      <c r="V375" s="96">
        <f t="shared" si="215"/>
        <v>0</v>
      </c>
    </row>
    <row r="376" spans="1:22" x14ac:dyDescent="0.2">
      <c r="A376" s="35">
        <v>1</v>
      </c>
      <c r="B376" s="44">
        <v>569</v>
      </c>
      <c r="C376" s="44">
        <v>580</v>
      </c>
      <c r="D376" s="43" t="s">
        <v>474</v>
      </c>
      <c r="E376" s="43" t="s">
        <v>85</v>
      </c>
      <c r="F376" s="53">
        <v>1</v>
      </c>
      <c r="G376" s="44">
        <v>0</v>
      </c>
      <c r="H376" s="44">
        <v>0</v>
      </c>
      <c r="I376" s="44">
        <v>1</v>
      </c>
      <c r="J376" s="44">
        <v>1</v>
      </c>
      <c r="K376" s="23" t="s">
        <v>650</v>
      </c>
      <c r="L376" t="s">
        <v>654</v>
      </c>
      <c r="M376" s="10">
        <f t="shared" si="208"/>
        <v>0.33001999999999998</v>
      </c>
      <c r="N376" s="11">
        <f t="shared" si="209"/>
        <v>1.1599999999999999</v>
      </c>
      <c r="O376" s="12">
        <f>IF(E376="HERRAJE",IFERROR(_xlfn.XLOOKUP(D376,'⚙️ Configuración Costos'!$A$11:$A$20,'⚙️ Configuración Costos'!$B$11:$B$20),""),IFERROR(_xlfn.XLOOKUP(E376,'⚙️ Configuración Costos'!$A$5:$A$6,'⚙️ Configuración Costos'!$B$5:$B$6),""))</f>
        <v>332.85245901639348</v>
      </c>
      <c r="P376" s="12">
        <f t="shared" si="210"/>
        <v>109.84796852459017</v>
      </c>
      <c r="Q376">
        <f>IF(E376="HERRAJE",0,IFERROR(_xlfn.XLOOKUP(E376,'⚙️ Configuración Costos'!$E$5:$E$6,'⚙️ Configuración Costos'!$F$5:$F$6),""))</f>
        <v>9.5</v>
      </c>
      <c r="R376">
        <f t="shared" si="211"/>
        <v>11.02</v>
      </c>
      <c r="S376" s="38">
        <f t="shared" si="212"/>
        <v>120.86796852459017</v>
      </c>
      <c r="T376" s="94" t="str">
        <f t="shared" si="213"/>
        <v>OK</v>
      </c>
      <c r="U376" s="95" t="str">
        <f t="shared" si="214"/>
        <v/>
      </c>
      <c r="V376" s="96">
        <f t="shared" si="215"/>
        <v>0</v>
      </c>
    </row>
    <row r="377" spans="1:22" x14ac:dyDescent="0.2">
      <c r="A377" s="35">
        <v>1</v>
      </c>
      <c r="B377" s="44">
        <v>569</v>
      </c>
      <c r="C377" s="44">
        <v>580</v>
      </c>
      <c r="D377" s="43" t="s">
        <v>475</v>
      </c>
      <c r="E377" s="43" t="s">
        <v>85</v>
      </c>
      <c r="F377" s="53">
        <v>1</v>
      </c>
      <c r="G377" s="44">
        <v>0</v>
      </c>
      <c r="H377" s="44">
        <v>0</v>
      </c>
      <c r="I377" s="44">
        <v>1</v>
      </c>
      <c r="J377" s="44">
        <v>1</v>
      </c>
      <c r="K377" s="23" t="s">
        <v>650</v>
      </c>
      <c r="L377" t="s">
        <v>655</v>
      </c>
      <c r="M377" s="10">
        <f t="shared" si="208"/>
        <v>0.33001999999999998</v>
      </c>
      <c r="N377" s="11">
        <f t="shared" si="209"/>
        <v>1.1599999999999999</v>
      </c>
      <c r="O377" s="12">
        <f>IF(E377="HERRAJE",IFERROR(_xlfn.XLOOKUP(D377,'⚙️ Configuración Costos'!$A$11:$A$20,'⚙️ Configuración Costos'!$B$11:$B$20),""),IFERROR(_xlfn.XLOOKUP(E377,'⚙️ Configuración Costos'!$A$5:$A$6,'⚙️ Configuración Costos'!$B$5:$B$6),""))</f>
        <v>332.85245901639348</v>
      </c>
      <c r="P377" s="12">
        <f t="shared" si="210"/>
        <v>109.84796852459017</v>
      </c>
      <c r="Q377">
        <f>IF(E377="HERRAJE",0,IFERROR(_xlfn.XLOOKUP(E377,'⚙️ Configuración Costos'!$E$5:$E$6,'⚙️ Configuración Costos'!$F$5:$F$6),""))</f>
        <v>9.5</v>
      </c>
      <c r="R377">
        <f t="shared" si="211"/>
        <v>11.02</v>
      </c>
      <c r="S377" s="38">
        <f t="shared" si="212"/>
        <v>120.86796852459017</v>
      </c>
      <c r="T377" s="94" t="str">
        <f t="shared" si="213"/>
        <v>OK</v>
      </c>
      <c r="U377" s="95" t="str">
        <f t="shared" si="214"/>
        <v/>
      </c>
      <c r="V377" s="96">
        <f t="shared" si="215"/>
        <v>0</v>
      </c>
    </row>
    <row r="378" spans="1:22" ht="16" thickBot="1" x14ac:dyDescent="0.25">
      <c r="A378" s="35">
        <v>24</v>
      </c>
      <c r="B378" s="44">
        <v>0</v>
      </c>
      <c r="C378" s="44">
        <v>0</v>
      </c>
      <c r="D378" s="43" t="s">
        <v>97</v>
      </c>
      <c r="E378" s="43" t="s">
        <v>91</v>
      </c>
      <c r="F378" s="53">
        <v>0</v>
      </c>
      <c r="G378" s="44">
        <v>0</v>
      </c>
      <c r="H378" s="44">
        <v>0</v>
      </c>
      <c r="I378" s="44">
        <v>0</v>
      </c>
      <c r="J378" s="44">
        <v>0</v>
      </c>
      <c r="K378" s="23" t="s">
        <v>650</v>
      </c>
      <c r="L378" t="s">
        <v>98</v>
      </c>
      <c r="M378" s="10">
        <f t="shared" si="208"/>
        <v>0</v>
      </c>
      <c r="N378" s="11">
        <f t="shared" si="209"/>
        <v>0</v>
      </c>
      <c r="O378" s="12">
        <f>IF(E378="HERRAJE",IFERROR(_xlfn.XLOOKUP(D378,'⚙️ Configuración Costos'!$A$11:$A$20,'⚙️ Configuración Costos'!$B$11:$B$20),""),IFERROR(_xlfn.XLOOKUP(E378,'⚙️ Configuración Costos'!$A$5:$A$6,'⚙️ Configuración Costos'!$B$5:$B$6),""))</f>
        <v>1.5</v>
      </c>
      <c r="P378" s="12">
        <f t="shared" si="210"/>
        <v>36</v>
      </c>
      <c r="Q378">
        <f>IF(E378="HERRAJE",0,IFERROR(_xlfn.XLOOKUP(E378,'⚙️ Configuración Costos'!$E$5:$E$6,'⚙️ Configuración Costos'!$F$5:$F$6),""))</f>
        <v>0</v>
      </c>
      <c r="R378">
        <f t="shared" si="211"/>
        <v>0</v>
      </c>
      <c r="S378" s="38">
        <f t="shared" si="212"/>
        <v>36</v>
      </c>
      <c r="T378" s="94" t="str">
        <f t="shared" si="213"/>
        <v>OK</v>
      </c>
      <c r="U378" s="95" t="str">
        <f t="shared" si="214"/>
        <v/>
      </c>
      <c r="V378" s="96">
        <f t="shared" si="215"/>
        <v>0</v>
      </c>
    </row>
    <row r="379" spans="1:22" ht="16" thickTop="1" x14ac:dyDescent="0.2">
      <c r="A379" s="27" t="s">
        <v>99</v>
      </c>
      <c r="B379" s="27"/>
      <c r="C379" s="27"/>
      <c r="D379" s="28"/>
      <c r="E379" s="28"/>
      <c r="F379" s="29"/>
      <c r="G379" s="29"/>
      <c r="H379" s="29"/>
      <c r="I379" s="29"/>
      <c r="J379" s="29"/>
      <c r="K379" s="30"/>
      <c r="L379" s="49" t="s">
        <v>656</v>
      </c>
      <c r="M379" s="31">
        <f>SUM(M373:M378)</f>
        <v>1.2648410000000001</v>
      </c>
      <c r="N379" s="32">
        <f>SUM(N373:N378)</f>
        <v>6.08</v>
      </c>
      <c r="O379" s="33"/>
      <c r="P379" s="33">
        <f>SUM(P373:P378)</f>
        <v>457.00543711475416</v>
      </c>
      <c r="Q379" s="33"/>
      <c r="R379" s="33">
        <f>SUM(R373:R378)</f>
        <v>57.759999999999991</v>
      </c>
      <c r="S379" s="33">
        <f>SUM(S373:S378)</f>
        <v>514.76543711475415</v>
      </c>
      <c r="T379" s="97"/>
      <c r="U379" s="98"/>
      <c r="V379" s="99"/>
    </row>
    <row r="380" spans="1:22" x14ac:dyDescent="0.2">
      <c r="A380" s="283" t="s">
        <v>648</v>
      </c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5"/>
      <c r="T380" s="97"/>
      <c r="U380" s="98"/>
      <c r="V380" s="99"/>
    </row>
    <row r="381" spans="1:22" x14ac:dyDescent="0.2">
      <c r="A381" s="34">
        <v>1</v>
      </c>
      <c r="B381" s="13">
        <v>360</v>
      </c>
      <c r="C381" s="13">
        <v>580</v>
      </c>
      <c r="D381" s="14" t="s">
        <v>63</v>
      </c>
      <c r="E381" s="14" t="s">
        <v>64</v>
      </c>
      <c r="F381" s="15">
        <v>0</v>
      </c>
      <c r="G381" s="15">
        <v>1</v>
      </c>
      <c r="H381" s="15">
        <v>1</v>
      </c>
      <c r="I381" s="15">
        <v>1</v>
      </c>
      <c r="J381" s="15">
        <v>1</v>
      </c>
      <c r="K381" s="23" t="s">
        <v>657</v>
      </c>
      <c r="L381" s="46" t="s">
        <v>658</v>
      </c>
      <c r="M381" s="17">
        <f t="shared" ref="M381:M393" si="216">IF(AND(ISNUMBER(B381),ISNUMBER(C381),B381&gt;0,C381&gt;0),A381*(B381*C381/1000000),0)</f>
        <v>0.20880000000000001</v>
      </c>
      <c r="N381" s="18">
        <f t="shared" ref="N381:N393" si="217">IF(AND(ISNUMBER(B381),B381&gt;0),A381*(((G381+H381)*B381+(I381+J381)*C381)/1000),0)</f>
        <v>1.88</v>
      </c>
      <c r="O381" s="19">
        <f>IF(E381="HERRAJE",IFERROR(_xlfn.XLOOKUP(D381,'⚙️ Configuración Costos'!$A$11:$A$20,'⚙️ Configuración Costos'!$B$11:$B$20),""),IFERROR(_xlfn.XLOOKUP(E381,'⚙️ Configuración Costos'!$A$5:$A$6,'⚙️ Configuración Costos'!$B$5:$B$6),""))</f>
        <v>239.8426229508197</v>
      </c>
      <c r="P381" s="19">
        <f t="shared" ref="P381:P393" si="218">IF(E381="HERRAJE",A381*O381,M381*O381)</f>
        <v>50.079139672131156</v>
      </c>
      <c r="Q381" s="19">
        <f>IF(E381="HERRAJE",0,IFERROR(_xlfn.XLOOKUP(E381,'⚙️ Configuración Costos'!$E$5:$E$6,'⚙️ Configuración Costos'!$F$5:$F$6),""))</f>
        <v>6</v>
      </c>
      <c r="R381" s="19">
        <f t="shared" ref="R381:R393" si="219">N381*Q381</f>
        <v>11.28</v>
      </c>
      <c r="S381" s="37">
        <f t="shared" ref="S381:S393" si="220">P381+R381</f>
        <v>61.359139672131157</v>
      </c>
      <c r="T381" s="94" t="str">
        <f t="shared" ref="T381:T393" si="221">IF(K381="","SIN ID MÓDULO",IF(E381="HERRAJE",IF(OR(O381="",O381&lt;=0),"SIN PRECIO HERRAJE","OK"),IF(OR(O381="",O381&lt;=0),"SIN PRECIO MATERIAL",IF(AND(N381&gt;0,OR(Q381="",Q381&lt;=0)),"SIN PRECIO CINTILLA","OK"))))</f>
        <v>OK</v>
      </c>
      <c r="U381" s="95" t="str">
        <f t="shared" ref="U381:U393" si="222">IF(T381="OK","",IF(T381="SIN PRECIO HERRAJE","Capturar precio: "&amp;D381,IF(T381="SIN PRECIO MATERIAL","Configurar material: "&amp;E381,IF(T381="SIN PRECIO CINTILLA","Configurar cintilla: "&amp;E381,IF(T381="SIN ID MÓDULO","Revisar ID del módulo","")))))</f>
        <v/>
      </c>
      <c r="V381" s="96">
        <f t="shared" ref="V381:V393" si="223">IF(T381="OK",0,IF(T381="",0,1))</f>
        <v>0</v>
      </c>
    </row>
    <row r="382" spans="1:22" x14ac:dyDescent="0.2">
      <c r="A382" s="34">
        <v>1</v>
      </c>
      <c r="B382" s="13">
        <v>360</v>
      </c>
      <c r="C382" s="13">
        <v>580</v>
      </c>
      <c r="D382" s="14" t="s">
        <v>66</v>
      </c>
      <c r="E382" s="14" t="s">
        <v>64</v>
      </c>
      <c r="F382" s="15">
        <v>0</v>
      </c>
      <c r="G382" s="15">
        <v>1</v>
      </c>
      <c r="H382" s="15">
        <v>1</v>
      </c>
      <c r="I382" s="15">
        <v>1</v>
      </c>
      <c r="J382" s="15">
        <v>1</v>
      </c>
      <c r="K382" s="23" t="s">
        <v>657</v>
      </c>
      <c r="L382" s="46" t="s">
        <v>659</v>
      </c>
      <c r="M382" s="17">
        <f t="shared" si="216"/>
        <v>0.20880000000000001</v>
      </c>
      <c r="N382" s="18">
        <f t="shared" si="217"/>
        <v>1.88</v>
      </c>
      <c r="O382" s="19">
        <f>IF(E382="HERRAJE",IFERROR(_xlfn.XLOOKUP(D382,'⚙️ Configuración Costos'!$A$11:$A$20,'⚙️ Configuración Costos'!$B$11:$B$20),""),IFERROR(_xlfn.XLOOKUP(E382,'⚙️ Configuración Costos'!$A$5:$A$6,'⚙️ Configuración Costos'!$B$5:$B$6),""))</f>
        <v>239.8426229508197</v>
      </c>
      <c r="P382" s="19">
        <f t="shared" si="218"/>
        <v>50.079139672131156</v>
      </c>
      <c r="Q382" s="19">
        <f>IF(E382="HERRAJE",0,IFERROR(_xlfn.XLOOKUP(E382,'⚙️ Configuración Costos'!$E$5:$E$6,'⚙️ Configuración Costos'!$F$5:$F$6),""))</f>
        <v>6</v>
      </c>
      <c r="R382" s="19">
        <f t="shared" si="219"/>
        <v>11.28</v>
      </c>
      <c r="S382" s="37">
        <f t="shared" si="220"/>
        <v>61.359139672131157</v>
      </c>
      <c r="T382" s="94" t="str">
        <f t="shared" si="221"/>
        <v>OK</v>
      </c>
      <c r="U382" s="95" t="str">
        <f t="shared" si="222"/>
        <v/>
      </c>
      <c r="V382" s="96">
        <f t="shared" si="223"/>
        <v>0</v>
      </c>
    </row>
    <row r="383" spans="1:22" x14ac:dyDescent="0.2">
      <c r="A383" s="34">
        <v>2</v>
      </c>
      <c r="B383" s="13">
        <v>569</v>
      </c>
      <c r="C383" s="13">
        <v>120</v>
      </c>
      <c r="D383" s="14" t="s">
        <v>194</v>
      </c>
      <c r="E383" s="14" t="s">
        <v>64</v>
      </c>
      <c r="F383" s="15">
        <v>0</v>
      </c>
      <c r="G383" s="15">
        <v>1</v>
      </c>
      <c r="H383" s="15">
        <v>1</v>
      </c>
      <c r="I383" s="15">
        <v>0</v>
      </c>
      <c r="J383" s="15">
        <v>0</v>
      </c>
      <c r="K383" s="23" t="s">
        <v>657</v>
      </c>
      <c r="L383" s="46" t="s">
        <v>660</v>
      </c>
      <c r="M383" s="17">
        <f t="shared" si="216"/>
        <v>0.13655999999999999</v>
      </c>
      <c r="N383" s="18">
        <f t="shared" si="217"/>
        <v>2.2759999999999998</v>
      </c>
      <c r="O383" s="19">
        <f>IF(E383="HERRAJE",IFERROR(_xlfn.XLOOKUP(D383,'⚙️ Configuración Costos'!$A$11:$A$20,'⚙️ Configuración Costos'!$B$11:$B$20),""),IFERROR(_xlfn.XLOOKUP(E383,'⚙️ Configuración Costos'!$A$5:$A$6,'⚙️ Configuración Costos'!$B$5:$B$6),""))</f>
        <v>239.8426229508197</v>
      </c>
      <c r="P383" s="19">
        <f t="shared" si="218"/>
        <v>32.752908590163933</v>
      </c>
      <c r="Q383" s="19">
        <f>IF(E383="HERRAJE",0,IFERROR(_xlfn.XLOOKUP(E383,'⚙️ Configuración Costos'!$E$5:$E$6,'⚙️ Configuración Costos'!$F$5:$F$6),""))</f>
        <v>6</v>
      </c>
      <c r="R383" s="19">
        <f t="shared" si="219"/>
        <v>13.655999999999999</v>
      </c>
      <c r="S383" s="37">
        <f t="shared" si="220"/>
        <v>46.408908590163932</v>
      </c>
      <c r="T383" s="94" t="str">
        <f t="shared" si="221"/>
        <v>OK</v>
      </c>
      <c r="U383" s="95" t="str">
        <f t="shared" si="222"/>
        <v/>
      </c>
      <c r="V383" s="96">
        <f t="shared" si="223"/>
        <v>0</v>
      </c>
    </row>
    <row r="384" spans="1:22" x14ac:dyDescent="0.2">
      <c r="A384" s="34">
        <v>1</v>
      </c>
      <c r="B384" s="13">
        <v>569</v>
      </c>
      <c r="C384" s="13">
        <v>580</v>
      </c>
      <c r="D384" s="14" t="s">
        <v>171</v>
      </c>
      <c r="E384" s="14" t="s">
        <v>64</v>
      </c>
      <c r="F384" s="15">
        <v>0</v>
      </c>
      <c r="G384" s="15">
        <v>0</v>
      </c>
      <c r="H384" s="15">
        <v>0</v>
      </c>
      <c r="I384" s="15">
        <v>1</v>
      </c>
      <c r="J384" s="15">
        <v>1</v>
      </c>
      <c r="K384" s="23" t="s">
        <v>657</v>
      </c>
      <c r="L384" s="46" t="s">
        <v>661</v>
      </c>
      <c r="M384" s="17">
        <f t="shared" si="216"/>
        <v>0.33001999999999998</v>
      </c>
      <c r="N384" s="18">
        <f t="shared" si="217"/>
        <v>1.1599999999999999</v>
      </c>
      <c r="O384" s="19">
        <f>IF(E384="HERRAJE",IFERROR(_xlfn.XLOOKUP(D384,'⚙️ Configuración Costos'!$A$11:$A$20,'⚙️ Configuración Costos'!$B$11:$B$20),""),IFERROR(_xlfn.XLOOKUP(E384,'⚙️ Configuración Costos'!$A$5:$A$6,'⚙️ Configuración Costos'!$B$5:$B$6),""))</f>
        <v>239.8426229508197</v>
      </c>
      <c r="P384" s="19">
        <f t="shared" si="218"/>
        <v>79.152862426229518</v>
      </c>
      <c r="Q384" s="19">
        <f>IF(E384="HERRAJE",0,IFERROR(_xlfn.XLOOKUP(E384,'⚙️ Configuración Costos'!$E$5:$E$6,'⚙️ Configuración Costos'!$F$5:$F$6),""))</f>
        <v>6</v>
      </c>
      <c r="R384" s="19">
        <f t="shared" si="219"/>
        <v>6.9599999999999991</v>
      </c>
      <c r="S384" s="37">
        <f t="shared" si="220"/>
        <v>86.112862426229512</v>
      </c>
      <c r="T384" s="94" t="str">
        <f t="shared" si="221"/>
        <v>OK</v>
      </c>
      <c r="U384" s="95" t="str">
        <f t="shared" si="222"/>
        <v/>
      </c>
      <c r="V384" s="96">
        <f t="shared" si="223"/>
        <v>0</v>
      </c>
    </row>
    <row r="385" spans="1:22" x14ac:dyDescent="0.2">
      <c r="A385" s="34">
        <v>2</v>
      </c>
      <c r="B385" s="13">
        <v>569</v>
      </c>
      <c r="C385" s="13">
        <v>120</v>
      </c>
      <c r="D385" s="14" t="s">
        <v>240</v>
      </c>
      <c r="E385" s="14" t="s">
        <v>64</v>
      </c>
      <c r="F385" s="15">
        <v>0</v>
      </c>
      <c r="G385" s="15">
        <v>1</v>
      </c>
      <c r="H385" s="15">
        <v>1</v>
      </c>
      <c r="I385" s="15">
        <v>0</v>
      </c>
      <c r="J385" s="15">
        <v>0</v>
      </c>
      <c r="K385" s="23" t="s">
        <v>657</v>
      </c>
      <c r="L385" s="46" t="s">
        <v>268</v>
      </c>
      <c r="M385" s="17">
        <f t="shared" si="216"/>
        <v>0.13655999999999999</v>
      </c>
      <c r="N385" s="18">
        <f t="shared" si="217"/>
        <v>2.2759999999999998</v>
      </c>
      <c r="O385" s="19">
        <f>IF(E385="HERRAJE",IFERROR(_xlfn.XLOOKUP(D385,'⚙️ Configuración Costos'!$A$11:$A$20,'⚙️ Configuración Costos'!$B$11:$B$20),""),IFERROR(_xlfn.XLOOKUP(E385,'⚙️ Configuración Costos'!$A$5:$A$6,'⚙️ Configuración Costos'!$B$5:$B$6),""))</f>
        <v>239.8426229508197</v>
      </c>
      <c r="P385" s="19">
        <f t="shared" si="218"/>
        <v>32.752908590163933</v>
      </c>
      <c r="Q385" s="19">
        <f>IF(E385="HERRAJE",0,IFERROR(_xlfn.XLOOKUP(E385,'⚙️ Configuración Costos'!$E$5:$E$6,'⚙️ Configuración Costos'!$F$5:$F$6),""))</f>
        <v>6</v>
      </c>
      <c r="R385" s="19">
        <f t="shared" si="219"/>
        <v>13.655999999999999</v>
      </c>
      <c r="S385" s="37">
        <f t="shared" si="220"/>
        <v>46.408908590163932</v>
      </c>
      <c r="T385" s="94" t="str">
        <f t="shared" si="221"/>
        <v>OK</v>
      </c>
      <c r="U385" s="95" t="str">
        <f t="shared" si="222"/>
        <v/>
      </c>
      <c r="V385" s="96">
        <f t="shared" si="223"/>
        <v>0</v>
      </c>
    </row>
    <row r="386" spans="1:22" x14ac:dyDescent="0.2">
      <c r="A386" s="34">
        <v>1</v>
      </c>
      <c r="B386" s="13">
        <v>512</v>
      </c>
      <c r="C386" s="13">
        <v>469</v>
      </c>
      <c r="D386" s="14" t="s">
        <v>245</v>
      </c>
      <c r="E386" s="14" t="s">
        <v>64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23" t="s">
        <v>657</v>
      </c>
      <c r="L386" s="46" t="s">
        <v>269</v>
      </c>
      <c r="M386" s="17">
        <f t="shared" si="216"/>
        <v>0.24012800000000001</v>
      </c>
      <c r="N386" s="18">
        <f t="shared" si="217"/>
        <v>0</v>
      </c>
      <c r="O386" s="19">
        <f>IF(E386="HERRAJE",IFERROR(_xlfn.XLOOKUP(D386,'⚙️ Configuración Costos'!$A$11:$A$20,'⚙️ Configuración Costos'!$B$11:$B$20),""),IFERROR(_xlfn.XLOOKUP(E386,'⚙️ Configuración Costos'!$A$5:$A$6,'⚙️ Configuración Costos'!$B$5:$B$6),""))</f>
        <v>239.8426229508197</v>
      </c>
      <c r="P386" s="19">
        <f t="shared" si="218"/>
        <v>57.592929363934438</v>
      </c>
      <c r="Q386" s="19">
        <f>IF(E386="HERRAJE",0,IFERROR(_xlfn.XLOOKUP(E386,'⚙️ Configuración Costos'!$E$5:$E$6,'⚙️ Configuración Costos'!$F$5:$F$6),""))</f>
        <v>6</v>
      </c>
      <c r="R386" s="19">
        <f t="shared" si="219"/>
        <v>0</v>
      </c>
      <c r="S386" s="37">
        <f t="shared" si="220"/>
        <v>57.592929363934438</v>
      </c>
      <c r="T386" s="94" t="str">
        <f t="shared" si="221"/>
        <v>OK</v>
      </c>
      <c r="U386" s="95" t="str">
        <f t="shared" si="222"/>
        <v/>
      </c>
      <c r="V386" s="96">
        <f t="shared" si="223"/>
        <v>0</v>
      </c>
    </row>
    <row r="387" spans="1:22" x14ac:dyDescent="0.2">
      <c r="A387" s="34">
        <v>2</v>
      </c>
      <c r="B387" s="13">
        <v>512</v>
      </c>
      <c r="C387" s="13">
        <v>230</v>
      </c>
      <c r="D387" s="14" t="s">
        <v>247</v>
      </c>
      <c r="E387" s="14" t="s">
        <v>64</v>
      </c>
      <c r="F387" s="15">
        <v>0</v>
      </c>
      <c r="G387" s="15">
        <v>1</v>
      </c>
      <c r="H387" s="15">
        <v>1</v>
      </c>
      <c r="I387" s="15">
        <v>0</v>
      </c>
      <c r="J387" s="15">
        <v>0</v>
      </c>
      <c r="K387" s="23" t="s">
        <v>657</v>
      </c>
      <c r="L387" s="46" t="s">
        <v>270</v>
      </c>
      <c r="M387" s="17">
        <f t="shared" si="216"/>
        <v>0.23552000000000001</v>
      </c>
      <c r="N387" s="18">
        <f t="shared" si="217"/>
        <v>2.048</v>
      </c>
      <c r="O387" s="19">
        <f>IF(E387="HERRAJE",IFERROR(_xlfn.XLOOKUP(D387,'⚙️ Configuración Costos'!$A$11:$A$20,'⚙️ Configuración Costos'!$B$11:$B$20),""),IFERROR(_xlfn.XLOOKUP(E387,'⚙️ Configuración Costos'!$A$5:$A$6,'⚙️ Configuración Costos'!$B$5:$B$6),""))</f>
        <v>239.8426229508197</v>
      </c>
      <c r="P387" s="19">
        <f t="shared" si="218"/>
        <v>56.48773455737706</v>
      </c>
      <c r="Q387" s="19">
        <f>IF(E387="HERRAJE",0,IFERROR(_xlfn.XLOOKUP(E387,'⚙️ Configuración Costos'!$E$5:$E$6,'⚙️ Configuración Costos'!$F$5:$F$6),""))</f>
        <v>6</v>
      </c>
      <c r="R387" s="19">
        <f t="shared" si="219"/>
        <v>12.288</v>
      </c>
      <c r="S387" s="37">
        <f t="shared" si="220"/>
        <v>68.775734557377064</v>
      </c>
      <c r="T387" s="94" t="str">
        <f t="shared" si="221"/>
        <v>OK</v>
      </c>
      <c r="U387" s="95" t="str">
        <f t="shared" si="222"/>
        <v/>
      </c>
      <c r="V387" s="96">
        <f t="shared" si="223"/>
        <v>0</v>
      </c>
    </row>
    <row r="388" spans="1:22" x14ac:dyDescent="0.2">
      <c r="A388" s="34">
        <v>2</v>
      </c>
      <c r="B388" s="13">
        <v>500</v>
      </c>
      <c r="C388" s="13">
        <v>230</v>
      </c>
      <c r="D388" s="14" t="s">
        <v>242</v>
      </c>
      <c r="E388" s="14" t="s">
        <v>64</v>
      </c>
      <c r="F388" s="15">
        <v>0</v>
      </c>
      <c r="G388" s="15">
        <v>1</v>
      </c>
      <c r="H388" s="15">
        <v>1</v>
      </c>
      <c r="I388" s="15">
        <v>1</v>
      </c>
      <c r="J388" s="15">
        <v>1</v>
      </c>
      <c r="K388" s="23" t="s">
        <v>657</v>
      </c>
      <c r="L388" s="46" t="s">
        <v>243</v>
      </c>
      <c r="M388" s="17">
        <f t="shared" si="216"/>
        <v>0.23</v>
      </c>
      <c r="N388" s="18">
        <f t="shared" si="217"/>
        <v>2.92</v>
      </c>
      <c r="O388" s="19">
        <f>IF(E388="HERRAJE",IFERROR(_xlfn.XLOOKUP(D388,'⚙️ Configuración Costos'!$A$11:$A$20,'⚙️ Configuración Costos'!$B$11:$B$20),""),IFERROR(_xlfn.XLOOKUP(E388,'⚙️ Configuración Costos'!$A$5:$A$6,'⚙️ Configuración Costos'!$B$5:$B$6),""))</f>
        <v>239.8426229508197</v>
      </c>
      <c r="P388" s="19">
        <f t="shared" si="218"/>
        <v>55.163803278688533</v>
      </c>
      <c r="Q388" s="19">
        <f>IF(E388="HERRAJE",0,IFERROR(_xlfn.XLOOKUP(E388,'⚙️ Configuración Costos'!$E$5:$E$6,'⚙️ Configuración Costos'!$F$5:$F$6),""))</f>
        <v>6</v>
      </c>
      <c r="R388" s="19">
        <f t="shared" si="219"/>
        <v>17.52</v>
      </c>
      <c r="S388" s="37">
        <f t="shared" si="220"/>
        <v>72.683803278688529</v>
      </c>
      <c r="T388" s="94" t="str">
        <f t="shared" si="221"/>
        <v>OK</v>
      </c>
      <c r="U388" s="95" t="str">
        <f t="shared" si="222"/>
        <v/>
      </c>
      <c r="V388" s="96">
        <f t="shared" si="223"/>
        <v>0</v>
      </c>
    </row>
    <row r="389" spans="1:22" x14ac:dyDescent="0.2">
      <c r="A389" s="34">
        <v>1</v>
      </c>
      <c r="B389" s="13">
        <v>596</v>
      </c>
      <c r="C389" s="13">
        <v>356</v>
      </c>
      <c r="D389" s="14" t="s">
        <v>662</v>
      </c>
      <c r="E389" s="14" t="s">
        <v>85</v>
      </c>
      <c r="F389" s="15">
        <v>1</v>
      </c>
      <c r="G389" s="15">
        <v>1</v>
      </c>
      <c r="H389" s="15">
        <v>1</v>
      </c>
      <c r="I389" s="15">
        <v>1</v>
      </c>
      <c r="J389" s="15">
        <v>1</v>
      </c>
      <c r="K389" s="23" t="s">
        <v>657</v>
      </c>
      <c r="L389" s="46" t="s">
        <v>663</v>
      </c>
      <c r="M389" s="17">
        <f t="shared" si="216"/>
        <v>0.212176</v>
      </c>
      <c r="N389" s="18">
        <f t="shared" si="217"/>
        <v>1.9039999999999999</v>
      </c>
      <c r="O389" s="19">
        <f>IF(E389="HERRAJE",IFERROR(_xlfn.XLOOKUP(D389,'⚙️ Configuración Costos'!$A$11:$A$20,'⚙️ Configuración Costos'!$B$11:$B$20),""),IFERROR(_xlfn.XLOOKUP(E389,'⚙️ Configuración Costos'!$A$5:$A$6,'⚙️ Configuración Costos'!$B$5:$B$6),""))</f>
        <v>332.85245901639348</v>
      </c>
      <c r="P389" s="19">
        <f t="shared" si="218"/>
        <v>70.623303344262311</v>
      </c>
      <c r="Q389" s="19">
        <f>IF(E389="HERRAJE",0,IFERROR(_xlfn.XLOOKUP(E389,'⚙️ Configuración Costos'!$E$5:$E$6,'⚙️ Configuración Costos'!$F$5:$F$6),""))</f>
        <v>9.5</v>
      </c>
      <c r="R389" s="19">
        <f t="shared" si="219"/>
        <v>18.088000000000001</v>
      </c>
      <c r="S389" s="37">
        <f t="shared" si="220"/>
        <v>88.711303344262319</v>
      </c>
      <c r="T389" s="94" t="str">
        <f t="shared" si="221"/>
        <v>OK</v>
      </c>
      <c r="U389" s="95" t="str">
        <f t="shared" si="222"/>
        <v/>
      </c>
      <c r="V389" s="96">
        <f t="shared" si="223"/>
        <v>0</v>
      </c>
    </row>
    <row r="390" spans="1:22" x14ac:dyDescent="0.2">
      <c r="A390" s="34">
        <v>1</v>
      </c>
      <c r="B390" s="13">
        <v>0</v>
      </c>
      <c r="C390" s="13">
        <v>0</v>
      </c>
      <c r="D390" s="14" t="s">
        <v>256</v>
      </c>
      <c r="E390" s="14" t="s">
        <v>91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23" t="s">
        <v>657</v>
      </c>
      <c r="L390" s="46" t="s">
        <v>257</v>
      </c>
      <c r="M390" s="17">
        <f t="shared" si="216"/>
        <v>0</v>
      </c>
      <c r="N390" s="18">
        <f t="shared" si="217"/>
        <v>0</v>
      </c>
      <c r="O390" s="19">
        <f>IF(E390="HERRAJE",IFERROR(_xlfn.XLOOKUP(D390,'⚙️ Configuración Costos'!$A$11:$A$20,'⚙️ Configuración Costos'!$B$11:$B$20),""),IFERROR(_xlfn.XLOOKUP(E390,'⚙️ Configuración Costos'!$A$5:$A$6,'⚙️ Configuración Costos'!$B$5:$B$6),""))</f>
        <v>125</v>
      </c>
      <c r="P390" s="19">
        <f t="shared" si="218"/>
        <v>125</v>
      </c>
      <c r="Q390" s="19">
        <f>IF(E390="HERRAJE",0,IFERROR(_xlfn.XLOOKUP(E390,'⚙️ Configuración Costos'!$E$5:$E$6,'⚙️ Configuración Costos'!$F$5:$F$6),""))</f>
        <v>0</v>
      </c>
      <c r="R390" s="19">
        <f t="shared" si="219"/>
        <v>0</v>
      </c>
      <c r="S390" s="37">
        <f t="shared" si="220"/>
        <v>125</v>
      </c>
      <c r="T390" s="94" t="str">
        <f t="shared" si="221"/>
        <v>OK</v>
      </c>
      <c r="U390" s="95" t="str">
        <f t="shared" si="222"/>
        <v/>
      </c>
      <c r="V390" s="96">
        <f t="shared" si="223"/>
        <v>0</v>
      </c>
    </row>
    <row r="391" spans="1:22" x14ac:dyDescent="0.2">
      <c r="A391" s="34">
        <v>1</v>
      </c>
      <c r="B391" s="13">
        <v>0</v>
      </c>
      <c r="C391" s="13">
        <v>0</v>
      </c>
      <c r="D391" s="14" t="s">
        <v>93</v>
      </c>
      <c r="E391" s="14" t="s">
        <v>91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23" t="s">
        <v>657</v>
      </c>
      <c r="L391" s="46" t="s">
        <v>94</v>
      </c>
      <c r="M391" s="17">
        <f t="shared" si="216"/>
        <v>0</v>
      </c>
      <c r="N391" s="18">
        <f t="shared" si="217"/>
        <v>0</v>
      </c>
      <c r="O391" s="19">
        <f>IF(E391="HERRAJE",IFERROR(_xlfn.XLOOKUP(D391,'⚙️ Configuración Costos'!$A$11:$A$20,'⚙️ Configuración Costos'!$B$11:$B$20),""),IFERROR(_xlfn.XLOOKUP(E391,'⚙️ Configuración Costos'!$A$5:$A$6,'⚙️ Configuración Costos'!$B$5:$B$6),""))</f>
        <v>15</v>
      </c>
      <c r="P391" s="19">
        <f t="shared" si="218"/>
        <v>15</v>
      </c>
      <c r="Q391" s="19">
        <f>IF(E391="HERRAJE",0,IFERROR(_xlfn.XLOOKUP(E391,'⚙️ Configuración Costos'!$E$5:$E$6,'⚙️ Configuración Costos'!$F$5:$F$6),""))</f>
        <v>0</v>
      </c>
      <c r="R391" s="19">
        <f t="shared" si="219"/>
        <v>0</v>
      </c>
      <c r="S391" s="37">
        <f t="shared" si="220"/>
        <v>15</v>
      </c>
      <c r="T391" s="94" t="str">
        <f t="shared" si="221"/>
        <v>OK</v>
      </c>
      <c r="U391" s="95" t="str">
        <f t="shared" si="222"/>
        <v/>
      </c>
      <c r="V391" s="96">
        <f t="shared" si="223"/>
        <v>0</v>
      </c>
    </row>
    <row r="392" spans="1:22" x14ac:dyDescent="0.2">
      <c r="A392" s="34">
        <v>4</v>
      </c>
      <c r="B392" s="13">
        <v>0</v>
      </c>
      <c r="C392" s="13">
        <v>0</v>
      </c>
      <c r="D392" s="14" t="s">
        <v>186</v>
      </c>
      <c r="E392" s="14" t="s">
        <v>91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23" t="s">
        <v>657</v>
      </c>
      <c r="L392" s="46" t="s">
        <v>187</v>
      </c>
      <c r="M392" s="17">
        <f t="shared" si="216"/>
        <v>0</v>
      </c>
      <c r="N392" s="18">
        <f t="shared" si="217"/>
        <v>0</v>
      </c>
      <c r="O392" s="19">
        <f>IF(E392="HERRAJE",IFERROR(_xlfn.XLOOKUP(D392,'⚙️ Configuración Costos'!$A$11:$A$20,'⚙️ Configuración Costos'!$B$11:$B$20),""),IFERROR(_xlfn.XLOOKUP(E392,'⚙️ Configuración Costos'!$A$5:$A$6,'⚙️ Configuración Costos'!$B$5:$B$6),""))</f>
        <v>15</v>
      </c>
      <c r="P392" s="19">
        <f t="shared" si="218"/>
        <v>60</v>
      </c>
      <c r="Q392" s="19">
        <f>IF(E392="HERRAJE",0,IFERROR(_xlfn.XLOOKUP(E392,'⚙️ Configuración Costos'!$E$5:$E$6,'⚙️ Configuración Costos'!$F$5:$F$6),""))</f>
        <v>0</v>
      </c>
      <c r="R392" s="19">
        <f t="shared" si="219"/>
        <v>0</v>
      </c>
      <c r="S392" s="37">
        <f t="shared" si="220"/>
        <v>60</v>
      </c>
      <c r="T392" s="94" t="str">
        <f t="shared" si="221"/>
        <v>OK</v>
      </c>
      <c r="U392" s="95" t="str">
        <f t="shared" si="222"/>
        <v/>
      </c>
      <c r="V392" s="96">
        <f t="shared" si="223"/>
        <v>0</v>
      </c>
    </row>
    <row r="393" spans="1:22" ht="16" thickBot="1" x14ac:dyDescent="0.25">
      <c r="A393" s="34">
        <v>30</v>
      </c>
      <c r="B393" s="13">
        <v>0</v>
      </c>
      <c r="C393" s="13">
        <v>0</v>
      </c>
      <c r="D393" s="14" t="s">
        <v>97</v>
      </c>
      <c r="E393" s="14" t="s">
        <v>91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23" t="s">
        <v>657</v>
      </c>
      <c r="L393" s="46" t="s">
        <v>98</v>
      </c>
      <c r="M393" s="17">
        <f t="shared" si="216"/>
        <v>0</v>
      </c>
      <c r="N393" s="18">
        <f t="shared" si="217"/>
        <v>0</v>
      </c>
      <c r="O393" s="19">
        <f>IF(E393="HERRAJE",IFERROR(_xlfn.XLOOKUP(D393,'⚙️ Configuración Costos'!$A$11:$A$20,'⚙️ Configuración Costos'!$B$11:$B$20),""),IFERROR(_xlfn.XLOOKUP(E393,'⚙️ Configuración Costos'!$A$5:$A$6,'⚙️ Configuración Costos'!$B$5:$B$6),""))</f>
        <v>1.5</v>
      </c>
      <c r="P393" s="19">
        <f t="shared" si="218"/>
        <v>45</v>
      </c>
      <c r="Q393" s="19">
        <f>IF(E393="HERRAJE",0,IFERROR(_xlfn.XLOOKUP(E393,'⚙️ Configuración Costos'!$E$5:$E$6,'⚙️ Configuración Costos'!$F$5:$F$6),""))</f>
        <v>0</v>
      </c>
      <c r="R393" s="19">
        <f t="shared" si="219"/>
        <v>0</v>
      </c>
      <c r="S393" s="37">
        <f t="shared" si="220"/>
        <v>45</v>
      </c>
      <c r="T393" s="94" t="str">
        <f t="shared" si="221"/>
        <v>OK</v>
      </c>
      <c r="U393" s="95" t="str">
        <f t="shared" si="222"/>
        <v/>
      </c>
      <c r="V393" s="96">
        <f t="shared" si="223"/>
        <v>0</v>
      </c>
    </row>
    <row r="394" spans="1:22" ht="16" thickTop="1" x14ac:dyDescent="0.2">
      <c r="A394" s="27" t="s">
        <v>99</v>
      </c>
      <c r="B394" s="27"/>
      <c r="C394" s="27"/>
      <c r="D394" s="28"/>
      <c r="E394" s="28"/>
      <c r="F394" s="29"/>
      <c r="G394" s="29"/>
      <c r="H394" s="29"/>
      <c r="I394" s="29"/>
      <c r="J394" s="29"/>
      <c r="K394" s="30"/>
      <c r="L394" s="49" t="s">
        <v>656</v>
      </c>
      <c r="M394" s="31">
        <f>SUM(M381:M393)</f>
        <v>1.9385639999999997</v>
      </c>
      <c r="N394" s="32">
        <f>SUM(N381:N393)</f>
        <v>16.344000000000001</v>
      </c>
      <c r="O394" s="33"/>
      <c r="P394" s="33">
        <f>SUM(P381:P393)</f>
        <v>729.68472949508202</v>
      </c>
      <c r="Q394" s="33"/>
      <c r="R394" s="33">
        <f>SUM(R381:R393)</f>
        <v>104.72799999999998</v>
      </c>
      <c r="S394" s="33">
        <f>SUM(S381:S393)</f>
        <v>834.41272949508198</v>
      </c>
      <c r="T394" s="97"/>
      <c r="U394" s="98"/>
      <c r="V394" s="99"/>
    </row>
    <row r="395" spans="1:22" x14ac:dyDescent="0.2">
      <c r="A395" s="189" t="s">
        <v>275</v>
      </c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1"/>
      <c r="T395" s="97"/>
      <c r="U395" s="98"/>
      <c r="V395" s="99"/>
    </row>
    <row r="396" spans="1:22" x14ac:dyDescent="0.2">
      <c r="A396" s="35">
        <v>1</v>
      </c>
      <c r="B396" s="44">
        <v>720</v>
      </c>
      <c r="C396" s="44">
        <v>580</v>
      </c>
      <c r="D396" s="43" t="s">
        <v>276</v>
      </c>
      <c r="E396" s="43" t="s">
        <v>85</v>
      </c>
      <c r="F396" s="44">
        <v>1</v>
      </c>
      <c r="G396" s="44">
        <v>1</v>
      </c>
      <c r="H396" s="44">
        <v>1</v>
      </c>
      <c r="I396" s="44">
        <v>1</v>
      </c>
      <c r="J396" s="44">
        <v>1</v>
      </c>
      <c r="K396" s="23" t="s">
        <v>27</v>
      </c>
      <c r="L396" t="s">
        <v>277</v>
      </c>
      <c r="M396" s="10">
        <f t="shared" ref="M396:M404" si="224">IF(AND(ISNUMBER(B396),ISNUMBER(C396),B396&gt;0,C396&gt;0),A396*(B396*C396/1000000),0)</f>
        <v>0.41760000000000003</v>
      </c>
      <c r="N396" s="11">
        <f t="shared" ref="N396:N404" si="225">IF(AND(ISNUMBER(B396),B396&gt;0),A396*(((G396+H396)*B396+(I396+J396)*C396)/1000),0)</f>
        <v>2.6</v>
      </c>
      <c r="O396" s="12">
        <f>IF(E396="HERRAJE",IFERROR(_xlfn.XLOOKUP(D396,'⚙️ Configuración Costos'!$A$11:$A$20,'⚙️ Configuración Costos'!$B$11:$B$20),""),IFERROR(_xlfn.XLOOKUP(E396,'⚙️ Configuración Costos'!$A$5:$A$6,'⚙️ Configuración Costos'!$B$5:$B$6),""))</f>
        <v>332.85245901639348</v>
      </c>
      <c r="P396" s="12">
        <f t="shared" ref="P396:P404" si="226">IF(E396="HERRAJE",A396*O396,M396*O396)</f>
        <v>138.99918688524593</v>
      </c>
      <c r="Q396" s="12">
        <f>IF(E396="HERRAJE",0,IFERROR(_xlfn.XLOOKUP(E396,'⚙️ Configuración Costos'!$E$5:$E$6,'⚙️ Configuración Costos'!$F$5:$F$6),""))</f>
        <v>9.5</v>
      </c>
      <c r="R396" s="12">
        <f t="shared" ref="R396:R404" si="227">N396*Q396</f>
        <v>24.7</v>
      </c>
      <c r="S396" s="38">
        <f t="shared" ref="S396:S404" si="228">P396+R396</f>
        <v>163.69918688524592</v>
      </c>
      <c r="T396" s="94" t="str">
        <f t="shared" ref="T396:T404" si="229">IF(K396="","SIN ID MÓDULO",IF(E396="HERRAJE",IF(OR(O396="",O396&lt;=0),"SIN PRECIO HERRAJE","OK"),IF(OR(O396="",O396&lt;=0),"SIN PRECIO MATERIAL",IF(AND(N396&gt;0,OR(Q396="",Q396&lt;=0)),"SIN PRECIO CINTILLA","OK"))))</f>
        <v>OK</v>
      </c>
      <c r="U396" s="95" t="str">
        <f t="shared" ref="U396:U404" si="230">IF(T396="OK","",IF(T396="SIN PRECIO HERRAJE","Capturar precio: "&amp;D396,IF(T396="SIN PRECIO MATERIAL","Configurar material: "&amp;E396,IF(T396="SIN PRECIO CINTILLA","Configurar cintilla: "&amp;E396,IF(T396="SIN ID MÓDULO","Revisar ID del módulo","")))))</f>
        <v/>
      </c>
      <c r="V396" s="96">
        <f t="shared" ref="V396:V404" si="231">IF(T396="OK",0,IF(T396="",0,1))</f>
        <v>0</v>
      </c>
    </row>
    <row r="397" spans="1:22" x14ac:dyDescent="0.2">
      <c r="A397" s="35">
        <v>1</v>
      </c>
      <c r="B397" s="44">
        <v>720</v>
      </c>
      <c r="C397" s="44">
        <v>580</v>
      </c>
      <c r="D397" s="43" t="s">
        <v>66</v>
      </c>
      <c r="E397" s="43" t="s">
        <v>85</v>
      </c>
      <c r="F397" s="44">
        <v>1</v>
      </c>
      <c r="G397" s="44">
        <v>1</v>
      </c>
      <c r="H397" s="44">
        <v>1</v>
      </c>
      <c r="I397" s="44">
        <v>1</v>
      </c>
      <c r="J397" s="44">
        <v>1</v>
      </c>
      <c r="K397" s="23" t="s">
        <v>27</v>
      </c>
      <c r="L397" t="s">
        <v>278</v>
      </c>
      <c r="M397" s="10">
        <f t="shared" si="224"/>
        <v>0.41760000000000003</v>
      </c>
      <c r="N397" s="11">
        <f t="shared" si="225"/>
        <v>2.6</v>
      </c>
      <c r="O397" s="12">
        <f>IF(E397="HERRAJE",IFERROR(_xlfn.XLOOKUP(D397,'⚙️ Configuración Costos'!$A$11:$A$20,'⚙️ Configuración Costos'!$B$11:$B$20),""),IFERROR(_xlfn.XLOOKUP(E397,'⚙️ Configuración Costos'!$A$5:$A$6,'⚙️ Configuración Costos'!$B$5:$B$6),""))</f>
        <v>332.85245901639348</v>
      </c>
      <c r="P397" s="12">
        <f t="shared" si="226"/>
        <v>138.99918688524593</v>
      </c>
      <c r="Q397" s="12">
        <f>IF(E397="HERRAJE",0,IFERROR(_xlfn.XLOOKUP(E397,'⚙️ Configuración Costos'!$E$5:$E$6,'⚙️ Configuración Costos'!$F$5:$F$6),""))</f>
        <v>9.5</v>
      </c>
      <c r="R397" s="12">
        <f t="shared" si="227"/>
        <v>24.7</v>
      </c>
      <c r="S397" s="38">
        <f t="shared" si="228"/>
        <v>163.69918688524592</v>
      </c>
      <c r="T397" s="94" t="str">
        <f t="shared" si="229"/>
        <v>OK</v>
      </c>
      <c r="U397" s="95" t="str">
        <f t="shared" si="230"/>
        <v/>
      </c>
      <c r="V397" s="96">
        <f t="shared" si="231"/>
        <v>0</v>
      </c>
    </row>
    <row r="398" spans="1:22" x14ac:dyDescent="0.2">
      <c r="A398" s="35">
        <v>1</v>
      </c>
      <c r="B398" s="44">
        <v>689</v>
      </c>
      <c r="C398" s="44">
        <v>169</v>
      </c>
      <c r="D398" s="43" t="s">
        <v>169</v>
      </c>
      <c r="E398" s="43" t="s">
        <v>85</v>
      </c>
      <c r="F398" s="44">
        <v>1</v>
      </c>
      <c r="G398" s="44">
        <v>0</v>
      </c>
      <c r="H398" s="44">
        <v>0</v>
      </c>
      <c r="I398" s="44">
        <v>0</v>
      </c>
      <c r="J398" s="44">
        <v>0</v>
      </c>
      <c r="K398" s="23" t="s">
        <v>27</v>
      </c>
      <c r="L398" t="s">
        <v>279</v>
      </c>
      <c r="M398" s="10">
        <f t="shared" si="224"/>
        <v>0.116441</v>
      </c>
      <c r="N398" s="11">
        <f t="shared" si="225"/>
        <v>0</v>
      </c>
      <c r="O398" s="12">
        <f>IF(E398="HERRAJE",IFERROR(_xlfn.XLOOKUP(D398,'⚙️ Configuración Costos'!$A$11:$A$20,'⚙️ Configuración Costos'!$B$11:$B$20),""),IFERROR(_xlfn.XLOOKUP(E398,'⚙️ Configuración Costos'!$A$5:$A$6,'⚙️ Configuración Costos'!$B$5:$B$6),""))</f>
        <v>332.85245901639348</v>
      </c>
      <c r="P398" s="12">
        <f t="shared" si="226"/>
        <v>38.757673180327878</v>
      </c>
      <c r="Q398" s="12">
        <f>IF(E398="HERRAJE",0,IFERROR(_xlfn.XLOOKUP(E398,'⚙️ Configuración Costos'!$E$5:$E$6,'⚙️ Configuración Costos'!$F$5:$F$6),""))</f>
        <v>9.5</v>
      </c>
      <c r="R398" s="12">
        <f t="shared" si="227"/>
        <v>0</v>
      </c>
      <c r="S398" s="38">
        <f t="shared" si="228"/>
        <v>38.757673180327878</v>
      </c>
      <c r="T398" s="94" t="str">
        <f t="shared" si="229"/>
        <v>OK</v>
      </c>
      <c r="U398" s="95" t="str">
        <f t="shared" si="230"/>
        <v/>
      </c>
      <c r="V398" s="96">
        <f t="shared" si="231"/>
        <v>0</v>
      </c>
    </row>
    <row r="399" spans="1:22" x14ac:dyDescent="0.2">
      <c r="A399" s="35">
        <v>1</v>
      </c>
      <c r="B399" s="44">
        <v>169</v>
      </c>
      <c r="C399" s="44">
        <v>580</v>
      </c>
      <c r="D399" s="43" t="s">
        <v>171</v>
      </c>
      <c r="E399" s="43" t="s">
        <v>85</v>
      </c>
      <c r="F399" s="44">
        <v>1</v>
      </c>
      <c r="G399" s="44">
        <v>0</v>
      </c>
      <c r="H399" s="44">
        <v>0</v>
      </c>
      <c r="I399" s="44">
        <v>1</v>
      </c>
      <c r="J399" s="44">
        <v>1</v>
      </c>
      <c r="K399" s="23" t="s">
        <v>27</v>
      </c>
      <c r="L399" t="s">
        <v>280</v>
      </c>
      <c r="M399" s="10">
        <f t="shared" si="224"/>
        <v>9.8019999999999996E-2</v>
      </c>
      <c r="N399" s="11">
        <f t="shared" si="225"/>
        <v>1.1599999999999999</v>
      </c>
      <c r="O399" s="12">
        <f>IF(E399="HERRAJE",IFERROR(_xlfn.XLOOKUP(D399,'⚙️ Configuración Costos'!$A$11:$A$20,'⚙️ Configuración Costos'!$B$11:$B$20),""),IFERROR(_xlfn.XLOOKUP(E399,'⚙️ Configuración Costos'!$A$5:$A$6,'⚙️ Configuración Costos'!$B$5:$B$6),""))</f>
        <v>332.85245901639348</v>
      </c>
      <c r="P399" s="12">
        <f t="shared" si="226"/>
        <v>32.626198032786888</v>
      </c>
      <c r="Q399" s="12">
        <f>IF(E399="HERRAJE",0,IFERROR(_xlfn.XLOOKUP(E399,'⚙️ Configuración Costos'!$E$5:$E$6,'⚙️ Configuración Costos'!$F$5:$F$6),""))</f>
        <v>9.5</v>
      </c>
      <c r="R399" s="12">
        <f t="shared" si="227"/>
        <v>11.02</v>
      </c>
      <c r="S399" s="38">
        <f t="shared" si="228"/>
        <v>43.646198032786884</v>
      </c>
      <c r="T399" s="94" t="str">
        <f t="shared" si="229"/>
        <v>OK</v>
      </c>
      <c r="U399" s="95" t="str">
        <f t="shared" si="230"/>
        <v/>
      </c>
      <c r="V399" s="96">
        <f t="shared" si="231"/>
        <v>0</v>
      </c>
    </row>
    <row r="400" spans="1:22" x14ac:dyDescent="0.2">
      <c r="A400" s="35">
        <v>1</v>
      </c>
      <c r="B400" s="44">
        <v>169</v>
      </c>
      <c r="C400" s="44">
        <v>120</v>
      </c>
      <c r="D400" s="43" t="s">
        <v>173</v>
      </c>
      <c r="E400" s="43" t="s">
        <v>85</v>
      </c>
      <c r="F400" s="44">
        <v>1</v>
      </c>
      <c r="G400" s="44">
        <v>1</v>
      </c>
      <c r="H400" s="44">
        <v>1</v>
      </c>
      <c r="I400" s="44">
        <v>0</v>
      </c>
      <c r="J400" s="44">
        <v>0</v>
      </c>
      <c r="K400" s="23" t="s">
        <v>27</v>
      </c>
      <c r="L400" t="s">
        <v>281</v>
      </c>
      <c r="M400" s="10">
        <f t="shared" si="224"/>
        <v>2.0279999999999999E-2</v>
      </c>
      <c r="N400" s="11">
        <f t="shared" si="225"/>
        <v>0.33800000000000002</v>
      </c>
      <c r="O400" s="12">
        <f>IF(E400="HERRAJE",IFERROR(_xlfn.XLOOKUP(D400,'⚙️ Configuración Costos'!$A$11:$A$20,'⚙️ Configuración Costos'!$B$11:$B$20),""),IFERROR(_xlfn.XLOOKUP(E400,'⚙️ Configuración Costos'!$A$5:$A$6,'⚙️ Configuración Costos'!$B$5:$B$6),""))</f>
        <v>332.85245901639348</v>
      </c>
      <c r="P400" s="12">
        <f t="shared" si="226"/>
        <v>6.7502478688524592</v>
      </c>
      <c r="Q400" s="12">
        <f>IF(E400="HERRAJE",0,IFERROR(_xlfn.XLOOKUP(E400,'⚙️ Configuración Costos'!$E$5:$E$6,'⚙️ Configuración Costos'!$F$5:$F$6),""))</f>
        <v>9.5</v>
      </c>
      <c r="R400" s="12">
        <f t="shared" si="227"/>
        <v>3.2110000000000003</v>
      </c>
      <c r="S400" s="38">
        <f t="shared" si="228"/>
        <v>9.9612478688524604</v>
      </c>
      <c r="T400" s="94" t="str">
        <f t="shared" si="229"/>
        <v>OK</v>
      </c>
      <c r="U400" s="95" t="str">
        <f t="shared" si="230"/>
        <v/>
      </c>
      <c r="V400" s="96">
        <f t="shared" si="231"/>
        <v>0</v>
      </c>
    </row>
    <row r="401" spans="1:22" x14ac:dyDescent="0.2">
      <c r="A401" s="35">
        <v>1</v>
      </c>
      <c r="B401" s="44">
        <v>169</v>
      </c>
      <c r="C401" s="44">
        <v>120</v>
      </c>
      <c r="D401" s="43" t="s">
        <v>175</v>
      </c>
      <c r="E401" s="43" t="s">
        <v>85</v>
      </c>
      <c r="F401" s="44">
        <v>1</v>
      </c>
      <c r="G401" s="44">
        <v>1</v>
      </c>
      <c r="H401" s="44">
        <v>1</v>
      </c>
      <c r="I401" s="44">
        <v>0</v>
      </c>
      <c r="J401" s="44">
        <v>0</v>
      </c>
      <c r="K401" s="23" t="s">
        <v>27</v>
      </c>
      <c r="L401" t="s">
        <v>282</v>
      </c>
      <c r="M401" s="10">
        <f t="shared" si="224"/>
        <v>2.0279999999999999E-2</v>
      </c>
      <c r="N401" s="11">
        <f t="shared" si="225"/>
        <v>0.33800000000000002</v>
      </c>
      <c r="O401" s="12">
        <f>IF(E401="HERRAJE",IFERROR(_xlfn.XLOOKUP(D401,'⚙️ Configuración Costos'!$A$11:$A$20,'⚙️ Configuración Costos'!$B$11:$B$20),""),IFERROR(_xlfn.XLOOKUP(E401,'⚙️ Configuración Costos'!$A$5:$A$6,'⚙️ Configuración Costos'!$B$5:$B$6),""))</f>
        <v>332.85245901639348</v>
      </c>
      <c r="P401" s="12">
        <f t="shared" si="226"/>
        <v>6.7502478688524592</v>
      </c>
      <c r="Q401" s="12">
        <f>IF(E401="HERRAJE",0,IFERROR(_xlfn.XLOOKUP(E401,'⚙️ Configuración Costos'!$E$5:$E$6,'⚙️ Configuración Costos'!$F$5:$F$6),""))</f>
        <v>9.5</v>
      </c>
      <c r="R401" s="12">
        <f t="shared" si="227"/>
        <v>3.2110000000000003</v>
      </c>
      <c r="S401" s="38">
        <f t="shared" si="228"/>
        <v>9.9612478688524604</v>
      </c>
      <c r="T401" s="94" t="str">
        <f t="shared" si="229"/>
        <v>OK</v>
      </c>
      <c r="U401" s="95" t="str">
        <f t="shared" si="230"/>
        <v/>
      </c>
      <c r="V401" s="96">
        <f t="shared" si="231"/>
        <v>0</v>
      </c>
    </row>
    <row r="402" spans="1:22" x14ac:dyDescent="0.2">
      <c r="A402" s="35">
        <v>1</v>
      </c>
      <c r="B402" s="44">
        <v>169</v>
      </c>
      <c r="C402" s="44">
        <v>520</v>
      </c>
      <c r="D402" s="43" t="s">
        <v>179</v>
      </c>
      <c r="E402" s="43" t="s">
        <v>85</v>
      </c>
      <c r="F402" s="44">
        <v>1</v>
      </c>
      <c r="G402" s="44">
        <v>0</v>
      </c>
      <c r="H402" s="44">
        <v>0</v>
      </c>
      <c r="I402" s="44">
        <v>0</v>
      </c>
      <c r="J402" s="44">
        <v>1</v>
      </c>
      <c r="K402" s="23" t="s">
        <v>27</v>
      </c>
      <c r="L402" t="s">
        <v>283</v>
      </c>
      <c r="M402" s="10">
        <f t="shared" si="224"/>
        <v>8.788E-2</v>
      </c>
      <c r="N402" s="11">
        <f t="shared" si="225"/>
        <v>0.52</v>
      </c>
      <c r="O402" s="12">
        <f>IF(E402="HERRAJE",IFERROR(_xlfn.XLOOKUP(D402,'⚙️ Configuración Costos'!$A$11:$A$20,'⚙️ Configuración Costos'!$B$11:$B$20),""),IFERROR(_xlfn.XLOOKUP(E402,'⚙️ Configuración Costos'!$A$5:$A$6,'⚙️ Configuración Costos'!$B$5:$B$6),""))</f>
        <v>332.85245901639348</v>
      </c>
      <c r="P402" s="12">
        <f t="shared" si="226"/>
        <v>29.251074098360657</v>
      </c>
      <c r="Q402" s="12">
        <f>IF(E402="HERRAJE",0,IFERROR(_xlfn.XLOOKUP(E402,'⚙️ Configuración Costos'!$E$5:$E$6,'⚙️ Configuración Costos'!$F$5:$F$6),""))</f>
        <v>9.5</v>
      </c>
      <c r="R402" s="12">
        <f t="shared" si="227"/>
        <v>4.9400000000000004</v>
      </c>
      <c r="S402" s="38">
        <f t="shared" si="228"/>
        <v>34.191074098360659</v>
      </c>
      <c r="T402" s="94" t="str">
        <f t="shared" si="229"/>
        <v>OK</v>
      </c>
      <c r="U402" s="95" t="str">
        <f t="shared" si="230"/>
        <v/>
      </c>
      <c r="V402" s="96">
        <f t="shared" si="231"/>
        <v>0</v>
      </c>
    </row>
    <row r="403" spans="1:22" x14ac:dyDescent="0.2">
      <c r="A403" s="35">
        <v>4</v>
      </c>
      <c r="B403" s="6">
        <v>0</v>
      </c>
      <c r="C403" s="6">
        <v>0</v>
      </c>
      <c r="D403" s="7" t="s">
        <v>186</v>
      </c>
      <c r="E403" s="7" t="s">
        <v>91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23" t="s">
        <v>27</v>
      </c>
      <c r="L403" s="47" t="s">
        <v>187</v>
      </c>
      <c r="M403" s="10">
        <f t="shared" si="224"/>
        <v>0</v>
      </c>
      <c r="N403" s="11">
        <f t="shared" si="225"/>
        <v>0</v>
      </c>
      <c r="O403" s="12">
        <f>IF(E403="HERRAJE",IFERROR(_xlfn.XLOOKUP(D403,'⚙️ Configuración Costos'!$A$11:$A$20,'⚙️ Configuración Costos'!$B$11:$B$20),""),IFERROR(_xlfn.XLOOKUP(E403,'⚙️ Configuración Costos'!$A$5:$A$6,'⚙️ Configuración Costos'!$B$5:$B$6),""))</f>
        <v>15</v>
      </c>
      <c r="P403" s="12">
        <f t="shared" si="226"/>
        <v>60</v>
      </c>
      <c r="Q403" s="12">
        <f>IF(E403="HERRAJE",0,IFERROR(_xlfn.XLOOKUP(E403,'⚙️ Configuración Costos'!$E$5:$E$6,'⚙️ Configuración Costos'!$F$5:$F$6),""))</f>
        <v>0</v>
      </c>
      <c r="R403" s="12">
        <f t="shared" si="227"/>
        <v>0</v>
      </c>
      <c r="S403" s="38">
        <f t="shared" si="228"/>
        <v>60</v>
      </c>
      <c r="T403" s="94" t="str">
        <f t="shared" si="229"/>
        <v>OK</v>
      </c>
      <c r="U403" s="95" t="str">
        <f t="shared" si="230"/>
        <v/>
      </c>
      <c r="V403" s="96">
        <f t="shared" si="231"/>
        <v>0</v>
      </c>
    </row>
    <row r="404" spans="1:22" ht="16" thickBot="1" x14ac:dyDescent="0.25">
      <c r="A404" s="36">
        <v>50</v>
      </c>
      <c r="B404" s="20">
        <v>0</v>
      </c>
      <c r="C404" s="20">
        <v>0</v>
      </c>
      <c r="D404" s="21" t="s">
        <v>97</v>
      </c>
      <c r="E404" s="21" t="s">
        <v>91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23" t="s">
        <v>27</v>
      </c>
      <c r="L404" s="48" t="s">
        <v>98</v>
      </c>
      <c r="M404" s="24">
        <f t="shared" si="224"/>
        <v>0</v>
      </c>
      <c r="N404" s="25">
        <f t="shared" si="225"/>
        <v>0</v>
      </c>
      <c r="O404" s="26">
        <f>IF(E404="HERRAJE",IFERROR(_xlfn.XLOOKUP(D404,'⚙️ Configuración Costos'!$A$11:$A$20,'⚙️ Configuración Costos'!$B$11:$B$20),""),IFERROR(_xlfn.XLOOKUP(E404,'⚙️ Configuración Costos'!$A$5:$A$6,'⚙️ Configuración Costos'!$B$5:$B$6),""))</f>
        <v>1.5</v>
      </c>
      <c r="P404" s="26">
        <f t="shared" si="226"/>
        <v>75</v>
      </c>
      <c r="Q404" s="26">
        <f>IF(E404="HERRAJE",0,IFERROR(_xlfn.XLOOKUP(E404,'⚙️ Configuración Costos'!$E$5:$E$6,'⚙️ Configuración Costos'!$F$5:$F$6),""))</f>
        <v>0</v>
      </c>
      <c r="R404" s="26">
        <f t="shared" si="227"/>
        <v>0</v>
      </c>
      <c r="S404" s="39">
        <f t="shared" si="228"/>
        <v>75</v>
      </c>
      <c r="T404" s="94" t="str">
        <f t="shared" si="229"/>
        <v>OK</v>
      </c>
      <c r="U404" s="95" t="str">
        <f t="shared" si="230"/>
        <v/>
      </c>
      <c r="V404" s="96">
        <f t="shared" si="231"/>
        <v>0</v>
      </c>
    </row>
    <row r="405" spans="1:22" ht="16" thickTop="1" x14ac:dyDescent="0.2">
      <c r="A405" s="27" t="s">
        <v>99</v>
      </c>
      <c r="B405" s="27"/>
      <c r="C405" s="27"/>
      <c r="D405" s="28"/>
      <c r="E405" s="28"/>
      <c r="F405" s="29"/>
      <c r="G405" s="29"/>
      <c r="H405" s="29"/>
      <c r="I405" s="29"/>
      <c r="J405" s="29"/>
      <c r="K405" s="30"/>
      <c r="L405" s="49" t="s">
        <v>188</v>
      </c>
      <c r="M405" s="33">
        <f>SUM(M396:M404)</f>
        <v>1.1781010000000001</v>
      </c>
      <c r="N405" s="33">
        <f>SUM(N396:N404)</f>
        <v>7.5560000000000009</v>
      </c>
      <c r="O405" s="33"/>
      <c r="P405" s="33">
        <f>SUM(P396:P404)</f>
        <v>527.13381481967212</v>
      </c>
      <c r="Q405" s="33"/>
      <c r="R405" s="33">
        <f>SUM(R396:R404)</f>
        <v>71.781999999999996</v>
      </c>
      <c r="S405" s="33">
        <f>SUM(S396:S404)</f>
        <v>598.91581481967216</v>
      </c>
      <c r="T405" s="97"/>
      <c r="U405" s="98"/>
      <c r="V405" s="99"/>
    </row>
    <row r="406" spans="1:22" x14ac:dyDescent="0.2">
      <c r="A406" s="186" t="s">
        <v>284</v>
      </c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8"/>
      <c r="T406" s="97"/>
      <c r="U406" s="98"/>
      <c r="V406" s="99"/>
    </row>
    <row r="407" spans="1:22" x14ac:dyDescent="0.2">
      <c r="A407" s="35">
        <v>1</v>
      </c>
      <c r="B407" s="44">
        <v>720</v>
      </c>
      <c r="C407" s="44">
        <v>580</v>
      </c>
      <c r="D407" s="43" t="s">
        <v>276</v>
      </c>
      <c r="E407" s="43" t="s">
        <v>85</v>
      </c>
      <c r="F407" s="44">
        <v>1</v>
      </c>
      <c r="G407" s="44">
        <v>1</v>
      </c>
      <c r="H407" s="44">
        <v>1</v>
      </c>
      <c r="I407" s="44">
        <v>1</v>
      </c>
      <c r="J407" s="44">
        <v>1</v>
      </c>
      <c r="K407" s="23" t="s">
        <v>28</v>
      </c>
      <c r="L407" t="s">
        <v>277</v>
      </c>
      <c r="M407" s="10">
        <f t="shared" ref="M407:M415" si="232">IF(AND(ISNUMBER(B407),ISNUMBER(C407),B407&gt;0,C407&gt;0),A407*(B407*C407/1000000),0)</f>
        <v>0.41760000000000003</v>
      </c>
      <c r="N407" s="11">
        <f t="shared" ref="N407:N415" si="233">IF(AND(ISNUMBER(B407),B407&gt;0),A407*(((G407+H407)*B407+(I407+J407)*C407)/1000),0)</f>
        <v>2.6</v>
      </c>
      <c r="O407" s="12">
        <f>IF(E407="HERRAJE",IFERROR(_xlfn.XLOOKUP(D407,'⚙️ Configuración Costos'!$A$11:$A$20,'⚙️ Configuración Costos'!$B$11:$B$20),""),IFERROR(_xlfn.XLOOKUP(E407,'⚙️ Configuración Costos'!$A$5:$A$6,'⚙️ Configuración Costos'!$B$5:$B$6),""))</f>
        <v>332.85245901639348</v>
      </c>
      <c r="P407" s="12">
        <f t="shared" ref="P407:P415" si="234">IF(E407="HERRAJE",A407*O407,M407*O407)</f>
        <v>138.99918688524593</v>
      </c>
      <c r="Q407" s="12">
        <f>IF(E407="HERRAJE",0,IFERROR(_xlfn.XLOOKUP(E407,'⚙️ Configuración Costos'!$E$5:$E$6,'⚙️ Configuración Costos'!$F$5:$F$6),""))</f>
        <v>9.5</v>
      </c>
      <c r="R407" s="12">
        <f t="shared" ref="R407:R415" si="235">N407*Q407</f>
        <v>24.7</v>
      </c>
      <c r="S407" s="38">
        <f t="shared" ref="S407:S415" si="236">P407+R407</f>
        <v>163.69918688524592</v>
      </c>
      <c r="T407" s="94" t="str">
        <f t="shared" ref="T407:T415" si="237">IF(K407="","SIN ID MÓDULO",IF(E407="HERRAJE",IF(OR(O407="",O407&lt;=0),"SIN PRECIO HERRAJE","OK"),IF(OR(O407="",O407&lt;=0),"SIN PRECIO MATERIAL",IF(AND(N407&gt;0,OR(Q407="",Q407&lt;=0)),"SIN PRECIO CINTILLA","OK"))))</f>
        <v>OK</v>
      </c>
      <c r="U407" s="95" t="str">
        <f t="shared" ref="U407:U415" si="238">IF(T407="OK","",IF(T407="SIN PRECIO HERRAJE","Capturar precio: "&amp;D407,IF(T407="SIN PRECIO MATERIAL","Configurar material: "&amp;E407,IF(T407="SIN PRECIO CINTILLA","Configurar cintilla: "&amp;E407,IF(T407="SIN ID MÓDULO","Revisar ID del módulo","")))))</f>
        <v/>
      </c>
      <c r="V407" s="96">
        <f t="shared" ref="V407:V415" si="239">IF(T407="OK",0,IF(T407="",0,1))</f>
        <v>0</v>
      </c>
    </row>
    <row r="408" spans="1:22" x14ac:dyDescent="0.2">
      <c r="A408" s="35">
        <v>1</v>
      </c>
      <c r="B408" s="44">
        <v>720</v>
      </c>
      <c r="C408" s="44">
        <v>580</v>
      </c>
      <c r="D408" s="43" t="s">
        <v>66</v>
      </c>
      <c r="E408" s="43" t="s">
        <v>85</v>
      </c>
      <c r="F408" s="44">
        <v>1</v>
      </c>
      <c r="G408" s="44">
        <v>1</v>
      </c>
      <c r="H408" s="44">
        <v>1</v>
      </c>
      <c r="I408" s="44">
        <v>1</v>
      </c>
      <c r="J408" s="44">
        <v>1</v>
      </c>
      <c r="K408" s="23" t="s">
        <v>28</v>
      </c>
      <c r="L408" t="s">
        <v>278</v>
      </c>
      <c r="M408" s="10">
        <f t="shared" si="232"/>
        <v>0.41760000000000003</v>
      </c>
      <c r="N408" s="11">
        <f t="shared" si="233"/>
        <v>2.6</v>
      </c>
      <c r="O408" s="12">
        <f>IF(E408="HERRAJE",IFERROR(_xlfn.XLOOKUP(D408,'⚙️ Configuración Costos'!$A$11:$A$20,'⚙️ Configuración Costos'!$B$11:$B$20),""),IFERROR(_xlfn.XLOOKUP(E408,'⚙️ Configuración Costos'!$A$5:$A$6,'⚙️ Configuración Costos'!$B$5:$B$6),""))</f>
        <v>332.85245901639348</v>
      </c>
      <c r="P408" s="12">
        <f t="shared" si="234"/>
        <v>138.99918688524593</v>
      </c>
      <c r="Q408" s="12">
        <f>IF(E408="HERRAJE",0,IFERROR(_xlfn.XLOOKUP(E408,'⚙️ Configuración Costos'!$E$5:$E$6,'⚙️ Configuración Costos'!$F$5:$F$6),""))</f>
        <v>9.5</v>
      </c>
      <c r="R408" s="12">
        <f t="shared" si="235"/>
        <v>24.7</v>
      </c>
      <c r="S408" s="38">
        <f t="shared" si="236"/>
        <v>163.69918688524592</v>
      </c>
      <c r="T408" s="94" t="str">
        <f t="shared" si="237"/>
        <v>OK</v>
      </c>
      <c r="U408" s="95" t="str">
        <f t="shared" si="238"/>
        <v/>
      </c>
      <c r="V408" s="96">
        <f t="shared" si="239"/>
        <v>0</v>
      </c>
    </row>
    <row r="409" spans="1:22" x14ac:dyDescent="0.2">
      <c r="A409" s="35">
        <v>1</v>
      </c>
      <c r="B409" s="44">
        <v>689</v>
      </c>
      <c r="C409" s="44">
        <v>169</v>
      </c>
      <c r="D409" s="43" t="s">
        <v>169</v>
      </c>
      <c r="E409" s="43" t="s">
        <v>85</v>
      </c>
      <c r="F409" s="44">
        <v>1</v>
      </c>
      <c r="G409" s="44">
        <v>0</v>
      </c>
      <c r="H409" s="44">
        <v>0</v>
      </c>
      <c r="I409" s="44">
        <v>0</v>
      </c>
      <c r="J409" s="44">
        <v>0</v>
      </c>
      <c r="K409" s="23" t="s">
        <v>28</v>
      </c>
      <c r="L409" t="s">
        <v>279</v>
      </c>
      <c r="M409" s="10">
        <f t="shared" si="232"/>
        <v>0.116441</v>
      </c>
      <c r="N409" s="11">
        <f t="shared" si="233"/>
        <v>0</v>
      </c>
      <c r="O409" s="12">
        <f>IF(E409="HERRAJE",IFERROR(_xlfn.XLOOKUP(D409,'⚙️ Configuración Costos'!$A$11:$A$20,'⚙️ Configuración Costos'!$B$11:$B$20),""),IFERROR(_xlfn.XLOOKUP(E409,'⚙️ Configuración Costos'!$A$5:$A$6,'⚙️ Configuración Costos'!$B$5:$B$6),""))</f>
        <v>332.85245901639348</v>
      </c>
      <c r="P409" s="12">
        <f t="shared" si="234"/>
        <v>38.757673180327878</v>
      </c>
      <c r="Q409" s="12">
        <f>IF(E409="HERRAJE",0,IFERROR(_xlfn.XLOOKUP(E409,'⚙️ Configuración Costos'!$E$5:$E$6,'⚙️ Configuración Costos'!$F$5:$F$6),""))</f>
        <v>9.5</v>
      </c>
      <c r="R409" s="12">
        <f t="shared" si="235"/>
        <v>0</v>
      </c>
      <c r="S409" s="38">
        <f t="shared" si="236"/>
        <v>38.757673180327878</v>
      </c>
      <c r="T409" s="94" t="str">
        <f t="shared" si="237"/>
        <v>OK</v>
      </c>
      <c r="U409" s="95" t="str">
        <f t="shared" si="238"/>
        <v/>
      </c>
      <c r="V409" s="96">
        <f t="shared" si="239"/>
        <v>0</v>
      </c>
    </row>
    <row r="410" spans="1:22" x14ac:dyDescent="0.2">
      <c r="A410" s="35">
        <v>1</v>
      </c>
      <c r="B410" s="44">
        <v>580</v>
      </c>
      <c r="C410" s="44">
        <v>169</v>
      </c>
      <c r="D410" s="43" t="s">
        <v>171</v>
      </c>
      <c r="E410" s="43" t="s">
        <v>85</v>
      </c>
      <c r="F410" s="44">
        <v>1</v>
      </c>
      <c r="G410" s="44">
        <v>0</v>
      </c>
      <c r="H410" s="44">
        <v>0</v>
      </c>
      <c r="I410" s="44">
        <v>1</v>
      </c>
      <c r="J410" s="44">
        <v>1</v>
      </c>
      <c r="K410" s="23" t="s">
        <v>28</v>
      </c>
      <c r="L410" t="s">
        <v>280</v>
      </c>
      <c r="M410" s="10">
        <f t="shared" si="232"/>
        <v>9.8019999999999996E-2</v>
      </c>
      <c r="N410" s="11">
        <f t="shared" si="233"/>
        <v>0.33800000000000002</v>
      </c>
      <c r="O410" s="12">
        <f>IF(E410="HERRAJE",IFERROR(_xlfn.XLOOKUP(D410,'⚙️ Configuración Costos'!$A$11:$A$20,'⚙️ Configuración Costos'!$B$11:$B$20),""),IFERROR(_xlfn.XLOOKUP(E410,'⚙️ Configuración Costos'!$A$5:$A$6,'⚙️ Configuración Costos'!$B$5:$B$6),""))</f>
        <v>332.85245901639348</v>
      </c>
      <c r="P410" s="12">
        <f t="shared" si="234"/>
        <v>32.626198032786888</v>
      </c>
      <c r="Q410" s="12">
        <f>IF(E410="HERRAJE",0,IFERROR(_xlfn.XLOOKUP(E410,'⚙️ Configuración Costos'!$E$5:$E$6,'⚙️ Configuración Costos'!$F$5:$F$6),""))</f>
        <v>9.5</v>
      </c>
      <c r="R410" s="12">
        <f t="shared" si="235"/>
        <v>3.2110000000000003</v>
      </c>
      <c r="S410" s="38">
        <f t="shared" si="236"/>
        <v>35.837198032786887</v>
      </c>
      <c r="T410" s="94" t="str">
        <f t="shared" si="237"/>
        <v>OK</v>
      </c>
      <c r="U410" s="95" t="str">
        <f t="shared" si="238"/>
        <v/>
      </c>
      <c r="V410" s="96">
        <f t="shared" si="239"/>
        <v>0</v>
      </c>
    </row>
    <row r="411" spans="1:22" x14ac:dyDescent="0.2">
      <c r="A411" s="35">
        <v>1</v>
      </c>
      <c r="B411" s="44">
        <v>169</v>
      </c>
      <c r="C411" s="44">
        <v>120</v>
      </c>
      <c r="D411" s="43" t="s">
        <v>173</v>
      </c>
      <c r="E411" s="43" t="s">
        <v>85</v>
      </c>
      <c r="F411" s="44">
        <v>1</v>
      </c>
      <c r="G411" s="44">
        <v>1</v>
      </c>
      <c r="H411" s="44">
        <v>1</v>
      </c>
      <c r="I411" s="44">
        <v>0</v>
      </c>
      <c r="J411" s="44">
        <v>0</v>
      </c>
      <c r="K411" s="23" t="s">
        <v>28</v>
      </c>
      <c r="L411" t="s">
        <v>281</v>
      </c>
      <c r="M411" s="10">
        <f t="shared" si="232"/>
        <v>2.0279999999999999E-2</v>
      </c>
      <c r="N411" s="11">
        <f t="shared" si="233"/>
        <v>0.33800000000000002</v>
      </c>
      <c r="O411" s="12">
        <f>IF(E411="HERRAJE",IFERROR(_xlfn.XLOOKUP(D411,'⚙️ Configuración Costos'!$A$11:$A$20,'⚙️ Configuración Costos'!$B$11:$B$20),""),IFERROR(_xlfn.XLOOKUP(E411,'⚙️ Configuración Costos'!$A$5:$A$6,'⚙️ Configuración Costos'!$B$5:$B$6),""))</f>
        <v>332.85245901639348</v>
      </c>
      <c r="P411" s="12">
        <f t="shared" si="234"/>
        <v>6.7502478688524592</v>
      </c>
      <c r="Q411" s="12">
        <f>IF(E411="HERRAJE",0,IFERROR(_xlfn.XLOOKUP(E411,'⚙️ Configuración Costos'!$E$5:$E$6,'⚙️ Configuración Costos'!$F$5:$F$6),""))</f>
        <v>9.5</v>
      </c>
      <c r="R411" s="12">
        <f t="shared" si="235"/>
        <v>3.2110000000000003</v>
      </c>
      <c r="S411" s="38">
        <f t="shared" si="236"/>
        <v>9.9612478688524604</v>
      </c>
      <c r="T411" s="94" t="str">
        <f t="shared" si="237"/>
        <v>OK</v>
      </c>
      <c r="U411" s="95" t="str">
        <f t="shared" si="238"/>
        <v/>
      </c>
      <c r="V411" s="96">
        <f t="shared" si="239"/>
        <v>0</v>
      </c>
    </row>
    <row r="412" spans="1:22" x14ac:dyDescent="0.2">
      <c r="A412" s="35">
        <v>1</v>
      </c>
      <c r="B412" s="44">
        <v>169</v>
      </c>
      <c r="C412" s="44">
        <v>120</v>
      </c>
      <c r="D412" s="43" t="s">
        <v>175</v>
      </c>
      <c r="E412" s="43" t="s">
        <v>85</v>
      </c>
      <c r="F412" s="44">
        <v>1</v>
      </c>
      <c r="G412" s="44">
        <v>1</v>
      </c>
      <c r="H412" s="44">
        <v>1</v>
      </c>
      <c r="I412" s="44">
        <v>0</v>
      </c>
      <c r="J412" s="44">
        <v>0</v>
      </c>
      <c r="K412" s="23" t="s">
        <v>28</v>
      </c>
      <c r="L412" t="s">
        <v>282</v>
      </c>
      <c r="M412" s="10">
        <f t="shared" si="232"/>
        <v>2.0279999999999999E-2</v>
      </c>
      <c r="N412" s="11">
        <f t="shared" si="233"/>
        <v>0.33800000000000002</v>
      </c>
      <c r="O412" s="12">
        <f>IF(E412="HERRAJE",IFERROR(_xlfn.XLOOKUP(D412,'⚙️ Configuración Costos'!$A$11:$A$20,'⚙️ Configuración Costos'!$B$11:$B$20),""),IFERROR(_xlfn.XLOOKUP(E412,'⚙️ Configuración Costos'!$A$5:$A$6,'⚙️ Configuración Costos'!$B$5:$B$6),""))</f>
        <v>332.85245901639348</v>
      </c>
      <c r="P412" s="12">
        <f t="shared" si="234"/>
        <v>6.7502478688524592</v>
      </c>
      <c r="Q412" s="12">
        <f>IF(E412="HERRAJE",0,IFERROR(_xlfn.XLOOKUP(E412,'⚙️ Configuración Costos'!$E$5:$E$6,'⚙️ Configuración Costos'!$F$5:$F$6),""))</f>
        <v>9.5</v>
      </c>
      <c r="R412" s="12">
        <f t="shared" si="235"/>
        <v>3.2110000000000003</v>
      </c>
      <c r="S412" s="38">
        <f t="shared" si="236"/>
        <v>9.9612478688524604</v>
      </c>
      <c r="T412" s="94" t="str">
        <f t="shared" si="237"/>
        <v>OK</v>
      </c>
      <c r="U412" s="95" t="str">
        <f t="shared" si="238"/>
        <v/>
      </c>
      <c r="V412" s="96">
        <f t="shared" si="239"/>
        <v>0</v>
      </c>
    </row>
    <row r="413" spans="1:22" x14ac:dyDescent="0.2">
      <c r="A413" s="35">
        <v>1</v>
      </c>
      <c r="B413" s="44">
        <v>0</v>
      </c>
      <c r="C413" s="44">
        <v>0</v>
      </c>
      <c r="D413" s="43" t="s">
        <v>285</v>
      </c>
      <c r="E413" s="7" t="s">
        <v>91</v>
      </c>
      <c r="F413" s="44">
        <v>0</v>
      </c>
      <c r="G413" s="44">
        <v>0</v>
      </c>
      <c r="H413" s="44">
        <v>0</v>
      </c>
      <c r="I413" s="44">
        <v>0</v>
      </c>
      <c r="J413" s="44">
        <v>0</v>
      </c>
      <c r="K413" s="23" t="s">
        <v>28</v>
      </c>
      <c r="L413" t="s">
        <v>286</v>
      </c>
      <c r="M413" s="10">
        <f t="shared" si="232"/>
        <v>0</v>
      </c>
      <c r="N413" s="11">
        <f t="shared" si="233"/>
        <v>0</v>
      </c>
      <c r="O413" s="12">
        <f>IF(E413="HERRAJE",IFERROR(_xlfn.XLOOKUP(D413,'⚙️ Configuración Costos'!$A$11:$A$20,'⚙️ Configuración Costos'!$B$11:$B$20),""),IFERROR(_xlfn.XLOOKUP(E413,'⚙️ Configuración Costos'!$A$5:$A$6,'⚙️ Configuración Costos'!$B$5:$B$6),""))</f>
        <v>120</v>
      </c>
      <c r="P413" s="12">
        <f t="shared" si="234"/>
        <v>120</v>
      </c>
      <c r="Q413" s="12">
        <f>IF(E413="HERRAJE",0,IFERROR(_xlfn.XLOOKUP(E413,'⚙️ Configuración Costos'!$E$5:$E$6,'⚙️ Configuración Costos'!$F$5:$F$6),""))</f>
        <v>0</v>
      </c>
      <c r="R413" s="12">
        <f t="shared" si="235"/>
        <v>0</v>
      </c>
      <c r="S413" s="38">
        <f t="shared" si="236"/>
        <v>120</v>
      </c>
      <c r="T413" s="94" t="str">
        <f t="shared" si="237"/>
        <v>OK</v>
      </c>
      <c r="U413" s="95" t="str">
        <f t="shared" si="238"/>
        <v/>
      </c>
      <c r="V413" s="96">
        <f t="shared" si="239"/>
        <v>0</v>
      </c>
    </row>
    <row r="414" spans="1:22" x14ac:dyDescent="0.2">
      <c r="A414" s="35">
        <v>4</v>
      </c>
      <c r="B414" s="6">
        <v>0</v>
      </c>
      <c r="C414" s="6">
        <v>0</v>
      </c>
      <c r="D414" s="7" t="s">
        <v>186</v>
      </c>
      <c r="E414" s="7" t="s">
        <v>91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23" t="s">
        <v>28</v>
      </c>
      <c r="L414" s="47" t="s">
        <v>187</v>
      </c>
      <c r="M414" s="10">
        <f t="shared" si="232"/>
        <v>0</v>
      </c>
      <c r="N414" s="11">
        <f t="shared" si="233"/>
        <v>0</v>
      </c>
      <c r="O414" s="12">
        <f>IF(E414="HERRAJE",IFERROR(_xlfn.XLOOKUP(D414,'⚙️ Configuración Costos'!$A$11:$A$20,'⚙️ Configuración Costos'!$B$11:$B$20),""),IFERROR(_xlfn.XLOOKUP(E414,'⚙️ Configuración Costos'!$A$5:$A$6,'⚙️ Configuración Costos'!$B$5:$B$6),""))</f>
        <v>15</v>
      </c>
      <c r="P414" s="12">
        <f t="shared" si="234"/>
        <v>60</v>
      </c>
      <c r="Q414" s="12">
        <f>IF(E414="HERRAJE",0,IFERROR(_xlfn.XLOOKUP(E414,'⚙️ Configuración Costos'!$E$5:$E$6,'⚙️ Configuración Costos'!$F$5:$F$6),""))</f>
        <v>0</v>
      </c>
      <c r="R414" s="12">
        <f t="shared" si="235"/>
        <v>0</v>
      </c>
      <c r="S414" s="38">
        <f t="shared" si="236"/>
        <v>60</v>
      </c>
      <c r="T414" s="94" t="str">
        <f t="shared" si="237"/>
        <v>OK</v>
      </c>
      <c r="U414" s="95" t="str">
        <f t="shared" si="238"/>
        <v/>
      </c>
      <c r="V414" s="96">
        <f t="shared" si="239"/>
        <v>0</v>
      </c>
    </row>
    <row r="415" spans="1:22" ht="16" thickBot="1" x14ac:dyDescent="0.25">
      <c r="A415" s="36">
        <v>50</v>
      </c>
      <c r="B415" s="20">
        <v>0</v>
      </c>
      <c r="C415" s="20">
        <v>0</v>
      </c>
      <c r="D415" s="21" t="s">
        <v>97</v>
      </c>
      <c r="E415" s="21" t="s">
        <v>91</v>
      </c>
      <c r="F415" s="22">
        <v>0</v>
      </c>
      <c r="G415" s="22">
        <v>0</v>
      </c>
      <c r="H415" s="22">
        <v>0</v>
      </c>
      <c r="I415" s="22">
        <v>0</v>
      </c>
      <c r="J415" s="22">
        <v>0</v>
      </c>
      <c r="K415" s="23" t="s">
        <v>28</v>
      </c>
      <c r="L415" s="48" t="s">
        <v>98</v>
      </c>
      <c r="M415" s="24">
        <f t="shared" si="232"/>
        <v>0</v>
      </c>
      <c r="N415" s="25">
        <f t="shared" si="233"/>
        <v>0</v>
      </c>
      <c r="O415" s="26">
        <f>IF(E415="HERRAJE",IFERROR(_xlfn.XLOOKUP(D415,'⚙️ Configuración Costos'!$A$11:$A$20,'⚙️ Configuración Costos'!$B$11:$B$20),""),IFERROR(_xlfn.XLOOKUP(E415,'⚙️ Configuración Costos'!$A$5:$A$6,'⚙️ Configuración Costos'!$B$5:$B$6),""))</f>
        <v>1.5</v>
      </c>
      <c r="P415" s="26">
        <f t="shared" si="234"/>
        <v>75</v>
      </c>
      <c r="Q415" s="26">
        <f>IF(E415="HERRAJE",0,IFERROR(_xlfn.XLOOKUP(E415,'⚙️ Configuración Costos'!$E$5:$E$6,'⚙️ Configuración Costos'!$F$5:$F$6),""))</f>
        <v>0</v>
      </c>
      <c r="R415" s="26">
        <f t="shared" si="235"/>
        <v>0</v>
      </c>
      <c r="S415" s="39">
        <f t="shared" si="236"/>
        <v>75</v>
      </c>
      <c r="T415" s="94" t="str">
        <f t="shared" si="237"/>
        <v>OK</v>
      </c>
      <c r="U415" s="95" t="str">
        <f t="shared" si="238"/>
        <v/>
      </c>
      <c r="V415" s="96">
        <f t="shared" si="239"/>
        <v>0</v>
      </c>
    </row>
    <row r="416" spans="1:22" ht="16" thickTop="1" x14ac:dyDescent="0.2">
      <c r="A416" s="27" t="s">
        <v>99</v>
      </c>
      <c r="B416" s="27"/>
      <c r="C416" s="27"/>
      <c r="D416" s="28"/>
      <c r="E416" s="28"/>
      <c r="F416" s="29"/>
      <c r="G416" s="29"/>
      <c r="H416" s="29"/>
      <c r="I416" s="29"/>
      <c r="J416" s="29"/>
      <c r="K416" s="30"/>
      <c r="L416" s="49" t="s">
        <v>188</v>
      </c>
      <c r="M416" s="33">
        <f>SUM(M407:M415)</f>
        <v>1.0902210000000001</v>
      </c>
      <c r="N416" s="33">
        <f>SUM(N407:N415)</f>
        <v>6.2140000000000004</v>
      </c>
      <c r="O416" s="33"/>
      <c r="P416" s="33">
        <f>SUM(P407:P415)</f>
        <v>617.88274072131151</v>
      </c>
      <c r="Q416" s="33"/>
      <c r="R416" s="33">
        <f>SUM(R407:R415)</f>
        <v>59.032999999999994</v>
      </c>
      <c r="S416" s="33">
        <f>SUM(S407:S415)</f>
        <v>676.91574072131152</v>
      </c>
      <c r="T416" s="97"/>
      <c r="U416" s="98"/>
      <c r="V416" s="99"/>
    </row>
    <row r="417" spans="1:22" x14ac:dyDescent="0.2">
      <c r="A417" s="186" t="s">
        <v>287</v>
      </c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8"/>
      <c r="T417" s="97"/>
      <c r="U417" s="98"/>
      <c r="V417" s="99"/>
    </row>
    <row r="418" spans="1:22" x14ac:dyDescent="0.2">
      <c r="A418" s="34">
        <v>1</v>
      </c>
      <c r="B418" s="13">
        <v>720</v>
      </c>
      <c r="C418" s="13">
        <v>580</v>
      </c>
      <c r="D418" s="14" t="s">
        <v>63</v>
      </c>
      <c r="E418" s="14" t="s">
        <v>64</v>
      </c>
      <c r="F418" s="15">
        <v>0</v>
      </c>
      <c r="G418" s="15">
        <v>1</v>
      </c>
      <c r="H418" s="15">
        <v>1</v>
      </c>
      <c r="I418" s="15">
        <v>1</v>
      </c>
      <c r="J418" s="15">
        <v>1</v>
      </c>
      <c r="K418" s="9" t="s">
        <v>29</v>
      </c>
      <c r="L418" s="46" t="s">
        <v>190</v>
      </c>
      <c r="M418" s="17">
        <f t="shared" ref="M418:M427" si="240">IF(AND(ISNUMBER(B418),ISNUMBER(C418),B418&gt;0,C418&gt;0),A418*(B418*C418/1000000),0)</f>
        <v>0.41760000000000003</v>
      </c>
      <c r="N418" s="18">
        <f t="shared" ref="N418:N427" si="241">IF(AND(ISNUMBER(B418),B418&gt;0),A418*(((G418+H418)*B418+(I418+J418)*C418)/1000),0)</f>
        <v>2.6</v>
      </c>
      <c r="O418" s="19">
        <f>IF(E418="HERRAJE",IFERROR(_xlfn.XLOOKUP(D418,'⚙️ Configuración Costos'!$A$11:$A$20,'⚙️ Configuración Costos'!$B$11:$B$20),""),IFERROR(_xlfn.XLOOKUP(E418,'⚙️ Configuración Costos'!$A$5:$A$6,'⚙️ Configuración Costos'!$B$5:$B$6),""))</f>
        <v>239.8426229508197</v>
      </c>
      <c r="P418" s="19">
        <f t="shared" ref="P418:P427" si="242">IF(E418="HERRAJE",A418*O418,M418*O418)</f>
        <v>100.15827934426231</v>
      </c>
      <c r="Q418" s="19">
        <f>IF(E418="HERRAJE",0,IFERROR(_xlfn.XLOOKUP(E418,'⚙️ Configuración Costos'!$E$5:$E$6,'⚙️ Configuración Costos'!$F$5:$F$6),""))</f>
        <v>6</v>
      </c>
      <c r="R418" s="19">
        <f t="shared" ref="R418:R427" si="243">N418*Q418</f>
        <v>15.600000000000001</v>
      </c>
      <c r="S418" s="37">
        <f t="shared" ref="S418:S427" si="244">P418+R418</f>
        <v>115.75827934426232</v>
      </c>
      <c r="T418" s="94" t="str">
        <f t="shared" ref="T418:T427" si="245">IF(K418="","SIN ID MÓDULO",IF(E418="HERRAJE",IF(OR(O418="",O418&lt;=0),"SIN PRECIO HERRAJE","OK"),IF(OR(O418="",O418&lt;=0),"SIN PRECIO MATERIAL",IF(AND(N418&gt;0,OR(Q418="",Q418&lt;=0)),"SIN PRECIO CINTILLA","OK"))))</f>
        <v>OK</v>
      </c>
      <c r="U418" s="95" t="str">
        <f t="shared" ref="U418:U427" si="246">IF(T418="OK","",IF(T418="SIN PRECIO HERRAJE","Capturar precio: "&amp;D418,IF(T418="SIN PRECIO MATERIAL","Configurar material: "&amp;E418,IF(T418="SIN PRECIO CINTILLA","Configurar cintilla: "&amp;E418,IF(T418="SIN ID MÓDULO","Revisar ID del módulo","")))))</f>
        <v/>
      </c>
      <c r="V418" s="96">
        <f t="shared" ref="V418:V427" si="247">IF(T418="OK",0,IF(T418="",0,1))</f>
        <v>0</v>
      </c>
    </row>
    <row r="419" spans="1:22" x14ac:dyDescent="0.2">
      <c r="A419" s="35">
        <v>1</v>
      </c>
      <c r="B419" s="6">
        <v>720</v>
      </c>
      <c r="C419" s="6">
        <v>580</v>
      </c>
      <c r="D419" s="7" t="s">
        <v>66</v>
      </c>
      <c r="E419" s="7" t="s">
        <v>64</v>
      </c>
      <c r="F419" s="8">
        <v>0</v>
      </c>
      <c r="G419" s="8">
        <v>1</v>
      </c>
      <c r="H419" s="8">
        <v>1</v>
      </c>
      <c r="I419" s="8">
        <v>1</v>
      </c>
      <c r="J419" s="8">
        <v>1</v>
      </c>
      <c r="K419" s="9" t="s">
        <v>29</v>
      </c>
      <c r="L419" s="47" t="s">
        <v>191</v>
      </c>
      <c r="M419" s="10">
        <f t="shared" si="240"/>
        <v>0.41760000000000003</v>
      </c>
      <c r="N419" s="11">
        <f t="shared" si="241"/>
        <v>2.6</v>
      </c>
      <c r="O419" s="12">
        <f>IF(E419="HERRAJE",IFERROR(_xlfn.XLOOKUP(D419,'⚙️ Configuración Costos'!$A$11:$A$20,'⚙️ Configuración Costos'!$B$11:$B$20),""),IFERROR(_xlfn.XLOOKUP(E419,'⚙️ Configuración Costos'!$A$5:$A$6,'⚙️ Configuración Costos'!$B$5:$B$6),""))</f>
        <v>239.8426229508197</v>
      </c>
      <c r="P419" s="12">
        <f t="shared" si="242"/>
        <v>100.15827934426231</v>
      </c>
      <c r="Q419" s="12">
        <f>IF(E419="HERRAJE",0,IFERROR(_xlfn.XLOOKUP(E419,'⚙️ Configuración Costos'!$E$5:$E$6,'⚙️ Configuración Costos'!$F$5:$F$6),""))</f>
        <v>6</v>
      </c>
      <c r="R419" s="12">
        <f t="shared" si="243"/>
        <v>15.600000000000001</v>
      </c>
      <c r="S419" s="38">
        <f t="shared" si="244"/>
        <v>115.75827934426232</v>
      </c>
      <c r="T419" s="94" t="str">
        <f t="shared" si="245"/>
        <v>OK</v>
      </c>
      <c r="U419" s="95" t="str">
        <f t="shared" si="246"/>
        <v/>
      </c>
      <c r="V419" s="96">
        <f t="shared" si="247"/>
        <v>0</v>
      </c>
    </row>
    <row r="420" spans="1:22" x14ac:dyDescent="0.2">
      <c r="A420" s="35">
        <v>1</v>
      </c>
      <c r="B420" s="6">
        <v>569</v>
      </c>
      <c r="C420" s="6">
        <v>580</v>
      </c>
      <c r="D420" s="7" t="s">
        <v>171</v>
      </c>
      <c r="E420" s="7" t="s">
        <v>64</v>
      </c>
      <c r="F420" s="8">
        <v>0</v>
      </c>
      <c r="G420" s="8">
        <v>0</v>
      </c>
      <c r="H420" s="8">
        <v>0</v>
      </c>
      <c r="I420" s="8">
        <v>1</v>
      </c>
      <c r="J420" s="8">
        <v>1</v>
      </c>
      <c r="K420" s="9" t="s">
        <v>29</v>
      </c>
      <c r="L420" s="47" t="s">
        <v>213</v>
      </c>
      <c r="M420" s="10">
        <f t="shared" si="240"/>
        <v>0.33001999999999998</v>
      </c>
      <c r="N420" s="11">
        <f t="shared" si="241"/>
        <v>1.1599999999999999</v>
      </c>
      <c r="O420" s="12">
        <f>IF(E420="HERRAJE",IFERROR(_xlfn.XLOOKUP(D420,'⚙️ Configuración Costos'!$A$11:$A$20,'⚙️ Configuración Costos'!$B$11:$B$20),""),IFERROR(_xlfn.XLOOKUP(E420,'⚙️ Configuración Costos'!$A$5:$A$6,'⚙️ Configuración Costos'!$B$5:$B$6),""))</f>
        <v>239.8426229508197</v>
      </c>
      <c r="P420" s="12">
        <f t="shared" si="242"/>
        <v>79.152862426229518</v>
      </c>
      <c r="Q420" s="12">
        <f>IF(E420="HERRAJE",0,IFERROR(_xlfn.XLOOKUP(E420,'⚙️ Configuración Costos'!$E$5:$E$6,'⚙️ Configuración Costos'!$F$5:$F$6),""))</f>
        <v>6</v>
      </c>
      <c r="R420" s="12">
        <f t="shared" si="243"/>
        <v>6.9599999999999991</v>
      </c>
      <c r="S420" s="38">
        <f t="shared" si="244"/>
        <v>86.112862426229512</v>
      </c>
      <c r="T420" s="94" t="str">
        <f t="shared" si="245"/>
        <v>OK</v>
      </c>
      <c r="U420" s="95" t="str">
        <f t="shared" si="246"/>
        <v/>
      </c>
      <c r="V420" s="96">
        <f t="shared" si="247"/>
        <v>0</v>
      </c>
    </row>
    <row r="421" spans="1:22" x14ac:dyDescent="0.2">
      <c r="A421" s="35">
        <v>2</v>
      </c>
      <c r="B421" s="6">
        <v>569</v>
      </c>
      <c r="C421" s="6">
        <v>120</v>
      </c>
      <c r="D421" s="7" t="s">
        <v>240</v>
      </c>
      <c r="E421" s="7" t="s">
        <v>64</v>
      </c>
      <c r="F421" s="8">
        <v>0</v>
      </c>
      <c r="G421" s="8">
        <v>1</v>
      </c>
      <c r="H421" s="8">
        <v>1</v>
      </c>
      <c r="I421" s="8">
        <v>0</v>
      </c>
      <c r="J421" s="8">
        <v>0</v>
      </c>
      <c r="K421" s="9" t="s">
        <v>29</v>
      </c>
      <c r="L421" s="47" t="s">
        <v>268</v>
      </c>
      <c r="M421" s="10">
        <f t="shared" si="240"/>
        <v>0.13655999999999999</v>
      </c>
      <c r="N421" s="11">
        <f t="shared" si="241"/>
        <v>2.2759999999999998</v>
      </c>
      <c r="O421" s="12">
        <f>IF(E421="HERRAJE",IFERROR(_xlfn.XLOOKUP(D421,'⚙️ Configuración Costos'!$A$11:$A$20,'⚙️ Configuración Costos'!$B$11:$B$20),""),IFERROR(_xlfn.XLOOKUP(E421,'⚙️ Configuración Costos'!$A$5:$A$6,'⚙️ Configuración Costos'!$B$5:$B$6),""))</f>
        <v>239.8426229508197</v>
      </c>
      <c r="P421" s="12">
        <f t="shared" si="242"/>
        <v>32.752908590163933</v>
      </c>
      <c r="Q421" s="12">
        <f>IF(E421="HERRAJE",0,IFERROR(_xlfn.XLOOKUP(E421,'⚙️ Configuración Costos'!$E$5:$E$6,'⚙️ Configuración Costos'!$F$5:$F$6),""))</f>
        <v>6</v>
      </c>
      <c r="R421" s="12">
        <f t="shared" si="243"/>
        <v>13.655999999999999</v>
      </c>
      <c r="S421" s="38">
        <f t="shared" si="244"/>
        <v>46.408908590163932</v>
      </c>
      <c r="T421" s="94" t="str">
        <f t="shared" si="245"/>
        <v>OK</v>
      </c>
      <c r="U421" s="95" t="str">
        <f t="shared" si="246"/>
        <v/>
      </c>
      <c r="V421" s="96">
        <f t="shared" si="247"/>
        <v>0</v>
      </c>
    </row>
    <row r="422" spans="1:22" x14ac:dyDescent="0.2">
      <c r="A422" s="35">
        <v>2</v>
      </c>
      <c r="B422" s="6">
        <v>569</v>
      </c>
      <c r="C422" s="6">
        <v>120</v>
      </c>
      <c r="D422" s="7" t="s">
        <v>194</v>
      </c>
      <c r="E422" s="7" t="s">
        <v>64</v>
      </c>
      <c r="F422" s="8">
        <v>0</v>
      </c>
      <c r="G422" s="8">
        <v>1</v>
      </c>
      <c r="H422" s="8">
        <v>1</v>
      </c>
      <c r="I422" s="8">
        <v>0</v>
      </c>
      <c r="J422" s="8">
        <v>0</v>
      </c>
      <c r="K422" s="9" t="s">
        <v>29</v>
      </c>
      <c r="L422" s="47" t="s">
        <v>214</v>
      </c>
      <c r="M422" s="10">
        <f t="shared" si="240"/>
        <v>0.13655999999999999</v>
      </c>
      <c r="N422" s="11">
        <f t="shared" si="241"/>
        <v>2.2759999999999998</v>
      </c>
      <c r="O422" s="12">
        <f>IF(E422="HERRAJE",IFERROR(_xlfn.XLOOKUP(D422,'⚙️ Configuración Costos'!$A$11:$A$20,'⚙️ Configuración Costos'!$B$11:$B$20),""),IFERROR(_xlfn.XLOOKUP(E422,'⚙️ Configuración Costos'!$A$5:$A$6,'⚙️ Configuración Costos'!$B$5:$B$6),""))</f>
        <v>239.8426229508197</v>
      </c>
      <c r="P422" s="12">
        <f t="shared" si="242"/>
        <v>32.752908590163933</v>
      </c>
      <c r="Q422" s="12">
        <f>IF(E422="HERRAJE",0,IFERROR(_xlfn.XLOOKUP(E422,'⚙️ Configuración Costos'!$E$5:$E$6,'⚙️ Configuración Costos'!$F$5:$F$6),""))</f>
        <v>6</v>
      </c>
      <c r="R422" s="12">
        <f t="shared" si="243"/>
        <v>13.655999999999999</v>
      </c>
      <c r="S422" s="38">
        <f t="shared" si="244"/>
        <v>46.408908590163932</v>
      </c>
      <c r="T422" s="94" t="str">
        <f t="shared" si="245"/>
        <v>OK</v>
      </c>
      <c r="U422" s="95" t="str">
        <f t="shared" si="246"/>
        <v/>
      </c>
      <c r="V422" s="96">
        <f t="shared" si="247"/>
        <v>0</v>
      </c>
    </row>
    <row r="423" spans="1:22" x14ac:dyDescent="0.2">
      <c r="A423" s="35">
        <v>1</v>
      </c>
      <c r="B423" s="6">
        <v>717</v>
      </c>
      <c r="C423" s="6">
        <v>596</v>
      </c>
      <c r="D423" s="7" t="s">
        <v>197</v>
      </c>
      <c r="E423" s="7" t="s">
        <v>85</v>
      </c>
      <c r="F423" s="8">
        <v>1</v>
      </c>
      <c r="G423" s="8">
        <v>1</v>
      </c>
      <c r="H423" s="8">
        <v>1</v>
      </c>
      <c r="I423" s="8">
        <v>1</v>
      </c>
      <c r="J423" s="8">
        <v>1</v>
      </c>
      <c r="K423" s="9" t="s">
        <v>29</v>
      </c>
      <c r="L423" s="47" t="s">
        <v>216</v>
      </c>
      <c r="M423" s="10">
        <f t="shared" si="240"/>
        <v>0.42733199999999999</v>
      </c>
      <c r="N423" s="11">
        <f t="shared" si="241"/>
        <v>2.6259999999999999</v>
      </c>
      <c r="O423" s="12">
        <f>IF(E423="HERRAJE",IFERROR(_xlfn.XLOOKUP(D423,'⚙️ Configuración Costos'!$A$11:$A$20,'⚙️ Configuración Costos'!$B$11:$B$20),""),IFERROR(_xlfn.XLOOKUP(E423,'⚙️ Configuración Costos'!$A$5:$A$6,'⚙️ Configuración Costos'!$B$5:$B$6),""))</f>
        <v>332.85245901639348</v>
      </c>
      <c r="P423" s="12">
        <f t="shared" si="242"/>
        <v>142.23850701639347</v>
      </c>
      <c r="Q423" s="12">
        <f>IF(E423="HERRAJE",0,IFERROR(_xlfn.XLOOKUP(E423,'⚙️ Configuración Costos'!$E$5:$E$6,'⚙️ Configuración Costos'!$F$5:$F$6),""))</f>
        <v>9.5</v>
      </c>
      <c r="R423" s="12">
        <f t="shared" si="243"/>
        <v>24.946999999999999</v>
      </c>
      <c r="S423" s="38">
        <f t="shared" si="244"/>
        <v>167.18550701639347</v>
      </c>
      <c r="T423" s="94" t="str">
        <f t="shared" si="245"/>
        <v>OK</v>
      </c>
      <c r="U423" s="95" t="str">
        <f t="shared" si="246"/>
        <v/>
      </c>
      <c r="V423" s="96">
        <f t="shared" si="247"/>
        <v>0</v>
      </c>
    </row>
    <row r="424" spans="1:22" x14ac:dyDescent="0.2">
      <c r="A424" s="35">
        <v>2</v>
      </c>
      <c r="B424" s="6">
        <v>0</v>
      </c>
      <c r="C424" s="6">
        <v>0</v>
      </c>
      <c r="D424" s="7" t="s">
        <v>90</v>
      </c>
      <c r="E424" s="7" t="s">
        <v>91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9" t="s">
        <v>29</v>
      </c>
      <c r="L424" s="47" t="s">
        <v>92</v>
      </c>
      <c r="M424" s="10">
        <f t="shared" si="240"/>
        <v>0</v>
      </c>
      <c r="N424" s="11">
        <f t="shared" si="241"/>
        <v>0</v>
      </c>
      <c r="O424" s="12">
        <f>IF(E424="HERRAJE",IFERROR(_xlfn.XLOOKUP(D424,'⚙️ Configuración Costos'!$A$11:$A$20,'⚙️ Configuración Costos'!$B$11:$B$20),""),IFERROR(_xlfn.XLOOKUP(E424,'⚙️ Configuración Costos'!$A$5:$A$6,'⚙️ Configuración Costos'!$B$5:$B$6),""))</f>
        <v>20</v>
      </c>
      <c r="P424" s="12">
        <f t="shared" si="242"/>
        <v>40</v>
      </c>
      <c r="Q424" s="12">
        <f>IF(E424="HERRAJE",0,IFERROR(_xlfn.XLOOKUP(E424,'⚙️ Configuración Costos'!$E$5:$E$6,'⚙️ Configuración Costos'!$F$5:$F$6),""))</f>
        <v>0</v>
      </c>
      <c r="R424" s="12">
        <f t="shared" si="243"/>
        <v>0</v>
      </c>
      <c r="S424" s="38">
        <f t="shared" si="244"/>
        <v>40</v>
      </c>
      <c r="T424" s="94" t="str">
        <f t="shared" si="245"/>
        <v>OK</v>
      </c>
      <c r="U424" s="95" t="str">
        <f t="shared" si="246"/>
        <v/>
      </c>
      <c r="V424" s="96">
        <f t="shared" si="247"/>
        <v>0</v>
      </c>
    </row>
    <row r="425" spans="1:22" x14ac:dyDescent="0.2">
      <c r="A425" s="35">
        <v>1</v>
      </c>
      <c r="B425" s="6">
        <v>0</v>
      </c>
      <c r="C425" s="6">
        <v>0</v>
      </c>
      <c r="D425" s="7" t="s">
        <v>93</v>
      </c>
      <c r="E425" s="7" t="s">
        <v>91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9" t="s">
        <v>29</v>
      </c>
      <c r="L425" s="47" t="s">
        <v>94</v>
      </c>
      <c r="M425" s="10">
        <f t="shared" si="240"/>
        <v>0</v>
      </c>
      <c r="N425" s="11">
        <f t="shared" si="241"/>
        <v>0</v>
      </c>
      <c r="O425" s="12">
        <f>IF(E425="HERRAJE",IFERROR(_xlfn.XLOOKUP(D425,'⚙️ Configuración Costos'!$A$11:$A$20,'⚙️ Configuración Costos'!$B$11:$B$20),""),IFERROR(_xlfn.XLOOKUP(E425,'⚙️ Configuración Costos'!$A$5:$A$6,'⚙️ Configuración Costos'!$B$5:$B$6),""))</f>
        <v>15</v>
      </c>
      <c r="P425" s="12">
        <f t="shared" si="242"/>
        <v>15</v>
      </c>
      <c r="Q425" s="12">
        <f>IF(E425="HERRAJE",0,IFERROR(_xlfn.XLOOKUP(E425,'⚙️ Configuración Costos'!$E$5:$E$6,'⚙️ Configuración Costos'!$F$5:$F$6),""))</f>
        <v>0</v>
      </c>
      <c r="R425" s="12">
        <f t="shared" si="243"/>
        <v>0</v>
      </c>
      <c r="S425" s="38">
        <f t="shared" si="244"/>
        <v>15</v>
      </c>
      <c r="T425" s="94" t="str">
        <f t="shared" si="245"/>
        <v>OK</v>
      </c>
      <c r="U425" s="95" t="str">
        <f t="shared" si="246"/>
        <v/>
      </c>
      <c r="V425" s="96">
        <f t="shared" si="247"/>
        <v>0</v>
      </c>
    </row>
    <row r="426" spans="1:22" x14ac:dyDescent="0.2">
      <c r="A426" s="35">
        <v>4</v>
      </c>
      <c r="B426" s="6">
        <v>0</v>
      </c>
      <c r="C426" s="6">
        <v>0</v>
      </c>
      <c r="D426" s="7" t="s">
        <v>186</v>
      </c>
      <c r="E426" s="7" t="s">
        <v>91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9" t="s">
        <v>29</v>
      </c>
      <c r="L426" s="47" t="s">
        <v>187</v>
      </c>
      <c r="M426" s="10">
        <f t="shared" si="240"/>
        <v>0</v>
      </c>
      <c r="N426" s="11">
        <f t="shared" si="241"/>
        <v>0</v>
      </c>
      <c r="O426" s="12">
        <f>IF(E426="HERRAJE",IFERROR(_xlfn.XLOOKUP(D426,'⚙️ Configuración Costos'!$A$11:$A$20,'⚙️ Configuración Costos'!$B$11:$B$20),""),IFERROR(_xlfn.XLOOKUP(E426,'⚙️ Configuración Costos'!$A$5:$A$6,'⚙️ Configuración Costos'!$B$5:$B$6),""))</f>
        <v>15</v>
      </c>
      <c r="P426" s="12">
        <f t="shared" si="242"/>
        <v>60</v>
      </c>
      <c r="Q426" s="12">
        <f>IF(E426="HERRAJE",0,IFERROR(_xlfn.XLOOKUP(E426,'⚙️ Configuración Costos'!$E$5:$E$6,'⚙️ Configuración Costos'!$F$5:$F$6),""))</f>
        <v>0</v>
      </c>
      <c r="R426" s="12">
        <f t="shared" si="243"/>
        <v>0</v>
      </c>
      <c r="S426" s="38">
        <f t="shared" si="244"/>
        <v>60</v>
      </c>
      <c r="T426" s="94" t="str">
        <f t="shared" si="245"/>
        <v>OK</v>
      </c>
      <c r="U426" s="95" t="str">
        <f t="shared" si="246"/>
        <v/>
      </c>
      <c r="V426" s="96">
        <f t="shared" si="247"/>
        <v>0</v>
      </c>
    </row>
    <row r="427" spans="1:22" ht="16" thickBot="1" x14ac:dyDescent="0.25">
      <c r="A427" s="36">
        <v>24</v>
      </c>
      <c r="B427" s="20">
        <v>0</v>
      </c>
      <c r="C427" s="20">
        <v>0</v>
      </c>
      <c r="D427" s="21" t="s">
        <v>97</v>
      </c>
      <c r="E427" s="21" t="s">
        <v>91</v>
      </c>
      <c r="F427" s="22">
        <v>0</v>
      </c>
      <c r="G427" s="22">
        <v>0</v>
      </c>
      <c r="H427" s="22">
        <v>0</v>
      </c>
      <c r="I427" s="22">
        <v>0</v>
      </c>
      <c r="J427" s="22">
        <v>0</v>
      </c>
      <c r="K427" s="9" t="s">
        <v>29</v>
      </c>
      <c r="L427" s="48" t="s">
        <v>98</v>
      </c>
      <c r="M427" s="24">
        <f t="shared" si="240"/>
        <v>0</v>
      </c>
      <c r="N427" s="25">
        <f t="shared" si="241"/>
        <v>0</v>
      </c>
      <c r="O427" s="26">
        <f>IF(E427="HERRAJE",IFERROR(_xlfn.XLOOKUP(D427,'⚙️ Configuración Costos'!$A$11:$A$20,'⚙️ Configuración Costos'!$B$11:$B$20),""),IFERROR(_xlfn.XLOOKUP(E427,'⚙️ Configuración Costos'!$A$5:$A$6,'⚙️ Configuración Costos'!$B$5:$B$6),""))</f>
        <v>1.5</v>
      </c>
      <c r="P427" s="26">
        <f t="shared" si="242"/>
        <v>36</v>
      </c>
      <c r="Q427" s="26">
        <f>IF(E427="HERRAJE",0,IFERROR(_xlfn.XLOOKUP(E427,'⚙️ Configuración Costos'!$E$5:$E$6,'⚙️ Configuración Costos'!$F$5:$F$6),""))</f>
        <v>0</v>
      </c>
      <c r="R427" s="26">
        <f t="shared" si="243"/>
        <v>0</v>
      </c>
      <c r="S427" s="39">
        <f t="shared" si="244"/>
        <v>36</v>
      </c>
      <c r="T427" s="94" t="str">
        <f t="shared" si="245"/>
        <v>OK</v>
      </c>
      <c r="U427" s="95" t="str">
        <f t="shared" si="246"/>
        <v/>
      </c>
      <c r="V427" s="96">
        <f t="shared" si="247"/>
        <v>0</v>
      </c>
    </row>
    <row r="428" spans="1:22" x14ac:dyDescent="0.2">
      <c r="A428" s="27" t="s">
        <v>99</v>
      </c>
      <c r="B428" s="27"/>
      <c r="C428" s="27"/>
      <c r="D428" s="28"/>
      <c r="E428" s="28"/>
      <c r="F428" s="29"/>
      <c r="G428" s="29"/>
      <c r="H428" s="29"/>
      <c r="I428" s="29"/>
      <c r="J428" s="29"/>
      <c r="K428" s="30"/>
      <c r="L428" s="49" t="s">
        <v>188</v>
      </c>
      <c r="M428" s="31">
        <f>SUM(M418:M427)</f>
        <v>1.8656720000000002</v>
      </c>
      <c r="N428" s="32">
        <f>SUM(N418:N427)</f>
        <v>13.537999999999998</v>
      </c>
      <c r="O428" s="33"/>
      <c r="P428" s="33">
        <f>SUM(P418:P427)</f>
        <v>638.21374531147546</v>
      </c>
      <c r="Q428" s="33"/>
      <c r="R428" s="33">
        <f>SUM(R418:R427)</f>
        <v>90.419000000000011</v>
      </c>
      <c r="S428" s="33">
        <f>SUM(S418:S427)</f>
        <v>728.63274531147556</v>
      </c>
      <c r="T428" s="97"/>
      <c r="U428" s="98"/>
      <c r="V428" s="99"/>
    </row>
    <row r="429" spans="1:22" x14ac:dyDescent="0.2">
      <c r="A429" s="186" t="s">
        <v>288</v>
      </c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8"/>
      <c r="T429" s="97"/>
      <c r="U429" s="98"/>
      <c r="V429" s="99"/>
    </row>
    <row r="430" spans="1:22" x14ac:dyDescent="0.2">
      <c r="A430" s="35">
        <v>1</v>
      </c>
      <c r="B430" s="6">
        <v>720</v>
      </c>
      <c r="C430" s="6">
        <v>580</v>
      </c>
      <c r="D430" s="7" t="s">
        <v>63</v>
      </c>
      <c r="E430" s="7" t="s">
        <v>64</v>
      </c>
      <c r="F430" s="8">
        <v>0</v>
      </c>
      <c r="G430" s="8">
        <v>1</v>
      </c>
      <c r="H430" s="8">
        <v>1</v>
      </c>
      <c r="I430" s="8">
        <v>1</v>
      </c>
      <c r="J430" s="8">
        <v>1</v>
      </c>
      <c r="K430" s="9" t="s">
        <v>30</v>
      </c>
      <c r="L430" s="47" t="s">
        <v>190</v>
      </c>
      <c r="M430" s="10">
        <f t="shared" ref="M430:M440" si="248">IF(AND(ISNUMBER(B430),ISNUMBER(C430),B430&gt;0,C430&gt;0),A430*(B430*C430/1000000),0)</f>
        <v>0.41760000000000003</v>
      </c>
      <c r="N430" s="11">
        <f t="shared" ref="N430:N440" si="249">IF(AND(ISNUMBER(B430),B430&gt;0),A430*(((G430+H430)*B430+(I430+J430)*C430)/1000),0)</f>
        <v>2.6</v>
      </c>
      <c r="O430" s="12">
        <f>IF(E430="HERRAJE",IFERROR(_xlfn.XLOOKUP(D430,'⚙️ Configuración Costos'!$A$11:$A$20,'⚙️ Configuración Costos'!$B$11:$B$20),""),IFERROR(_xlfn.XLOOKUP(E430,'⚙️ Configuración Costos'!$A$5:$A$6,'⚙️ Configuración Costos'!$B$5:$B$6),""))</f>
        <v>239.8426229508197</v>
      </c>
      <c r="P430" s="12">
        <f t="shared" ref="P430:P440" si="250">IF(E430="HERRAJE",A430*O430,M430*O430)</f>
        <v>100.15827934426231</v>
      </c>
      <c r="Q430" s="12">
        <f>IF(E430="HERRAJE",0,IFERROR(_xlfn.XLOOKUP(E430,'⚙️ Configuración Costos'!$E$5:$E$6,'⚙️ Configuración Costos'!$F$5:$F$6),""))</f>
        <v>6</v>
      </c>
      <c r="R430" s="12">
        <f t="shared" ref="R430:R440" si="251">N430*Q430</f>
        <v>15.600000000000001</v>
      </c>
      <c r="S430" s="38">
        <f t="shared" ref="S430:S440" si="252">P430+R430</f>
        <v>115.75827934426232</v>
      </c>
      <c r="T430" s="94" t="str">
        <f t="shared" ref="T430:T440" si="253">IF(K430="","SIN ID MÓDULO",IF(E430="HERRAJE",IF(OR(O430="",O430&lt;=0),"SIN PRECIO HERRAJE","OK"),IF(OR(O430="",O430&lt;=0),"SIN PRECIO MATERIAL",IF(AND(N430&gt;0,OR(Q430="",Q430&lt;=0)),"SIN PRECIO CINTILLA","OK"))))</f>
        <v>OK</v>
      </c>
      <c r="U430" s="95" t="str">
        <f t="shared" ref="U430:U440" si="254">IF(T430="OK","",IF(T430="SIN PRECIO HERRAJE","Capturar precio: "&amp;D430,IF(T430="SIN PRECIO MATERIAL","Configurar material: "&amp;E430,IF(T430="SIN PRECIO CINTILLA","Configurar cintilla: "&amp;E430,IF(T430="SIN ID MÓDULO","Revisar ID del módulo","")))))</f>
        <v/>
      </c>
      <c r="V430" s="96">
        <f t="shared" ref="V430:V440" si="255">IF(T430="OK",0,IF(T430="",0,1))</f>
        <v>0</v>
      </c>
    </row>
    <row r="431" spans="1:22" x14ac:dyDescent="0.2">
      <c r="A431" s="35">
        <v>1</v>
      </c>
      <c r="B431" s="6">
        <v>720</v>
      </c>
      <c r="C431" s="6">
        <v>580</v>
      </c>
      <c r="D431" s="7" t="s">
        <v>66</v>
      </c>
      <c r="E431" s="7" t="s">
        <v>64</v>
      </c>
      <c r="F431" s="8">
        <v>0</v>
      </c>
      <c r="G431" s="8">
        <v>1</v>
      </c>
      <c r="H431" s="8">
        <v>1</v>
      </c>
      <c r="I431" s="8">
        <v>1</v>
      </c>
      <c r="J431" s="8">
        <v>1</v>
      </c>
      <c r="K431" s="9" t="s">
        <v>30</v>
      </c>
      <c r="L431" s="47" t="s">
        <v>191</v>
      </c>
      <c r="M431" s="10">
        <f t="shared" si="248"/>
        <v>0.41760000000000003</v>
      </c>
      <c r="N431" s="11">
        <f t="shared" si="249"/>
        <v>2.6</v>
      </c>
      <c r="O431" s="12">
        <f>IF(E431="HERRAJE",IFERROR(_xlfn.XLOOKUP(D431,'⚙️ Configuración Costos'!$A$11:$A$20,'⚙️ Configuración Costos'!$B$11:$B$20),""),IFERROR(_xlfn.XLOOKUP(E431,'⚙️ Configuración Costos'!$A$5:$A$6,'⚙️ Configuración Costos'!$B$5:$B$6),""))</f>
        <v>239.8426229508197</v>
      </c>
      <c r="P431" s="12">
        <f t="shared" si="250"/>
        <v>100.15827934426231</v>
      </c>
      <c r="Q431" s="12">
        <f>IF(E431="HERRAJE",0,IFERROR(_xlfn.XLOOKUP(E431,'⚙️ Configuración Costos'!$E$5:$E$6,'⚙️ Configuración Costos'!$F$5:$F$6),""))</f>
        <v>6</v>
      </c>
      <c r="R431" s="12">
        <f t="shared" si="251"/>
        <v>15.600000000000001</v>
      </c>
      <c r="S431" s="38">
        <f t="shared" si="252"/>
        <v>115.75827934426232</v>
      </c>
      <c r="T431" s="94" t="str">
        <f t="shared" si="253"/>
        <v>OK</v>
      </c>
      <c r="U431" s="95" t="str">
        <f t="shared" si="254"/>
        <v/>
      </c>
      <c r="V431" s="96">
        <f t="shared" si="255"/>
        <v>0</v>
      </c>
    </row>
    <row r="432" spans="1:22" x14ac:dyDescent="0.2">
      <c r="A432" s="34">
        <v>1</v>
      </c>
      <c r="B432" s="13">
        <v>669</v>
      </c>
      <c r="C432" s="13">
        <v>580</v>
      </c>
      <c r="D432" s="14" t="s">
        <v>171</v>
      </c>
      <c r="E432" s="14" t="s">
        <v>64</v>
      </c>
      <c r="F432" s="15">
        <v>0</v>
      </c>
      <c r="G432" s="15">
        <v>1</v>
      </c>
      <c r="H432" s="15">
        <v>1</v>
      </c>
      <c r="I432" s="15">
        <v>0</v>
      </c>
      <c r="J432" s="15">
        <v>0</v>
      </c>
      <c r="K432" s="9" t="s">
        <v>30</v>
      </c>
      <c r="L432" s="46" t="s">
        <v>289</v>
      </c>
      <c r="M432" s="17">
        <f t="shared" si="248"/>
        <v>0.38801999999999998</v>
      </c>
      <c r="N432" s="18">
        <f t="shared" si="249"/>
        <v>1.3380000000000001</v>
      </c>
      <c r="O432" s="19">
        <f>IF(E432="HERRAJE",IFERROR(_xlfn.XLOOKUP(D432,'⚙️ Configuración Costos'!$A$11:$A$20,'⚙️ Configuración Costos'!$B$11:$B$20),""),IFERROR(_xlfn.XLOOKUP(E432,'⚙️ Configuración Costos'!$A$5:$A$6,'⚙️ Configuración Costos'!$B$5:$B$6),""))</f>
        <v>239.8426229508197</v>
      </c>
      <c r="P432" s="19">
        <f t="shared" si="250"/>
        <v>93.06373455737706</v>
      </c>
      <c r="Q432" s="19">
        <f>IF(E432="HERRAJE",0,IFERROR(_xlfn.XLOOKUP(E432,'⚙️ Configuración Costos'!$E$5:$E$6,'⚙️ Configuración Costos'!$F$5:$F$6),""))</f>
        <v>6</v>
      </c>
      <c r="R432" s="19">
        <f t="shared" si="251"/>
        <v>8.0280000000000005</v>
      </c>
      <c r="S432" s="37">
        <f t="shared" si="252"/>
        <v>101.09173455737707</v>
      </c>
      <c r="T432" s="94" t="str">
        <f t="shared" si="253"/>
        <v>OK</v>
      </c>
      <c r="U432" s="95" t="str">
        <f t="shared" si="254"/>
        <v/>
      </c>
      <c r="V432" s="96">
        <f t="shared" si="255"/>
        <v>0</v>
      </c>
    </row>
    <row r="433" spans="1:22" x14ac:dyDescent="0.2">
      <c r="A433" s="35">
        <v>2</v>
      </c>
      <c r="B433" s="6">
        <v>669</v>
      </c>
      <c r="C433" s="6">
        <v>120</v>
      </c>
      <c r="D433" s="7" t="s">
        <v>194</v>
      </c>
      <c r="E433" s="7" t="s">
        <v>64</v>
      </c>
      <c r="F433" s="8">
        <v>0</v>
      </c>
      <c r="G433" s="8">
        <v>1</v>
      </c>
      <c r="H433" s="8">
        <v>1</v>
      </c>
      <c r="I433" s="8">
        <v>0</v>
      </c>
      <c r="J433" s="8">
        <v>0</v>
      </c>
      <c r="K433" s="9" t="s">
        <v>30</v>
      </c>
      <c r="L433" s="47" t="s">
        <v>290</v>
      </c>
      <c r="M433" s="10">
        <f t="shared" si="248"/>
        <v>0.16056000000000001</v>
      </c>
      <c r="N433" s="11">
        <f t="shared" si="249"/>
        <v>2.6760000000000002</v>
      </c>
      <c r="O433" s="12">
        <f>IF(E433="HERRAJE",IFERROR(_xlfn.XLOOKUP(D433,'⚙️ Configuración Costos'!$A$11:$A$20,'⚙️ Configuración Costos'!$B$11:$B$20),""),IFERROR(_xlfn.XLOOKUP(E433,'⚙️ Configuración Costos'!$A$5:$A$6,'⚙️ Configuración Costos'!$B$5:$B$6),""))</f>
        <v>239.8426229508197</v>
      </c>
      <c r="P433" s="12">
        <f t="shared" si="250"/>
        <v>38.50913154098361</v>
      </c>
      <c r="Q433" s="12">
        <f>IF(E433="HERRAJE",0,IFERROR(_xlfn.XLOOKUP(E433,'⚙️ Configuración Costos'!$E$5:$E$6,'⚙️ Configuración Costos'!$F$5:$F$6),""))</f>
        <v>6</v>
      </c>
      <c r="R433" s="12">
        <f t="shared" si="251"/>
        <v>16.056000000000001</v>
      </c>
      <c r="S433" s="38">
        <f t="shared" si="252"/>
        <v>54.565131540983614</v>
      </c>
      <c r="T433" s="94" t="str">
        <f t="shared" si="253"/>
        <v>OK</v>
      </c>
      <c r="U433" s="95" t="str">
        <f t="shared" si="254"/>
        <v/>
      </c>
      <c r="V433" s="96">
        <f t="shared" si="255"/>
        <v>0</v>
      </c>
    </row>
    <row r="434" spans="1:22" x14ac:dyDescent="0.2">
      <c r="A434" s="35">
        <v>2</v>
      </c>
      <c r="B434" s="6">
        <v>669</v>
      </c>
      <c r="C434" s="6">
        <v>120</v>
      </c>
      <c r="D434" s="7" t="s">
        <v>240</v>
      </c>
      <c r="E434" s="7" t="s">
        <v>64</v>
      </c>
      <c r="F434" s="8">
        <v>0</v>
      </c>
      <c r="G434" s="8">
        <v>1</v>
      </c>
      <c r="H434" s="8">
        <v>1</v>
      </c>
      <c r="I434" s="8">
        <v>0</v>
      </c>
      <c r="J434" s="8">
        <v>0</v>
      </c>
      <c r="K434" s="9" t="s">
        <v>30</v>
      </c>
      <c r="L434" s="47" t="s">
        <v>291</v>
      </c>
      <c r="M434" s="10">
        <f t="shared" si="248"/>
        <v>0.16056000000000001</v>
      </c>
      <c r="N434" s="11">
        <f t="shared" si="249"/>
        <v>2.6760000000000002</v>
      </c>
      <c r="O434" s="12">
        <f>IF(E434="HERRAJE",IFERROR(_xlfn.XLOOKUP(D434,'⚙️ Configuración Costos'!$A$11:$A$20,'⚙️ Configuración Costos'!$B$11:$B$20),""),IFERROR(_xlfn.XLOOKUP(E434,'⚙️ Configuración Costos'!$A$5:$A$6,'⚙️ Configuración Costos'!$B$5:$B$6),""))</f>
        <v>239.8426229508197</v>
      </c>
      <c r="P434" s="12">
        <f t="shared" si="250"/>
        <v>38.50913154098361</v>
      </c>
      <c r="Q434" s="12">
        <f>IF(E434="HERRAJE",0,IFERROR(_xlfn.XLOOKUP(E434,'⚙️ Configuración Costos'!$E$5:$E$6,'⚙️ Configuración Costos'!$F$5:$F$6),""))</f>
        <v>6</v>
      </c>
      <c r="R434" s="12">
        <f t="shared" si="251"/>
        <v>16.056000000000001</v>
      </c>
      <c r="S434" s="38">
        <f t="shared" si="252"/>
        <v>54.565131540983614</v>
      </c>
      <c r="T434" s="94" t="str">
        <f t="shared" si="253"/>
        <v>OK</v>
      </c>
      <c r="U434" s="95" t="str">
        <f t="shared" si="254"/>
        <v/>
      </c>
      <c r="V434" s="96">
        <f t="shared" si="255"/>
        <v>0</v>
      </c>
    </row>
    <row r="435" spans="1:22" x14ac:dyDescent="0.2">
      <c r="A435" s="35">
        <v>1</v>
      </c>
      <c r="B435" s="6">
        <v>717</v>
      </c>
      <c r="C435" s="6">
        <v>347</v>
      </c>
      <c r="D435" s="7" t="s">
        <v>181</v>
      </c>
      <c r="E435" s="7" t="s">
        <v>85</v>
      </c>
      <c r="F435" s="8">
        <v>1</v>
      </c>
      <c r="G435" s="8">
        <v>1</v>
      </c>
      <c r="H435" s="8">
        <v>1</v>
      </c>
      <c r="I435" s="8">
        <v>1</v>
      </c>
      <c r="J435" s="8">
        <v>1</v>
      </c>
      <c r="K435" s="9" t="s">
        <v>30</v>
      </c>
      <c r="L435" s="47" t="s">
        <v>230</v>
      </c>
      <c r="M435" s="10">
        <f t="shared" si="248"/>
        <v>0.24879899999999999</v>
      </c>
      <c r="N435" s="11">
        <f t="shared" si="249"/>
        <v>2.1280000000000001</v>
      </c>
      <c r="O435" s="12">
        <f>IF(E435="HERRAJE",IFERROR(_xlfn.XLOOKUP(D435,'⚙️ Configuración Costos'!$A$11:$A$20,'⚙️ Configuración Costos'!$B$11:$B$20),""),IFERROR(_xlfn.XLOOKUP(E435,'⚙️ Configuración Costos'!$A$5:$A$6,'⚙️ Configuración Costos'!$B$5:$B$6),""))</f>
        <v>332.85245901639348</v>
      </c>
      <c r="P435" s="12">
        <f t="shared" si="250"/>
        <v>82.813358950819676</v>
      </c>
      <c r="Q435" s="12">
        <f>IF(E435="HERRAJE",0,IFERROR(_xlfn.XLOOKUP(E435,'⚙️ Configuración Costos'!$E$5:$E$6,'⚙️ Configuración Costos'!$F$5:$F$6),""))</f>
        <v>9.5</v>
      </c>
      <c r="R435" s="12">
        <f t="shared" si="251"/>
        <v>20.216000000000001</v>
      </c>
      <c r="S435" s="38">
        <f t="shared" si="252"/>
        <v>103.02935895081967</v>
      </c>
      <c r="T435" s="94" t="str">
        <f t="shared" si="253"/>
        <v>OK</v>
      </c>
      <c r="U435" s="95" t="str">
        <f t="shared" si="254"/>
        <v/>
      </c>
      <c r="V435" s="96">
        <f t="shared" si="255"/>
        <v>0</v>
      </c>
    </row>
    <row r="436" spans="1:22" x14ac:dyDescent="0.2">
      <c r="A436" s="35">
        <v>1</v>
      </c>
      <c r="B436" s="6">
        <v>717</v>
      </c>
      <c r="C436" s="6">
        <v>347</v>
      </c>
      <c r="D436" s="7" t="s">
        <v>223</v>
      </c>
      <c r="E436" s="7" t="s">
        <v>85</v>
      </c>
      <c r="F436" s="8">
        <v>1</v>
      </c>
      <c r="G436" s="8">
        <v>1</v>
      </c>
      <c r="H436" s="8">
        <v>1</v>
      </c>
      <c r="I436" s="8">
        <v>1</v>
      </c>
      <c r="J436" s="8">
        <v>1</v>
      </c>
      <c r="K436" s="9" t="s">
        <v>30</v>
      </c>
      <c r="L436" s="47" t="s">
        <v>231</v>
      </c>
      <c r="M436" s="10">
        <f t="shared" si="248"/>
        <v>0.24879899999999999</v>
      </c>
      <c r="N436" s="11">
        <f t="shared" si="249"/>
        <v>2.1280000000000001</v>
      </c>
      <c r="O436" s="12">
        <f>IF(E436="HERRAJE",IFERROR(_xlfn.XLOOKUP(D436,'⚙️ Configuración Costos'!$A$11:$A$20,'⚙️ Configuración Costos'!$B$11:$B$20),""),IFERROR(_xlfn.XLOOKUP(E436,'⚙️ Configuración Costos'!$A$5:$A$6,'⚙️ Configuración Costos'!$B$5:$B$6),""))</f>
        <v>332.85245901639348</v>
      </c>
      <c r="P436" s="12">
        <f t="shared" si="250"/>
        <v>82.813358950819676</v>
      </c>
      <c r="Q436" s="12">
        <f>IF(E436="HERRAJE",0,IFERROR(_xlfn.XLOOKUP(E436,'⚙️ Configuración Costos'!$E$5:$E$6,'⚙️ Configuración Costos'!$F$5:$F$6),""))</f>
        <v>9.5</v>
      </c>
      <c r="R436" s="12">
        <f t="shared" si="251"/>
        <v>20.216000000000001</v>
      </c>
      <c r="S436" s="38">
        <f t="shared" si="252"/>
        <v>103.02935895081967</v>
      </c>
      <c r="T436" s="94" t="str">
        <f t="shared" si="253"/>
        <v>OK</v>
      </c>
      <c r="U436" s="95" t="str">
        <f t="shared" si="254"/>
        <v/>
      </c>
      <c r="V436" s="96">
        <f t="shared" si="255"/>
        <v>0</v>
      </c>
    </row>
    <row r="437" spans="1:22" x14ac:dyDescent="0.2">
      <c r="A437" s="35">
        <v>4</v>
      </c>
      <c r="B437" s="6">
        <v>0</v>
      </c>
      <c r="C437" s="6">
        <v>0</v>
      </c>
      <c r="D437" s="7" t="s">
        <v>90</v>
      </c>
      <c r="E437" s="7" t="s">
        <v>91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9" t="s">
        <v>30</v>
      </c>
      <c r="L437" s="47" t="s">
        <v>92</v>
      </c>
      <c r="M437" s="10">
        <f t="shared" si="248"/>
        <v>0</v>
      </c>
      <c r="N437" s="11">
        <f t="shared" si="249"/>
        <v>0</v>
      </c>
      <c r="O437" s="12">
        <f>IF(E437="HERRAJE",IFERROR(_xlfn.XLOOKUP(D437,'⚙️ Configuración Costos'!$A$11:$A$20,'⚙️ Configuración Costos'!$B$11:$B$20),""),IFERROR(_xlfn.XLOOKUP(E437,'⚙️ Configuración Costos'!$A$5:$A$6,'⚙️ Configuración Costos'!$B$5:$B$6),""))</f>
        <v>20</v>
      </c>
      <c r="P437" s="12">
        <f t="shared" si="250"/>
        <v>80</v>
      </c>
      <c r="Q437" s="12">
        <f>IF(E437="HERRAJE",0,IFERROR(_xlfn.XLOOKUP(E437,'⚙️ Configuración Costos'!$E$5:$E$6,'⚙️ Configuración Costos'!$F$5:$F$6),""))</f>
        <v>0</v>
      </c>
      <c r="R437" s="12">
        <f t="shared" si="251"/>
        <v>0</v>
      </c>
      <c r="S437" s="38">
        <f t="shared" si="252"/>
        <v>80</v>
      </c>
      <c r="T437" s="94" t="str">
        <f t="shared" si="253"/>
        <v>OK</v>
      </c>
      <c r="U437" s="95" t="str">
        <f t="shared" si="254"/>
        <v/>
      </c>
      <c r="V437" s="96">
        <f t="shared" si="255"/>
        <v>0</v>
      </c>
    </row>
    <row r="438" spans="1:22" x14ac:dyDescent="0.2">
      <c r="A438" s="35">
        <v>2</v>
      </c>
      <c r="B438" s="6">
        <v>0</v>
      </c>
      <c r="C438" s="6">
        <v>0</v>
      </c>
      <c r="D438" s="7" t="s">
        <v>93</v>
      </c>
      <c r="E438" s="7" t="s">
        <v>91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9" t="s">
        <v>30</v>
      </c>
      <c r="L438" s="47" t="s">
        <v>94</v>
      </c>
      <c r="M438" s="10">
        <f t="shared" si="248"/>
        <v>0</v>
      </c>
      <c r="N438" s="11">
        <f t="shared" si="249"/>
        <v>0</v>
      </c>
      <c r="O438" s="12">
        <f>IF(E438="HERRAJE",IFERROR(_xlfn.XLOOKUP(D438,'⚙️ Configuración Costos'!$A$11:$A$20,'⚙️ Configuración Costos'!$B$11:$B$20),""),IFERROR(_xlfn.XLOOKUP(E438,'⚙️ Configuración Costos'!$A$5:$A$6,'⚙️ Configuración Costos'!$B$5:$B$6),""))</f>
        <v>15</v>
      </c>
      <c r="P438" s="12">
        <f t="shared" si="250"/>
        <v>30</v>
      </c>
      <c r="Q438" s="12">
        <f>IF(E438="HERRAJE",0,IFERROR(_xlfn.XLOOKUP(E438,'⚙️ Configuración Costos'!$E$5:$E$6,'⚙️ Configuración Costos'!$F$5:$F$6),""))</f>
        <v>0</v>
      </c>
      <c r="R438" s="12">
        <f t="shared" si="251"/>
        <v>0</v>
      </c>
      <c r="S438" s="38">
        <f t="shared" si="252"/>
        <v>30</v>
      </c>
      <c r="T438" s="94" t="str">
        <f t="shared" si="253"/>
        <v>OK</v>
      </c>
      <c r="U438" s="95" t="str">
        <f t="shared" si="254"/>
        <v/>
      </c>
      <c r="V438" s="96">
        <f t="shared" si="255"/>
        <v>0</v>
      </c>
    </row>
    <row r="439" spans="1:22" x14ac:dyDescent="0.2">
      <c r="A439" s="35">
        <v>4</v>
      </c>
      <c r="B439" s="6">
        <v>0</v>
      </c>
      <c r="C439" s="6">
        <v>0</v>
      </c>
      <c r="D439" s="7" t="s">
        <v>186</v>
      </c>
      <c r="E439" s="7" t="s">
        <v>91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9" t="s">
        <v>30</v>
      </c>
      <c r="L439" s="47" t="s">
        <v>187</v>
      </c>
      <c r="M439" s="10">
        <f t="shared" si="248"/>
        <v>0</v>
      </c>
      <c r="N439" s="11">
        <f t="shared" si="249"/>
        <v>0</v>
      </c>
      <c r="O439" s="12">
        <f>IF(E439="HERRAJE",IFERROR(_xlfn.XLOOKUP(D439,'⚙️ Configuración Costos'!$A$11:$A$20,'⚙️ Configuración Costos'!$B$11:$B$20),""),IFERROR(_xlfn.XLOOKUP(E439,'⚙️ Configuración Costos'!$A$5:$A$6,'⚙️ Configuración Costos'!$B$5:$B$6),""))</f>
        <v>15</v>
      </c>
      <c r="P439" s="12">
        <f t="shared" si="250"/>
        <v>60</v>
      </c>
      <c r="Q439" s="12">
        <f>IF(E439="HERRAJE",0,IFERROR(_xlfn.XLOOKUP(E439,'⚙️ Configuración Costos'!$E$5:$E$6,'⚙️ Configuración Costos'!$F$5:$F$6),""))</f>
        <v>0</v>
      </c>
      <c r="R439" s="12">
        <f t="shared" si="251"/>
        <v>0</v>
      </c>
      <c r="S439" s="38">
        <f t="shared" si="252"/>
        <v>60</v>
      </c>
      <c r="T439" s="94" t="str">
        <f t="shared" si="253"/>
        <v>OK</v>
      </c>
      <c r="U439" s="95" t="str">
        <f t="shared" si="254"/>
        <v/>
      </c>
      <c r="V439" s="96">
        <f t="shared" si="255"/>
        <v>0</v>
      </c>
    </row>
    <row r="440" spans="1:22" ht="16" thickBot="1" x14ac:dyDescent="0.25">
      <c r="A440" s="36">
        <v>40</v>
      </c>
      <c r="B440" s="20">
        <v>0</v>
      </c>
      <c r="C440" s="20">
        <v>0</v>
      </c>
      <c r="D440" s="21" t="s">
        <v>97</v>
      </c>
      <c r="E440" s="21" t="s">
        <v>91</v>
      </c>
      <c r="F440" s="22">
        <v>0</v>
      </c>
      <c r="G440" s="22">
        <v>0</v>
      </c>
      <c r="H440" s="22">
        <v>0</v>
      </c>
      <c r="I440" s="22">
        <v>0</v>
      </c>
      <c r="J440" s="22">
        <v>0</v>
      </c>
      <c r="K440" s="9" t="s">
        <v>30</v>
      </c>
      <c r="L440" s="48" t="s">
        <v>98</v>
      </c>
      <c r="M440" s="24">
        <f t="shared" si="248"/>
        <v>0</v>
      </c>
      <c r="N440" s="25">
        <f t="shared" si="249"/>
        <v>0</v>
      </c>
      <c r="O440" s="26">
        <f>IF(E440="HERRAJE",IFERROR(_xlfn.XLOOKUP(D440,'⚙️ Configuración Costos'!$A$11:$A$20,'⚙️ Configuración Costos'!$B$11:$B$20),""),IFERROR(_xlfn.XLOOKUP(E440,'⚙️ Configuración Costos'!$A$5:$A$6,'⚙️ Configuración Costos'!$B$5:$B$6),""))</f>
        <v>1.5</v>
      </c>
      <c r="P440" s="26">
        <f t="shared" si="250"/>
        <v>60</v>
      </c>
      <c r="Q440" s="26">
        <f>IF(E440="HERRAJE",0,IFERROR(_xlfn.XLOOKUP(E440,'⚙️ Configuración Costos'!$E$5:$E$6,'⚙️ Configuración Costos'!$F$5:$F$6),""))</f>
        <v>0</v>
      </c>
      <c r="R440" s="26">
        <f t="shared" si="251"/>
        <v>0</v>
      </c>
      <c r="S440" s="39">
        <f t="shared" si="252"/>
        <v>60</v>
      </c>
      <c r="T440" s="94" t="str">
        <f t="shared" si="253"/>
        <v>OK</v>
      </c>
      <c r="U440" s="95" t="str">
        <f t="shared" si="254"/>
        <v/>
      </c>
      <c r="V440" s="96">
        <f t="shared" si="255"/>
        <v>0</v>
      </c>
    </row>
    <row r="441" spans="1:22" ht="16" thickTop="1" x14ac:dyDescent="0.2">
      <c r="A441" s="27" t="s">
        <v>99</v>
      </c>
      <c r="B441" s="27"/>
      <c r="C441" s="27"/>
      <c r="D441" s="28"/>
      <c r="E441" s="28"/>
      <c r="F441" s="29"/>
      <c r="G441" s="29"/>
      <c r="H441" s="29"/>
      <c r="I441" s="29"/>
      <c r="J441" s="29"/>
      <c r="K441" s="30"/>
      <c r="L441" s="49" t="s">
        <v>188</v>
      </c>
      <c r="M441" s="31">
        <f>SUM(M430:M440)</f>
        <v>2.041938</v>
      </c>
      <c r="N441" s="32">
        <f>SUM(N430:N440)</f>
        <v>16.146000000000001</v>
      </c>
      <c r="O441" s="33"/>
      <c r="P441" s="33">
        <f>SUM(P430:P440)</f>
        <v>766.02527422950823</v>
      </c>
      <c r="Q441" s="33"/>
      <c r="R441" s="33">
        <f>SUM(R430:R440)</f>
        <v>111.77200000000002</v>
      </c>
      <c r="S441" s="33">
        <f>SUM(S430:S440)</f>
        <v>877.79727422950816</v>
      </c>
      <c r="T441" s="97"/>
      <c r="U441" s="98"/>
      <c r="V441" s="99"/>
    </row>
    <row r="442" spans="1:22" x14ac:dyDescent="0.2">
      <c r="A442" s="186" t="s">
        <v>292</v>
      </c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8"/>
      <c r="T442" s="97"/>
      <c r="U442" s="98"/>
      <c r="V442" s="99"/>
    </row>
    <row r="443" spans="1:22" x14ac:dyDescent="0.2">
      <c r="A443" s="35">
        <v>1</v>
      </c>
      <c r="B443" s="6">
        <v>720</v>
      </c>
      <c r="C443" s="6">
        <v>580</v>
      </c>
      <c r="D443" s="7" t="s">
        <v>63</v>
      </c>
      <c r="E443" s="7" t="s">
        <v>64</v>
      </c>
      <c r="F443" s="8">
        <v>0</v>
      </c>
      <c r="G443" s="8">
        <v>1</v>
      </c>
      <c r="H443" s="8">
        <v>1</v>
      </c>
      <c r="I443" s="8">
        <v>1</v>
      </c>
      <c r="J443" s="8">
        <v>1</v>
      </c>
      <c r="K443" s="9" t="s">
        <v>31</v>
      </c>
      <c r="L443" s="47" t="s">
        <v>190</v>
      </c>
      <c r="M443" s="10">
        <f t="shared" ref="M443:M453" si="256">IF(AND(ISNUMBER(B443),ISNUMBER(C443),B443&gt;0,C443&gt;0),A443*(B443*C443/1000000),0)</f>
        <v>0.41760000000000003</v>
      </c>
      <c r="N443" s="11">
        <f t="shared" ref="N443:N453" si="257">IF(AND(ISNUMBER(B443),B443&gt;0),A443*(((G443+H443)*B443+(I443+J443)*C443)/1000),0)</f>
        <v>2.6</v>
      </c>
      <c r="O443" s="12">
        <f>IF(E443="HERRAJE",IFERROR(_xlfn.XLOOKUP(D443,'⚙️ Configuración Costos'!$A$11:$A$20,'⚙️ Configuración Costos'!$B$11:$B$20),""),IFERROR(_xlfn.XLOOKUP(E443,'⚙️ Configuración Costos'!$A$5:$A$6,'⚙️ Configuración Costos'!$B$5:$B$6),""))</f>
        <v>239.8426229508197</v>
      </c>
      <c r="P443" s="12">
        <f t="shared" ref="P443:P453" si="258">IF(E443="HERRAJE",A443*O443,M443*O443)</f>
        <v>100.15827934426231</v>
      </c>
      <c r="Q443" s="12">
        <f>IF(E443="HERRAJE",0,IFERROR(_xlfn.XLOOKUP(E443,'⚙️ Configuración Costos'!$E$5:$E$6,'⚙️ Configuración Costos'!$F$5:$F$6),""))</f>
        <v>6</v>
      </c>
      <c r="R443" s="12">
        <f t="shared" ref="R443:R453" si="259">N443*Q443</f>
        <v>15.600000000000001</v>
      </c>
      <c r="S443" s="38">
        <f t="shared" ref="S443:S453" si="260">P443+R443</f>
        <v>115.75827934426232</v>
      </c>
      <c r="T443" s="94" t="str">
        <f t="shared" ref="T443:T453" si="261">IF(K443="","SIN ID MÓDULO",IF(E443="HERRAJE",IF(OR(O443="",O443&lt;=0),"SIN PRECIO HERRAJE","OK"),IF(OR(O443="",O443&lt;=0),"SIN PRECIO MATERIAL",IF(AND(N443&gt;0,OR(Q443="",Q443&lt;=0)),"SIN PRECIO CINTILLA","OK"))))</f>
        <v>OK</v>
      </c>
      <c r="U443" s="95" t="str">
        <f t="shared" ref="U443:U453" si="262">IF(T443="OK","",IF(T443="SIN PRECIO HERRAJE","Capturar precio: "&amp;D443,IF(T443="SIN PRECIO MATERIAL","Configurar material: "&amp;E443,IF(T443="SIN PRECIO CINTILLA","Configurar cintilla: "&amp;E443,IF(T443="SIN ID MÓDULO","Revisar ID del módulo","")))))</f>
        <v/>
      </c>
      <c r="V443" s="96">
        <f t="shared" ref="V443:V453" si="263">IF(T443="OK",0,IF(T443="",0,1))</f>
        <v>0</v>
      </c>
    </row>
    <row r="444" spans="1:22" x14ac:dyDescent="0.2">
      <c r="A444" s="35">
        <v>1</v>
      </c>
      <c r="B444" s="6">
        <v>720</v>
      </c>
      <c r="C444" s="6">
        <v>580</v>
      </c>
      <c r="D444" s="7" t="s">
        <v>66</v>
      </c>
      <c r="E444" s="7" t="s">
        <v>64</v>
      </c>
      <c r="F444" s="8">
        <v>0</v>
      </c>
      <c r="G444" s="8">
        <v>1</v>
      </c>
      <c r="H444" s="8">
        <v>1</v>
      </c>
      <c r="I444" s="8">
        <v>1</v>
      </c>
      <c r="J444" s="8">
        <v>1</v>
      </c>
      <c r="K444" s="9" t="s">
        <v>31</v>
      </c>
      <c r="L444" s="47" t="s">
        <v>191</v>
      </c>
      <c r="M444" s="10">
        <f t="shared" si="256"/>
        <v>0.41760000000000003</v>
      </c>
      <c r="N444" s="11">
        <f t="shared" si="257"/>
        <v>2.6</v>
      </c>
      <c r="O444" s="12">
        <f>IF(E444="HERRAJE",IFERROR(_xlfn.XLOOKUP(D444,'⚙️ Configuración Costos'!$A$11:$A$20,'⚙️ Configuración Costos'!$B$11:$B$20),""),IFERROR(_xlfn.XLOOKUP(E444,'⚙️ Configuración Costos'!$A$5:$A$6,'⚙️ Configuración Costos'!$B$5:$B$6),""))</f>
        <v>239.8426229508197</v>
      </c>
      <c r="P444" s="12">
        <f t="shared" si="258"/>
        <v>100.15827934426231</v>
      </c>
      <c r="Q444" s="12">
        <f>IF(E444="HERRAJE",0,IFERROR(_xlfn.XLOOKUP(E444,'⚙️ Configuración Costos'!$E$5:$E$6,'⚙️ Configuración Costos'!$F$5:$F$6),""))</f>
        <v>6</v>
      </c>
      <c r="R444" s="12">
        <f t="shared" si="259"/>
        <v>15.600000000000001</v>
      </c>
      <c r="S444" s="38">
        <f t="shared" si="260"/>
        <v>115.75827934426232</v>
      </c>
      <c r="T444" s="94" t="str">
        <f t="shared" si="261"/>
        <v>OK</v>
      </c>
      <c r="U444" s="95" t="str">
        <f t="shared" si="262"/>
        <v/>
      </c>
      <c r="V444" s="96">
        <f t="shared" si="263"/>
        <v>0</v>
      </c>
    </row>
    <row r="445" spans="1:22" x14ac:dyDescent="0.2">
      <c r="A445" s="34">
        <v>1</v>
      </c>
      <c r="B445" s="13">
        <v>769</v>
      </c>
      <c r="C445" s="13">
        <v>580</v>
      </c>
      <c r="D445" s="14" t="s">
        <v>171</v>
      </c>
      <c r="E445" s="14" t="s">
        <v>64</v>
      </c>
      <c r="F445" s="15">
        <v>0</v>
      </c>
      <c r="G445" s="15">
        <v>1</v>
      </c>
      <c r="H445" s="15">
        <v>1</v>
      </c>
      <c r="I445" s="15">
        <v>0</v>
      </c>
      <c r="J445" s="15">
        <v>0</v>
      </c>
      <c r="K445" s="9" t="s">
        <v>31</v>
      </c>
      <c r="L445" s="46" t="s">
        <v>289</v>
      </c>
      <c r="M445" s="17">
        <f t="shared" si="256"/>
        <v>0.44602000000000003</v>
      </c>
      <c r="N445" s="18">
        <f t="shared" si="257"/>
        <v>1.538</v>
      </c>
      <c r="O445" s="19">
        <f>IF(E445="HERRAJE",IFERROR(_xlfn.XLOOKUP(D445,'⚙️ Configuración Costos'!$A$11:$A$20,'⚙️ Configuración Costos'!$B$11:$B$20),""),IFERROR(_xlfn.XLOOKUP(E445,'⚙️ Configuración Costos'!$A$5:$A$6,'⚙️ Configuración Costos'!$B$5:$B$6),""))</f>
        <v>239.8426229508197</v>
      </c>
      <c r="P445" s="19">
        <f t="shared" si="258"/>
        <v>106.97460668852462</v>
      </c>
      <c r="Q445" s="19">
        <f>IF(E445="HERRAJE",0,IFERROR(_xlfn.XLOOKUP(E445,'⚙️ Configuración Costos'!$E$5:$E$6,'⚙️ Configuración Costos'!$F$5:$F$6),""))</f>
        <v>6</v>
      </c>
      <c r="R445" s="19">
        <f t="shared" si="259"/>
        <v>9.2279999999999998</v>
      </c>
      <c r="S445" s="37">
        <f t="shared" si="260"/>
        <v>116.20260668852461</v>
      </c>
      <c r="T445" s="94" t="str">
        <f t="shared" si="261"/>
        <v>OK</v>
      </c>
      <c r="U445" s="95" t="str">
        <f t="shared" si="262"/>
        <v/>
      </c>
      <c r="V445" s="96">
        <f t="shared" si="263"/>
        <v>0</v>
      </c>
    </row>
    <row r="446" spans="1:22" x14ac:dyDescent="0.2">
      <c r="A446" s="35">
        <v>2</v>
      </c>
      <c r="B446" s="6">
        <v>769</v>
      </c>
      <c r="C446" s="6">
        <v>120</v>
      </c>
      <c r="D446" s="7" t="s">
        <v>194</v>
      </c>
      <c r="E446" s="7" t="s">
        <v>64</v>
      </c>
      <c r="F446" s="8">
        <v>0</v>
      </c>
      <c r="G446" s="8">
        <v>1</v>
      </c>
      <c r="H446" s="8">
        <v>1</v>
      </c>
      <c r="I446" s="8">
        <v>0</v>
      </c>
      <c r="J446" s="8">
        <v>0</v>
      </c>
      <c r="K446" s="9" t="s">
        <v>31</v>
      </c>
      <c r="L446" s="47" t="s">
        <v>290</v>
      </c>
      <c r="M446" s="10">
        <f t="shared" si="256"/>
        <v>0.18456</v>
      </c>
      <c r="N446" s="11">
        <f t="shared" si="257"/>
        <v>3.0760000000000001</v>
      </c>
      <c r="O446" s="12">
        <f>IF(E446="HERRAJE",IFERROR(_xlfn.XLOOKUP(D446,'⚙️ Configuración Costos'!$A$11:$A$20,'⚙️ Configuración Costos'!$B$11:$B$20),""),IFERROR(_xlfn.XLOOKUP(E446,'⚙️ Configuración Costos'!$A$5:$A$6,'⚙️ Configuración Costos'!$B$5:$B$6),""))</f>
        <v>239.8426229508197</v>
      </c>
      <c r="P446" s="12">
        <f t="shared" si="258"/>
        <v>44.265354491803286</v>
      </c>
      <c r="Q446" s="12">
        <f>IF(E446="HERRAJE",0,IFERROR(_xlfn.XLOOKUP(E446,'⚙️ Configuración Costos'!$E$5:$E$6,'⚙️ Configuración Costos'!$F$5:$F$6),""))</f>
        <v>6</v>
      </c>
      <c r="R446" s="12">
        <f t="shared" si="259"/>
        <v>18.456</v>
      </c>
      <c r="S446" s="38">
        <f t="shared" si="260"/>
        <v>62.721354491803282</v>
      </c>
      <c r="T446" s="94" t="str">
        <f t="shared" si="261"/>
        <v>OK</v>
      </c>
      <c r="U446" s="95" t="str">
        <f t="shared" si="262"/>
        <v/>
      </c>
      <c r="V446" s="96">
        <f t="shared" si="263"/>
        <v>0</v>
      </c>
    </row>
    <row r="447" spans="1:22" x14ac:dyDescent="0.2">
      <c r="A447" s="35">
        <v>2</v>
      </c>
      <c r="B447" s="6">
        <v>769</v>
      </c>
      <c r="C447" s="6">
        <v>120</v>
      </c>
      <c r="D447" s="7" t="s">
        <v>240</v>
      </c>
      <c r="E447" s="7" t="s">
        <v>64</v>
      </c>
      <c r="F447" s="8">
        <v>0</v>
      </c>
      <c r="G447" s="8">
        <v>1</v>
      </c>
      <c r="H447" s="8">
        <v>1</v>
      </c>
      <c r="I447" s="8">
        <v>0</v>
      </c>
      <c r="J447" s="8">
        <v>0</v>
      </c>
      <c r="K447" s="9" t="s">
        <v>31</v>
      </c>
      <c r="L447" s="47" t="s">
        <v>291</v>
      </c>
      <c r="M447" s="10">
        <f t="shared" si="256"/>
        <v>0.18456</v>
      </c>
      <c r="N447" s="11">
        <f t="shared" si="257"/>
        <v>3.0760000000000001</v>
      </c>
      <c r="O447" s="12">
        <f>IF(E447="HERRAJE",IFERROR(_xlfn.XLOOKUP(D447,'⚙️ Configuración Costos'!$A$11:$A$20,'⚙️ Configuración Costos'!$B$11:$B$20),""),IFERROR(_xlfn.XLOOKUP(E447,'⚙️ Configuración Costos'!$A$5:$A$6,'⚙️ Configuración Costos'!$B$5:$B$6),""))</f>
        <v>239.8426229508197</v>
      </c>
      <c r="P447" s="12">
        <f t="shared" si="258"/>
        <v>44.265354491803286</v>
      </c>
      <c r="Q447" s="12">
        <f>IF(E447="HERRAJE",0,IFERROR(_xlfn.XLOOKUP(E447,'⚙️ Configuración Costos'!$E$5:$E$6,'⚙️ Configuración Costos'!$F$5:$F$6),""))</f>
        <v>6</v>
      </c>
      <c r="R447" s="12">
        <f t="shared" si="259"/>
        <v>18.456</v>
      </c>
      <c r="S447" s="38">
        <f t="shared" si="260"/>
        <v>62.721354491803282</v>
      </c>
      <c r="T447" s="94" t="str">
        <f t="shared" si="261"/>
        <v>OK</v>
      </c>
      <c r="U447" s="95" t="str">
        <f t="shared" si="262"/>
        <v/>
      </c>
      <c r="V447" s="96">
        <f t="shared" si="263"/>
        <v>0</v>
      </c>
    </row>
    <row r="448" spans="1:22" x14ac:dyDescent="0.2">
      <c r="A448" s="35">
        <v>1</v>
      </c>
      <c r="B448" s="6">
        <v>717</v>
      </c>
      <c r="C448" s="6">
        <v>397</v>
      </c>
      <c r="D448" s="7" t="s">
        <v>181</v>
      </c>
      <c r="E448" s="7" t="s">
        <v>85</v>
      </c>
      <c r="F448" s="8">
        <v>1</v>
      </c>
      <c r="G448" s="8">
        <v>1</v>
      </c>
      <c r="H448" s="8">
        <v>1</v>
      </c>
      <c r="I448" s="8">
        <v>1</v>
      </c>
      <c r="J448" s="8">
        <v>1</v>
      </c>
      <c r="K448" s="9" t="s">
        <v>31</v>
      </c>
      <c r="L448" s="47" t="s">
        <v>230</v>
      </c>
      <c r="M448" s="10">
        <f t="shared" si="256"/>
        <v>0.28464899999999999</v>
      </c>
      <c r="N448" s="11">
        <f t="shared" si="257"/>
        <v>2.2280000000000002</v>
      </c>
      <c r="O448" s="12">
        <f>IF(E448="HERRAJE",IFERROR(_xlfn.XLOOKUP(D448,'⚙️ Configuración Costos'!$A$11:$A$20,'⚙️ Configuración Costos'!$B$11:$B$20),""),IFERROR(_xlfn.XLOOKUP(E448,'⚙️ Configuración Costos'!$A$5:$A$6,'⚙️ Configuración Costos'!$B$5:$B$6),""))</f>
        <v>332.85245901639348</v>
      </c>
      <c r="P448" s="12">
        <f t="shared" si="258"/>
        <v>94.746119606557386</v>
      </c>
      <c r="Q448" s="12">
        <f>IF(E448="HERRAJE",0,IFERROR(_xlfn.XLOOKUP(E448,'⚙️ Configuración Costos'!$E$5:$E$6,'⚙️ Configuración Costos'!$F$5:$F$6),""))</f>
        <v>9.5</v>
      </c>
      <c r="R448" s="12">
        <f t="shared" si="259"/>
        <v>21.166</v>
      </c>
      <c r="S448" s="38">
        <f t="shared" si="260"/>
        <v>115.91211960655738</v>
      </c>
      <c r="T448" s="94" t="str">
        <f t="shared" si="261"/>
        <v>OK</v>
      </c>
      <c r="U448" s="95" t="str">
        <f t="shared" si="262"/>
        <v/>
      </c>
      <c r="V448" s="96">
        <f t="shared" si="263"/>
        <v>0</v>
      </c>
    </row>
    <row r="449" spans="1:22" x14ac:dyDescent="0.2">
      <c r="A449" s="35">
        <v>1</v>
      </c>
      <c r="B449" s="6">
        <v>717</v>
      </c>
      <c r="C449" s="6">
        <v>397</v>
      </c>
      <c r="D449" s="7" t="s">
        <v>223</v>
      </c>
      <c r="E449" s="7" t="s">
        <v>85</v>
      </c>
      <c r="F449" s="8">
        <v>1</v>
      </c>
      <c r="G449" s="8">
        <v>1</v>
      </c>
      <c r="H449" s="8">
        <v>1</v>
      </c>
      <c r="I449" s="8">
        <v>1</v>
      </c>
      <c r="J449" s="8">
        <v>1</v>
      </c>
      <c r="K449" s="9" t="s">
        <v>31</v>
      </c>
      <c r="L449" s="47" t="s">
        <v>231</v>
      </c>
      <c r="M449" s="10">
        <f t="shared" si="256"/>
        <v>0.28464899999999999</v>
      </c>
      <c r="N449" s="11">
        <f t="shared" si="257"/>
        <v>2.2280000000000002</v>
      </c>
      <c r="O449" s="12">
        <f>IF(E449="HERRAJE",IFERROR(_xlfn.XLOOKUP(D449,'⚙️ Configuración Costos'!$A$11:$A$20,'⚙️ Configuración Costos'!$B$11:$B$20),""),IFERROR(_xlfn.XLOOKUP(E449,'⚙️ Configuración Costos'!$A$5:$A$6,'⚙️ Configuración Costos'!$B$5:$B$6),""))</f>
        <v>332.85245901639348</v>
      </c>
      <c r="P449" s="12">
        <f t="shared" si="258"/>
        <v>94.746119606557386</v>
      </c>
      <c r="Q449" s="12">
        <f>IF(E449="HERRAJE",0,IFERROR(_xlfn.XLOOKUP(E449,'⚙️ Configuración Costos'!$E$5:$E$6,'⚙️ Configuración Costos'!$F$5:$F$6),""))</f>
        <v>9.5</v>
      </c>
      <c r="R449" s="12">
        <f t="shared" si="259"/>
        <v>21.166</v>
      </c>
      <c r="S449" s="38">
        <f t="shared" si="260"/>
        <v>115.91211960655738</v>
      </c>
      <c r="T449" s="94" t="str">
        <f t="shared" si="261"/>
        <v>OK</v>
      </c>
      <c r="U449" s="95" t="str">
        <f t="shared" si="262"/>
        <v/>
      </c>
      <c r="V449" s="96">
        <f t="shared" si="263"/>
        <v>0</v>
      </c>
    </row>
    <row r="450" spans="1:22" x14ac:dyDescent="0.2">
      <c r="A450" s="35">
        <v>4</v>
      </c>
      <c r="B450" s="6">
        <v>0</v>
      </c>
      <c r="C450" s="6">
        <v>0</v>
      </c>
      <c r="D450" s="7" t="s">
        <v>90</v>
      </c>
      <c r="E450" s="7" t="s">
        <v>91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9" t="s">
        <v>31</v>
      </c>
      <c r="L450" s="47" t="s">
        <v>92</v>
      </c>
      <c r="M450" s="10">
        <f t="shared" si="256"/>
        <v>0</v>
      </c>
      <c r="N450" s="11">
        <f t="shared" si="257"/>
        <v>0</v>
      </c>
      <c r="O450" s="12">
        <f>IF(E450="HERRAJE",IFERROR(_xlfn.XLOOKUP(D450,'⚙️ Configuración Costos'!$A$11:$A$20,'⚙️ Configuración Costos'!$B$11:$B$20),""),IFERROR(_xlfn.XLOOKUP(E450,'⚙️ Configuración Costos'!$A$5:$A$6,'⚙️ Configuración Costos'!$B$5:$B$6),""))</f>
        <v>20</v>
      </c>
      <c r="P450" s="12">
        <f t="shared" si="258"/>
        <v>80</v>
      </c>
      <c r="Q450" s="12">
        <f>IF(E450="HERRAJE",0,IFERROR(_xlfn.XLOOKUP(E450,'⚙️ Configuración Costos'!$E$5:$E$6,'⚙️ Configuración Costos'!$F$5:$F$6),""))</f>
        <v>0</v>
      </c>
      <c r="R450" s="12">
        <f t="shared" si="259"/>
        <v>0</v>
      </c>
      <c r="S450" s="38">
        <f t="shared" si="260"/>
        <v>80</v>
      </c>
      <c r="T450" s="94" t="str">
        <f t="shared" si="261"/>
        <v>OK</v>
      </c>
      <c r="U450" s="95" t="str">
        <f t="shared" si="262"/>
        <v/>
      </c>
      <c r="V450" s="96">
        <f t="shared" si="263"/>
        <v>0</v>
      </c>
    </row>
    <row r="451" spans="1:22" x14ac:dyDescent="0.2">
      <c r="A451" s="35">
        <v>2</v>
      </c>
      <c r="B451" s="6">
        <v>0</v>
      </c>
      <c r="C451" s="6">
        <v>0</v>
      </c>
      <c r="D451" s="7" t="s">
        <v>93</v>
      </c>
      <c r="E451" s="7" t="s">
        <v>91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9" t="s">
        <v>31</v>
      </c>
      <c r="L451" s="47" t="s">
        <v>94</v>
      </c>
      <c r="M451" s="10">
        <f t="shared" si="256"/>
        <v>0</v>
      </c>
      <c r="N451" s="11">
        <f t="shared" si="257"/>
        <v>0</v>
      </c>
      <c r="O451" s="12">
        <f>IF(E451="HERRAJE",IFERROR(_xlfn.XLOOKUP(D451,'⚙️ Configuración Costos'!$A$11:$A$20,'⚙️ Configuración Costos'!$B$11:$B$20),""),IFERROR(_xlfn.XLOOKUP(E451,'⚙️ Configuración Costos'!$A$5:$A$6,'⚙️ Configuración Costos'!$B$5:$B$6),""))</f>
        <v>15</v>
      </c>
      <c r="P451" s="12">
        <f t="shared" si="258"/>
        <v>30</v>
      </c>
      <c r="Q451" s="12">
        <f>IF(E451="HERRAJE",0,IFERROR(_xlfn.XLOOKUP(E451,'⚙️ Configuración Costos'!$E$5:$E$6,'⚙️ Configuración Costos'!$F$5:$F$6),""))</f>
        <v>0</v>
      </c>
      <c r="R451" s="12">
        <f t="shared" si="259"/>
        <v>0</v>
      </c>
      <c r="S451" s="38">
        <f t="shared" si="260"/>
        <v>30</v>
      </c>
      <c r="T451" s="94" t="str">
        <f t="shared" si="261"/>
        <v>OK</v>
      </c>
      <c r="U451" s="95" t="str">
        <f t="shared" si="262"/>
        <v/>
      </c>
      <c r="V451" s="96">
        <f t="shared" si="263"/>
        <v>0</v>
      </c>
    </row>
    <row r="452" spans="1:22" x14ac:dyDescent="0.2">
      <c r="A452" s="35">
        <v>4</v>
      </c>
      <c r="B452" s="6">
        <v>0</v>
      </c>
      <c r="C452" s="6">
        <v>0</v>
      </c>
      <c r="D452" s="7" t="s">
        <v>186</v>
      </c>
      <c r="E452" s="7" t="s">
        <v>91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9" t="s">
        <v>31</v>
      </c>
      <c r="L452" s="47" t="s">
        <v>187</v>
      </c>
      <c r="M452" s="10">
        <f t="shared" si="256"/>
        <v>0</v>
      </c>
      <c r="N452" s="11">
        <f t="shared" si="257"/>
        <v>0</v>
      </c>
      <c r="O452" s="12">
        <f>IF(E452="HERRAJE",IFERROR(_xlfn.XLOOKUP(D452,'⚙️ Configuración Costos'!$A$11:$A$20,'⚙️ Configuración Costos'!$B$11:$B$20),""),IFERROR(_xlfn.XLOOKUP(E452,'⚙️ Configuración Costos'!$A$5:$A$6,'⚙️ Configuración Costos'!$B$5:$B$6),""))</f>
        <v>15</v>
      </c>
      <c r="P452" s="12">
        <f t="shared" si="258"/>
        <v>60</v>
      </c>
      <c r="Q452" s="12">
        <f>IF(E452="HERRAJE",0,IFERROR(_xlfn.XLOOKUP(E452,'⚙️ Configuración Costos'!$E$5:$E$6,'⚙️ Configuración Costos'!$F$5:$F$6),""))</f>
        <v>0</v>
      </c>
      <c r="R452" s="12">
        <f t="shared" si="259"/>
        <v>0</v>
      </c>
      <c r="S452" s="38">
        <f t="shared" si="260"/>
        <v>60</v>
      </c>
      <c r="T452" s="94" t="str">
        <f t="shared" si="261"/>
        <v>OK</v>
      </c>
      <c r="U452" s="95" t="str">
        <f t="shared" si="262"/>
        <v/>
      </c>
      <c r="V452" s="96">
        <f t="shared" si="263"/>
        <v>0</v>
      </c>
    </row>
    <row r="453" spans="1:22" ht="16" thickBot="1" x14ac:dyDescent="0.25">
      <c r="A453" s="36">
        <v>40</v>
      </c>
      <c r="B453" s="20">
        <v>0</v>
      </c>
      <c r="C453" s="20">
        <v>0</v>
      </c>
      <c r="D453" s="21" t="s">
        <v>97</v>
      </c>
      <c r="E453" s="21" t="s">
        <v>91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9" t="s">
        <v>31</v>
      </c>
      <c r="L453" s="48" t="s">
        <v>98</v>
      </c>
      <c r="M453" s="24">
        <f t="shared" si="256"/>
        <v>0</v>
      </c>
      <c r="N453" s="25">
        <f t="shared" si="257"/>
        <v>0</v>
      </c>
      <c r="O453" s="26">
        <f>IF(E453="HERRAJE",IFERROR(_xlfn.XLOOKUP(D453,'⚙️ Configuración Costos'!$A$11:$A$20,'⚙️ Configuración Costos'!$B$11:$B$20),""),IFERROR(_xlfn.XLOOKUP(E453,'⚙️ Configuración Costos'!$A$5:$A$6,'⚙️ Configuración Costos'!$B$5:$B$6),""))</f>
        <v>1.5</v>
      </c>
      <c r="P453" s="26">
        <f t="shared" si="258"/>
        <v>60</v>
      </c>
      <c r="Q453" s="26">
        <f>IF(E453="HERRAJE",0,IFERROR(_xlfn.XLOOKUP(E453,'⚙️ Configuración Costos'!$E$5:$E$6,'⚙️ Configuración Costos'!$F$5:$F$6),""))</f>
        <v>0</v>
      </c>
      <c r="R453" s="26">
        <f t="shared" si="259"/>
        <v>0</v>
      </c>
      <c r="S453" s="39">
        <f t="shared" si="260"/>
        <v>60</v>
      </c>
      <c r="T453" s="94" t="str">
        <f t="shared" si="261"/>
        <v>OK</v>
      </c>
      <c r="U453" s="95" t="str">
        <f t="shared" si="262"/>
        <v/>
      </c>
      <c r="V453" s="96">
        <f t="shared" si="263"/>
        <v>0</v>
      </c>
    </row>
    <row r="454" spans="1:22" ht="16" thickTop="1" x14ac:dyDescent="0.2">
      <c r="A454" s="27" t="s">
        <v>99</v>
      </c>
      <c r="B454" s="27"/>
      <c r="C454" s="27"/>
      <c r="D454" s="28"/>
      <c r="E454" s="28"/>
      <c r="F454" s="29"/>
      <c r="G454" s="29"/>
      <c r="H454" s="29"/>
      <c r="I454" s="29"/>
      <c r="J454" s="29"/>
      <c r="K454" s="30"/>
      <c r="L454" s="49" t="s">
        <v>188</v>
      </c>
      <c r="M454" s="31">
        <f>SUM(M443:M453)</f>
        <v>2.2196380000000002</v>
      </c>
      <c r="N454" s="32">
        <f>SUM(N443:N453)</f>
        <v>17.346</v>
      </c>
      <c r="O454" s="33"/>
      <c r="P454" s="33">
        <f>SUM(P443:P453)</f>
        <v>815.31411357377056</v>
      </c>
      <c r="Q454" s="33"/>
      <c r="R454" s="33">
        <f>SUM(R443:R453)</f>
        <v>119.672</v>
      </c>
      <c r="S454" s="33">
        <f>SUM(S443:S453)</f>
        <v>934.98611357377058</v>
      </c>
      <c r="T454" s="97"/>
      <c r="U454" s="98"/>
      <c r="V454" s="99"/>
    </row>
    <row r="455" spans="1:22" x14ac:dyDescent="0.2">
      <c r="A455" s="186" t="s">
        <v>293</v>
      </c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8"/>
      <c r="T455" s="97"/>
      <c r="U455" s="98"/>
      <c r="V455" s="99"/>
    </row>
    <row r="456" spans="1:22" x14ac:dyDescent="0.2">
      <c r="A456" s="35">
        <v>1</v>
      </c>
      <c r="B456" s="6">
        <v>720</v>
      </c>
      <c r="C456" s="6">
        <v>580</v>
      </c>
      <c r="D456" s="7" t="s">
        <v>63</v>
      </c>
      <c r="E456" s="7" t="s">
        <v>64</v>
      </c>
      <c r="F456" s="8">
        <v>0</v>
      </c>
      <c r="G456" s="8">
        <v>1</v>
      </c>
      <c r="H456" s="8">
        <v>1</v>
      </c>
      <c r="I456" s="8">
        <v>1</v>
      </c>
      <c r="J456" s="8">
        <v>1</v>
      </c>
      <c r="K456" s="9" t="s">
        <v>32</v>
      </c>
      <c r="L456" s="47" t="s">
        <v>190</v>
      </c>
      <c r="M456" s="10">
        <f t="shared" ref="M456:M466" si="264">IF(AND(ISNUMBER(B456),ISNUMBER(C456),B456&gt;0,C456&gt;0),A456*(B456*C456/1000000),0)</f>
        <v>0.41760000000000003</v>
      </c>
      <c r="N456" s="11">
        <f t="shared" ref="N456:N466" si="265">IF(AND(ISNUMBER(B456),B456&gt;0),A456*(((G456+H456)*B456+(I456+J456)*C456)/1000),0)</f>
        <v>2.6</v>
      </c>
      <c r="O456" s="12">
        <f>IF(E456="HERRAJE",IFERROR(_xlfn.XLOOKUP(D456,'⚙️ Configuración Costos'!$A$11:$A$20,'⚙️ Configuración Costos'!$B$11:$B$20),""),IFERROR(_xlfn.XLOOKUP(E456,'⚙️ Configuración Costos'!$A$5:$A$6,'⚙️ Configuración Costos'!$B$5:$B$6),""))</f>
        <v>239.8426229508197</v>
      </c>
      <c r="P456" s="12">
        <f t="shared" ref="P456:P466" si="266">IF(E456="HERRAJE",A456*O456,M456*O456)</f>
        <v>100.15827934426231</v>
      </c>
      <c r="Q456" s="12">
        <f>IF(E456="HERRAJE",0,IFERROR(_xlfn.XLOOKUP(E456,'⚙️ Configuración Costos'!$E$5:$E$6,'⚙️ Configuración Costos'!$F$5:$F$6),""))</f>
        <v>6</v>
      </c>
      <c r="R456" s="12">
        <f t="shared" ref="R456:R466" si="267">N456*Q456</f>
        <v>15.600000000000001</v>
      </c>
      <c r="S456" s="38">
        <f t="shared" ref="S456:S466" si="268">P456+R456</f>
        <v>115.75827934426232</v>
      </c>
      <c r="T456" s="94" t="str">
        <f t="shared" ref="T456:T466" si="269">IF(K456="","SIN ID MÓDULO",IF(E456="HERRAJE",IF(OR(O456="",O456&lt;=0),"SIN PRECIO HERRAJE","OK"),IF(OR(O456="",O456&lt;=0),"SIN PRECIO MATERIAL",IF(AND(N456&gt;0,OR(Q456="",Q456&lt;=0)),"SIN PRECIO CINTILLA","OK"))))</f>
        <v>OK</v>
      </c>
      <c r="U456" s="95" t="str">
        <f t="shared" ref="U456:U466" si="270">IF(T456="OK","",IF(T456="SIN PRECIO HERRAJE","Capturar precio: "&amp;D456,IF(T456="SIN PRECIO MATERIAL","Configurar material: "&amp;E456,IF(T456="SIN PRECIO CINTILLA","Configurar cintilla: "&amp;E456,IF(T456="SIN ID MÓDULO","Revisar ID del módulo","")))))</f>
        <v/>
      </c>
      <c r="V456" s="96">
        <f t="shared" ref="V456:V466" si="271">IF(T456="OK",0,IF(T456="",0,1))</f>
        <v>0</v>
      </c>
    </row>
    <row r="457" spans="1:22" x14ac:dyDescent="0.2">
      <c r="A457" s="35">
        <v>1</v>
      </c>
      <c r="B457" s="6">
        <v>720</v>
      </c>
      <c r="C457" s="6">
        <v>580</v>
      </c>
      <c r="D457" s="7" t="s">
        <v>66</v>
      </c>
      <c r="E457" s="7" t="s">
        <v>64</v>
      </c>
      <c r="F457" s="8">
        <v>0</v>
      </c>
      <c r="G457" s="8">
        <v>1</v>
      </c>
      <c r="H457" s="8">
        <v>1</v>
      </c>
      <c r="I457" s="8">
        <v>1</v>
      </c>
      <c r="J457" s="8">
        <v>1</v>
      </c>
      <c r="K457" s="9" t="s">
        <v>32</v>
      </c>
      <c r="L457" s="47" t="s">
        <v>191</v>
      </c>
      <c r="M457" s="10">
        <f t="shared" si="264"/>
        <v>0.41760000000000003</v>
      </c>
      <c r="N457" s="11">
        <f t="shared" si="265"/>
        <v>2.6</v>
      </c>
      <c r="O457" s="12">
        <f>IF(E457="HERRAJE",IFERROR(_xlfn.XLOOKUP(D457,'⚙️ Configuración Costos'!$A$11:$A$20,'⚙️ Configuración Costos'!$B$11:$B$20),""),IFERROR(_xlfn.XLOOKUP(E457,'⚙️ Configuración Costos'!$A$5:$A$6,'⚙️ Configuración Costos'!$B$5:$B$6),""))</f>
        <v>239.8426229508197</v>
      </c>
      <c r="P457" s="12">
        <f t="shared" si="266"/>
        <v>100.15827934426231</v>
      </c>
      <c r="Q457" s="12">
        <f>IF(E457="HERRAJE",0,IFERROR(_xlfn.XLOOKUP(E457,'⚙️ Configuración Costos'!$E$5:$E$6,'⚙️ Configuración Costos'!$F$5:$F$6),""))</f>
        <v>6</v>
      </c>
      <c r="R457" s="12">
        <f t="shared" si="267"/>
        <v>15.600000000000001</v>
      </c>
      <c r="S457" s="38">
        <f t="shared" si="268"/>
        <v>115.75827934426232</v>
      </c>
      <c r="T457" s="94" t="str">
        <f t="shared" si="269"/>
        <v>OK</v>
      </c>
      <c r="U457" s="95" t="str">
        <f t="shared" si="270"/>
        <v/>
      </c>
      <c r="V457" s="96">
        <f t="shared" si="271"/>
        <v>0</v>
      </c>
    </row>
    <row r="458" spans="1:22" x14ac:dyDescent="0.2">
      <c r="A458" s="34">
        <v>1</v>
      </c>
      <c r="B458" s="13">
        <v>869</v>
      </c>
      <c r="C458" s="13">
        <v>580</v>
      </c>
      <c r="D458" s="14" t="s">
        <v>171</v>
      </c>
      <c r="E458" s="14" t="s">
        <v>64</v>
      </c>
      <c r="F458" s="15">
        <v>0</v>
      </c>
      <c r="G458" s="15">
        <v>1</v>
      </c>
      <c r="H458" s="15">
        <v>1</v>
      </c>
      <c r="I458" s="15">
        <v>0</v>
      </c>
      <c r="J458" s="15">
        <v>0</v>
      </c>
      <c r="K458" s="9" t="s">
        <v>32</v>
      </c>
      <c r="L458" s="46" t="s">
        <v>234</v>
      </c>
      <c r="M458" s="17">
        <f t="shared" si="264"/>
        <v>0.50402000000000002</v>
      </c>
      <c r="N458" s="18">
        <f t="shared" si="265"/>
        <v>1.738</v>
      </c>
      <c r="O458" s="19">
        <f>IF(E458="HERRAJE",IFERROR(_xlfn.XLOOKUP(D458,'⚙️ Configuración Costos'!$A$11:$A$20,'⚙️ Configuración Costos'!$B$11:$B$20),""),IFERROR(_xlfn.XLOOKUP(E458,'⚙️ Configuración Costos'!$A$5:$A$6,'⚙️ Configuración Costos'!$B$5:$B$6),""))</f>
        <v>239.8426229508197</v>
      </c>
      <c r="P458" s="19">
        <f t="shared" si="266"/>
        <v>120.88547881967216</v>
      </c>
      <c r="Q458" s="19">
        <f>IF(E458="HERRAJE",0,IFERROR(_xlfn.XLOOKUP(E458,'⚙️ Configuración Costos'!$E$5:$E$6,'⚙️ Configuración Costos'!$F$5:$F$6),""))</f>
        <v>6</v>
      </c>
      <c r="R458" s="19">
        <f t="shared" si="267"/>
        <v>10.428000000000001</v>
      </c>
      <c r="S458" s="37">
        <f t="shared" si="268"/>
        <v>131.31347881967216</v>
      </c>
      <c r="T458" s="94" t="str">
        <f t="shared" si="269"/>
        <v>OK</v>
      </c>
      <c r="U458" s="95" t="str">
        <f t="shared" si="270"/>
        <v/>
      </c>
      <c r="V458" s="96">
        <f t="shared" si="271"/>
        <v>0</v>
      </c>
    </row>
    <row r="459" spans="1:22" x14ac:dyDescent="0.2">
      <c r="A459" s="35">
        <v>2</v>
      </c>
      <c r="B459" s="6">
        <v>869</v>
      </c>
      <c r="C459" s="6">
        <v>120</v>
      </c>
      <c r="D459" s="7" t="s">
        <v>240</v>
      </c>
      <c r="E459" s="7" t="s">
        <v>64</v>
      </c>
      <c r="F459" s="8">
        <v>0</v>
      </c>
      <c r="G459" s="8">
        <v>1</v>
      </c>
      <c r="H459" s="8">
        <v>1</v>
      </c>
      <c r="I459" s="8">
        <v>0</v>
      </c>
      <c r="J459" s="8">
        <v>0</v>
      </c>
      <c r="K459" s="9" t="s">
        <v>32</v>
      </c>
      <c r="L459" s="47" t="s">
        <v>294</v>
      </c>
      <c r="M459" s="10">
        <f t="shared" si="264"/>
        <v>0.20856</v>
      </c>
      <c r="N459" s="11">
        <f t="shared" si="265"/>
        <v>3.476</v>
      </c>
      <c r="O459" s="12">
        <f>IF(E459="HERRAJE",IFERROR(_xlfn.XLOOKUP(D459,'⚙️ Configuración Costos'!$A$11:$A$20,'⚙️ Configuración Costos'!$B$11:$B$20),""),IFERROR(_xlfn.XLOOKUP(E459,'⚙️ Configuración Costos'!$A$5:$A$6,'⚙️ Configuración Costos'!$B$5:$B$6),""))</f>
        <v>239.8426229508197</v>
      </c>
      <c r="P459" s="12">
        <f t="shared" si="266"/>
        <v>50.021577442622956</v>
      </c>
      <c r="Q459" s="12">
        <f>IF(E459="HERRAJE",0,IFERROR(_xlfn.XLOOKUP(E459,'⚙️ Configuración Costos'!$E$5:$E$6,'⚙️ Configuración Costos'!$F$5:$F$6),""))</f>
        <v>6</v>
      </c>
      <c r="R459" s="12">
        <f t="shared" si="267"/>
        <v>20.856000000000002</v>
      </c>
      <c r="S459" s="38">
        <f t="shared" si="268"/>
        <v>70.877577442622965</v>
      </c>
      <c r="T459" s="94" t="str">
        <f t="shared" si="269"/>
        <v>OK</v>
      </c>
      <c r="U459" s="95" t="str">
        <f t="shared" si="270"/>
        <v/>
      </c>
      <c r="V459" s="96">
        <f t="shared" si="271"/>
        <v>0</v>
      </c>
    </row>
    <row r="460" spans="1:22" x14ac:dyDescent="0.2">
      <c r="A460" s="35">
        <v>2</v>
      </c>
      <c r="B460" s="6">
        <v>869</v>
      </c>
      <c r="C460" s="6">
        <v>120</v>
      </c>
      <c r="D460" s="7" t="s">
        <v>194</v>
      </c>
      <c r="E460" s="7" t="s">
        <v>64</v>
      </c>
      <c r="F460" s="8">
        <v>0</v>
      </c>
      <c r="G460" s="8">
        <v>1</v>
      </c>
      <c r="H460" s="8">
        <v>1</v>
      </c>
      <c r="I460" s="8">
        <v>0</v>
      </c>
      <c r="J460" s="8">
        <v>0</v>
      </c>
      <c r="K460" s="9" t="s">
        <v>32</v>
      </c>
      <c r="L460" s="47" t="s">
        <v>235</v>
      </c>
      <c r="M460" s="10">
        <f t="shared" si="264"/>
        <v>0.20856</v>
      </c>
      <c r="N460" s="11">
        <f t="shared" si="265"/>
        <v>3.476</v>
      </c>
      <c r="O460" s="12">
        <f>IF(E460="HERRAJE",IFERROR(_xlfn.XLOOKUP(D460,'⚙️ Configuración Costos'!$A$11:$A$20,'⚙️ Configuración Costos'!$B$11:$B$20),""),IFERROR(_xlfn.XLOOKUP(E460,'⚙️ Configuración Costos'!$A$5:$A$6,'⚙️ Configuración Costos'!$B$5:$B$6),""))</f>
        <v>239.8426229508197</v>
      </c>
      <c r="P460" s="12">
        <f t="shared" si="266"/>
        <v>50.021577442622956</v>
      </c>
      <c r="Q460" s="12">
        <f>IF(E460="HERRAJE",0,IFERROR(_xlfn.XLOOKUP(E460,'⚙️ Configuración Costos'!$E$5:$E$6,'⚙️ Configuración Costos'!$F$5:$F$6),""))</f>
        <v>6</v>
      </c>
      <c r="R460" s="12">
        <f t="shared" si="267"/>
        <v>20.856000000000002</v>
      </c>
      <c r="S460" s="38">
        <f t="shared" si="268"/>
        <v>70.877577442622965</v>
      </c>
      <c r="T460" s="94" t="str">
        <f t="shared" si="269"/>
        <v>OK</v>
      </c>
      <c r="U460" s="95" t="str">
        <f t="shared" si="270"/>
        <v/>
      </c>
      <c r="V460" s="96">
        <f t="shared" si="271"/>
        <v>0</v>
      </c>
    </row>
    <row r="461" spans="1:22" x14ac:dyDescent="0.2">
      <c r="A461" s="35">
        <v>1</v>
      </c>
      <c r="B461" s="6">
        <v>717</v>
      </c>
      <c r="C461" s="6">
        <v>447</v>
      </c>
      <c r="D461" s="7" t="s">
        <v>181</v>
      </c>
      <c r="E461" s="7" t="s">
        <v>85</v>
      </c>
      <c r="F461" s="8">
        <v>1</v>
      </c>
      <c r="G461" s="8">
        <v>1</v>
      </c>
      <c r="H461" s="8">
        <v>1</v>
      </c>
      <c r="I461" s="8">
        <v>1</v>
      </c>
      <c r="J461" s="8">
        <v>1</v>
      </c>
      <c r="K461" s="9" t="s">
        <v>32</v>
      </c>
      <c r="L461" s="47" t="s">
        <v>237</v>
      </c>
      <c r="M461" s="10">
        <f t="shared" si="264"/>
        <v>0.32049899999999998</v>
      </c>
      <c r="N461" s="11">
        <f t="shared" si="265"/>
        <v>2.3279999999999998</v>
      </c>
      <c r="O461" s="12">
        <f>IF(E461="HERRAJE",IFERROR(_xlfn.XLOOKUP(D461,'⚙️ Configuración Costos'!$A$11:$A$20,'⚙️ Configuración Costos'!$B$11:$B$20),""),IFERROR(_xlfn.XLOOKUP(E461,'⚙️ Configuración Costos'!$A$5:$A$6,'⚙️ Configuración Costos'!$B$5:$B$6),""))</f>
        <v>332.85245901639348</v>
      </c>
      <c r="P461" s="12">
        <f t="shared" si="266"/>
        <v>106.67888026229508</v>
      </c>
      <c r="Q461" s="12">
        <f>IF(E461="HERRAJE",0,IFERROR(_xlfn.XLOOKUP(E461,'⚙️ Configuración Costos'!$E$5:$E$6,'⚙️ Configuración Costos'!$F$5:$F$6),""))</f>
        <v>9.5</v>
      </c>
      <c r="R461" s="12">
        <f t="shared" si="267"/>
        <v>22.116</v>
      </c>
      <c r="S461" s="38">
        <f t="shared" si="268"/>
        <v>128.79488026229507</v>
      </c>
      <c r="T461" s="94" t="str">
        <f t="shared" si="269"/>
        <v>OK</v>
      </c>
      <c r="U461" s="95" t="str">
        <f t="shared" si="270"/>
        <v/>
      </c>
      <c r="V461" s="96">
        <f t="shared" si="271"/>
        <v>0</v>
      </c>
    </row>
    <row r="462" spans="1:22" x14ac:dyDescent="0.2">
      <c r="A462" s="35">
        <v>1</v>
      </c>
      <c r="B462" s="6">
        <v>717</v>
      </c>
      <c r="C462" s="6">
        <v>447</v>
      </c>
      <c r="D462" s="7" t="s">
        <v>223</v>
      </c>
      <c r="E462" s="7" t="s">
        <v>85</v>
      </c>
      <c r="F462" s="8">
        <v>1</v>
      </c>
      <c r="G462" s="8">
        <v>1</v>
      </c>
      <c r="H462" s="8">
        <v>1</v>
      </c>
      <c r="I462" s="8">
        <v>1</v>
      </c>
      <c r="J462" s="8">
        <v>1</v>
      </c>
      <c r="K462" s="9" t="s">
        <v>32</v>
      </c>
      <c r="L462" s="47" t="s">
        <v>238</v>
      </c>
      <c r="M462" s="10">
        <f t="shared" si="264"/>
        <v>0.32049899999999998</v>
      </c>
      <c r="N462" s="11">
        <f t="shared" si="265"/>
        <v>2.3279999999999998</v>
      </c>
      <c r="O462" s="12">
        <f>IF(E462="HERRAJE",IFERROR(_xlfn.XLOOKUP(D462,'⚙️ Configuración Costos'!$A$11:$A$20,'⚙️ Configuración Costos'!$B$11:$B$20),""),IFERROR(_xlfn.XLOOKUP(E462,'⚙️ Configuración Costos'!$A$5:$A$6,'⚙️ Configuración Costos'!$B$5:$B$6),""))</f>
        <v>332.85245901639348</v>
      </c>
      <c r="P462" s="12">
        <f t="shared" si="266"/>
        <v>106.67888026229508</v>
      </c>
      <c r="Q462" s="12">
        <f>IF(E462="HERRAJE",0,IFERROR(_xlfn.XLOOKUP(E462,'⚙️ Configuración Costos'!$E$5:$E$6,'⚙️ Configuración Costos'!$F$5:$F$6),""))</f>
        <v>9.5</v>
      </c>
      <c r="R462" s="12">
        <f t="shared" si="267"/>
        <v>22.116</v>
      </c>
      <c r="S462" s="38">
        <f t="shared" si="268"/>
        <v>128.79488026229507</v>
      </c>
      <c r="T462" s="94" t="str">
        <f t="shared" si="269"/>
        <v>OK</v>
      </c>
      <c r="U462" s="95" t="str">
        <f t="shared" si="270"/>
        <v/>
      </c>
      <c r="V462" s="96">
        <f t="shared" si="271"/>
        <v>0</v>
      </c>
    </row>
    <row r="463" spans="1:22" x14ac:dyDescent="0.2">
      <c r="A463" s="35">
        <v>4</v>
      </c>
      <c r="B463" s="6">
        <v>0</v>
      </c>
      <c r="C463" s="6">
        <v>0</v>
      </c>
      <c r="D463" s="7" t="s">
        <v>90</v>
      </c>
      <c r="E463" s="7" t="s">
        <v>91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9" t="s">
        <v>32</v>
      </c>
      <c r="L463" s="47" t="s">
        <v>92</v>
      </c>
      <c r="M463" s="10">
        <f t="shared" si="264"/>
        <v>0</v>
      </c>
      <c r="N463" s="11">
        <f t="shared" si="265"/>
        <v>0</v>
      </c>
      <c r="O463" s="12">
        <f>IF(E463="HERRAJE",IFERROR(_xlfn.XLOOKUP(D463,'⚙️ Configuración Costos'!$A$11:$A$20,'⚙️ Configuración Costos'!$B$11:$B$20),""),IFERROR(_xlfn.XLOOKUP(E463,'⚙️ Configuración Costos'!$A$5:$A$6,'⚙️ Configuración Costos'!$B$5:$B$6),""))</f>
        <v>20</v>
      </c>
      <c r="P463" s="12">
        <f t="shared" si="266"/>
        <v>80</v>
      </c>
      <c r="Q463" s="12">
        <f>IF(E463="HERRAJE",0,IFERROR(_xlfn.XLOOKUP(E463,'⚙️ Configuración Costos'!$E$5:$E$6,'⚙️ Configuración Costos'!$F$5:$F$6),""))</f>
        <v>0</v>
      </c>
      <c r="R463" s="12">
        <f t="shared" si="267"/>
        <v>0</v>
      </c>
      <c r="S463" s="38">
        <f t="shared" si="268"/>
        <v>80</v>
      </c>
      <c r="T463" s="94" t="str">
        <f t="shared" si="269"/>
        <v>OK</v>
      </c>
      <c r="U463" s="95" t="str">
        <f t="shared" si="270"/>
        <v/>
      </c>
      <c r="V463" s="96">
        <f t="shared" si="271"/>
        <v>0</v>
      </c>
    </row>
    <row r="464" spans="1:22" x14ac:dyDescent="0.2">
      <c r="A464" s="35">
        <v>2</v>
      </c>
      <c r="B464" s="6">
        <v>0</v>
      </c>
      <c r="C464" s="6">
        <v>0</v>
      </c>
      <c r="D464" s="7" t="s">
        <v>93</v>
      </c>
      <c r="E464" s="7" t="s">
        <v>91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9" t="s">
        <v>32</v>
      </c>
      <c r="L464" s="47" t="s">
        <v>94</v>
      </c>
      <c r="M464" s="10">
        <f t="shared" si="264"/>
        <v>0</v>
      </c>
      <c r="N464" s="11">
        <f t="shared" si="265"/>
        <v>0</v>
      </c>
      <c r="O464" s="12">
        <f>IF(E464="HERRAJE",IFERROR(_xlfn.XLOOKUP(D464,'⚙️ Configuración Costos'!$A$11:$A$20,'⚙️ Configuración Costos'!$B$11:$B$20),""),IFERROR(_xlfn.XLOOKUP(E464,'⚙️ Configuración Costos'!$A$5:$A$6,'⚙️ Configuración Costos'!$B$5:$B$6),""))</f>
        <v>15</v>
      </c>
      <c r="P464" s="12">
        <f t="shared" si="266"/>
        <v>30</v>
      </c>
      <c r="Q464" s="12">
        <f>IF(E464="HERRAJE",0,IFERROR(_xlfn.XLOOKUP(E464,'⚙️ Configuración Costos'!$E$5:$E$6,'⚙️ Configuración Costos'!$F$5:$F$6),""))</f>
        <v>0</v>
      </c>
      <c r="R464" s="12">
        <f t="shared" si="267"/>
        <v>0</v>
      </c>
      <c r="S464" s="38">
        <f t="shared" si="268"/>
        <v>30</v>
      </c>
      <c r="T464" s="94" t="str">
        <f t="shared" si="269"/>
        <v>OK</v>
      </c>
      <c r="U464" s="95" t="str">
        <f t="shared" si="270"/>
        <v/>
      </c>
      <c r="V464" s="96">
        <f t="shared" si="271"/>
        <v>0</v>
      </c>
    </row>
    <row r="465" spans="1:22" x14ac:dyDescent="0.2">
      <c r="A465" s="35">
        <v>4</v>
      </c>
      <c r="B465" s="6">
        <v>0</v>
      </c>
      <c r="C465" s="6">
        <v>0</v>
      </c>
      <c r="D465" s="7" t="s">
        <v>186</v>
      </c>
      <c r="E465" s="7" t="s">
        <v>91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9" t="s">
        <v>32</v>
      </c>
      <c r="L465" s="47" t="s">
        <v>187</v>
      </c>
      <c r="M465" s="10">
        <f t="shared" si="264"/>
        <v>0</v>
      </c>
      <c r="N465" s="11">
        <f t="shared" si="265"/>
        <v>0</v>
      </c>
      <c r="O465" s="12">
        <f>IF(E465="HERRAJE",IFERROR(_xlfn.XLOOKUP(D465,'⚙️ Configuración Costos'!$A$11:$A$20,'⚙️ Configuración Costos'!$B$11:$B$20),""),IFERROR(_xlfn.XLOOKUP(E465,'⚙️ Configuración Costos'!$A$5:$A$6,'⚙️ Configuración Costos'!$B$5:$B$6),""))</f>
        <v>15</v>
      </c>
      <c r="P465" s="12">
        <f t="shared" si="266"/>
        <v>60</v>
      </c>
      <c r="Q465" s="12">
        <f>IF(E465="HERRAJE",0,IFERROR(_xlfn.XLOOKUP(E465,'⚙️ Configuración Costos'!$E$5:$E$6,'⚙️ Configuración Costos'!$F$5:$F$6),""))</f>
        <v>0</v>
      </c>
      <c r="R465" s="12">
        <f t="shared" si="267"/>
        <v>0</v>
      </c>
      <c r="S465" s="38">
        <f t="shared" si="268"/>
        <v>60</v>
      </c>
      <c r="T465" s="94" t="str">
        <f t="shared" si="269"/>
        <v>OK</v>
      </c>
      <c r="U465" s="95" t="str">
        <f t="shared" si="270"/>
        <v/>
      </c>
      <c r="V465" s="96">
        <f t="shared" si="271"/>
        <v>0</v>
      </c>
    </row>
    <row r="466" spans="1:22" ht="16" thickBot="1" x14ac:dyDescent="0.25">
      <c r="A466" s="36">
        <v>40</v>
      </c>
      <c r="B466" s="20">
        <v>0</v>
      </c>
      <c r="C466" s="20">
        <v>0</v>
      </c>
      <c r="D466" s="21" t="s">
        <v>97</v>
      </c>
      <c r="E466" s="21" t="s">
        <v>91</v>
      </c>
      <c r="F466" s="22">
        <v>0</v>
      </c>
      <c r="G466" s="22">
        <v>0</v>
      </c>
      <c r="H466" s="22">
        <v>0</v>
      </c>
      <c r="I466" s="22">
        <v>0</v>
      </c>
      <c r="J466" s="22">
        <v>0</v>
      </c>
      <c r="K466" s="9" t="s">
        <v>32</v>
      </c>
      <c r="L466" s="48" t="s">
        <v>98</v>
      </c>
      <c r="M466" s="24">
        <f t="shared" si="264"/>
        <v>0</v>
      </c>
      <c r="N466" s="25">
        <f t="shared" si="265"/>
        <v>0</v>
      </c>
      <c r="O466" s="26">
        <f>IF(E466="HERRAJE",IFERROR(_xlfn.XLOOKUP(D466,'⚙️ Configuración Costos'!$A$11:$A$20,'⚙️ Configuración Costos'!$B$11:$B$20),""),IFERROR(_xlfn.XLOOKUP(E466,'⚙️ Configuración Costos'!$A$5:$A$6,'⚙️ Configuración Costos'!$B$5:$B$6),""))</f>
        <v>1.5</v>
      </c>
      <c r="P466" s="26">
        <f t="shared" si="266"/>
        <v>60</v>
      </c>
      <c r="Q466" s="26">
        <f>IF(E466="HERRAJE",0,IFERROR(_xlfn.XLOOKUP(E466,'⚙️ Configuración Costos'!$E$5:$E$6,'⚙️ Configuración Costos'!$F$5:$F$6),""))</f>
        <v>0</v>
      </c>
      <c r="R466" s="26">
        <f t="shared" si="267"/>
        <v>0</v>
      </c>
      <c r="S466" s="39">
        <f t="shared" si="268"/>
        <v>60</v>
      </c>
      <c r="T466" s="94" t="str">
        <f t="shared" si="269"/>
        <v>OK</v>
      </c>
      <c r="U466" s="95" t="str">
        <f t="shared" si="270"/>
        <v/>
      </c>
      <c r="V466" s="96">
        <f t="shared" si="271"/>
        <v>0</v>
      </c>
    </row>
    <row r="467" spans="1:22" ht="16" thickTop="1" x14ac:dyDescent="0.2">
      <c r="A467" s="27" t="s">
        <v>99</v>
      </c>
      <c r="B467" s="27"/>
      <c r="C467" s="27"/>
      <c r="D467" s="28"/>
      <c r="E467" s="28"/>
      <c r="F467" s="29"/>
      <c r="G467" s="29"/>
      <c r="H467" s="29"/>
      <c r="I467" s="29"/>
      <c r="J467" s="29"/>
      <c r="K467" s="30"/>
      <c r="L467" s="49" t="s">
        <v>188</v>
      </c>
      <c r="M467" s="31">
        <f>SUM(M456:M466)</f>
        <v>2.397338</v>
      </c>
      <c r="N467" s="32">
        <f>SUM(N456:N466)</f>
        <v>18.545999999999999</v>
      </c>
      <c r="O467" s="33"/>
      <c r="P467" s="33">
        <f>SUM(P456:P466)</f>
        <v>864.60295291803277</v>
      </c>
      <c r="Q467" s="33"/>
      <c r="R467" s="33">
        <f>SUM(R456:R466)</f>
        <v>127.572</v>
      </c>
      <c r="S467" s="33">
        <f>SUM(S456:S466)</f>
        <v>992.17495291803289</v>
      </c>
      <c r="T467" s="97"/>
      <c r="U467" s="98"/>
      <c r="V467" s="99"/>
    </row>
    <row r="468" spans="1:22" x14ac:dyDescent="0.2">
      <c r="A468" s="186" t="s">
        <v>295</v>
      </c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8"/>
      <c r="T468" s="97"/>
      <c r="U468" s="98"/>
      <c r="V468" s="99"/>
    </row>
    <row r="469" spans="1:22" x14ac:dyDescent="0.2">
      <c r="A469" s="34">
        <v>1</v>
      </c>
      <c r="B469" s="13">
        <v>2100</v>
      </c>
      <c r="C469" s="13">
        <v>580</v>
      </c>
      <c r="D469" s="14" t="s">
        <v>63</v>
      </c>
      <c r="E469" s="14" t="s">
        <v>64</v>
      </c>
      <c r="F469" s="15">
        <v>0</v>
      </c>
      <c r="G469" s="15">
        <v>1</v>
      </c>
      <c r="H469" s="15">
        <v>1</v>
      </c>
      <c r="I469" s="15">
        <v>1</v>
      </c>
      <c r="J469" s="15">
        <v>1</v>
      </c>
      <c r="K469" s="16" t="s">
        <v>33</v>
      </c>
      <c r="L469" s="46" t="s">
        <v>296</v>
      </c>
      <c r="M469" s="17">
        <f t="shared" ref="M469:M482" si="272">IF(AND(ISNUMBER(B469),ISNUMBER(C469),B469&gt;0,C469&gt;0),A469*(B469*C469/1000000),0)</f>
        <v>1.218</v>
      </c>
      <c r="N469" s="18">
        <f t="shared" ref="N469:N482" si="273">IF(AND(ISNUMBER(B469),B469&gt;0),A469*(((G469+H469)*B469+(I469+J469)*C469)/1000),0)</f>
        <v>5.36</v>
      </c>
      <c r="O469" s="19">
        <f>IF(E469="HERRAJE",IFERROR(_xlfn.XLOOKUP(D469,'⚙️ Configuración Costos'!$A$11:$A$20,'⚙️ Configuración Costos'!$B$11:$B$20),""),IFERROR(_xlfn.XLOOKUP(E469,'⚙️ Configuración Costos'!$A$5:$A$6,'⚙️ Configuración Costos'!$B$5:$B$6),""))</f>
        <v>239.8426229508197</v>
      </c>
      <c r="P469" s="19">
        <f t="shared" ref="P469:P482" si="274">IF(E469="HERRAJE",A469*O469,M469*O469)</f>
        <v>292.12831475409837</v>
      </c>
      <c r="Q469" s="19">
        <f>IF(E469="HERRAJE",0,IFERROR(_xlfn.XLOOKUP(E469,'⚙️ Configuración Costos'!$E$5:$E$6,'⚙️ Configuración Costos'!$F$5:$F$6),""))</f>
        <v>6</v>
      </c>
      <c r="R469" s="19">
        <f t="shared" ref="R469:R482" si="275">N469*Q469</f>
        <v>32.160000000000004</v>
      </c>
      <c r="S469" s="37">
        <f t="shared" ref="S469:S482" si="276">P469+R469</f>
        <v>324.28831475409839</v>
      </c>
      <c r="T469" s="94" t="str">
        <f t="shared" ref="T469:T482" si="277">IF(K469="","SIN ID MÓDULO",IF(E469="HERRAJE",IF(OR(O469="",O469&lt;=0),"SIN PRECIO HERRAJE","OK"),IF(OR(O469="",O469&lt;=0),"SIN PRECIO MATERIAL",IF(AND(N469&gt;0,OR(Q469="",Q469&lt;=0)),"SIN PRECIO CINTILLA","OK"))))</f>
        <v>OK</v>
      </c>
      <c r="U469" s="95" t="str">
        <f t="shared" ref="U469:U482" si="278">IF(T469="OK","",IF(T469="SIN PRECIO HERRAJE","Capturar precio: "&amp;D469,IF(T469="SIN PRECIO MATERIAL","Configurar material: "&amp;E469,IF(T469="SIN PRECIO CINTILLA","Configurar cintilla: "&amp;E469,IF(T469="SIN ID MÓDULO","Revisar ID del módulo","")))))</f>
        <v/>
      </c>
      <c r="V469" s="96">
        <f t="shared" ref="V469:V482" si="279">IF(T469="OK",0,IF(T469="",0,1))</f>
        <v>0</v>
      </c>
    </row>
    <row r="470" spans="1:22" x14ac:dyDescent="0.2">
      <c r="A470" s="35">
        <v>1</v>
      </c>
      <c r="B470" s="6">
        <v>2100</v>
      </c>
      <c r="C470" s="6">
        <v>580</v>
      </c>
      <c r="D470" s="7" t="s">
        <v>66</v>
      </c>
      <c r="E470" s="7" t="s">
        <v>64</v>
      </c>
      <c r="F470" s="8">
        <v>0</v>
      </c>
      <c r="G470" s="8">
        <v>1</v>
      </c>
      <c r="H470" s="8">
        <v>1</v>
      </c>
      <c r="I470" s="8">
        <v>1</v>
      </c>
      <c r="J470" s="8">
        <v>1</v>
      </c>
      <c r="K470" s="16" t="s">
        <v>33</v>
      </c>
      <c r="L470" s="47" t="s">
        <v>297</v>
      </c>
      <c r="M470" s="10">
        <f t="shared" si="272"/>
        <v>1.218</v>
      </c>
      <c r="N470" s="11">
        <f t="shared" si="273"/>
        <v>5.36</v>
      </c>
      <c r="O470" s="12">
        <f>IF(E470="HERRAJE",IFERROR(_xlfn.XLOOKUP(D470,'⚙️ Configuración Costos'!$A$11:$A$20,'⚙️ Configuración Costos'!$B$11:$B$20),""),IFERROR(_xlfn.XLOOKUP(E470,'⚙️ Configuración Costos'!$A$5:$A$6,'⚙️ Configuración Costos'!$B$5:$B$6),""))</f>
        <v>239.8426229508197</v>
      </c>
      <c r="P470" s="12">
        <f t="shared" si="274"/>
        <v>292.12831475409837</v>
      </c>
      <c r="Q470" s="12">
        <f>IF(E470="HERRAJE",0,IFERROR(_xlfn.XLOOKUP(E470,'⚙️ Configuración Costos'!$E$5:$E$6,'⚙️ Configuración Costos'!$F$5:$F$6),""))</f>
        <v>6</v>
      </c>
      <c r="R470" s="12">
        <f t="shared" si="275"/>
        <v>32.160000000000004</v>
      </c>
      <c r="S470" s="38">
        <f t="shared" si="276"/>
        <v>324.28831475409839</v>
      </c>
      <c r="T470" s="94" t="str">
        <f t="shared" si="277"/>
        <v>OK</v>
      </c>
      <c r="U470" s="95" t="str">
        <f t="shared" si="278"/>
        <v/>
      </c>
      <c r="V470" s="96">
        <f t="shared" si="279"/>
        <v>0</v>
      </c>
    </row>
    <row r="471" spans="1:22" x14ac:dyDescent="0.2">
      <c r="A471" s="35">
        <v>1</v>
      </c>
      <c r="B471" s="6">
        <v>2069</v>
      </c>
      <c r="C471" s="6">
        <v>369</v>
      </c>
      <c r="D471" s="7" t="s">
        <v>298</v>
      </c>
      <c r="E471" s="7" t="s">
        <v>64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16" t="s">
        <v>33</v>
      </c>
      <c r="L471" s="47" t="s">
        <v>299</v>
      </c>
      <c r="M471" s="10">
        <f t="shared" si="272"/>
        <v>0.76346099999999995</v>
      </c>
      <c r="N471" s="11">
        <f t="shared" si="273"/>
        <v>0</v>
      </c>
      <c r="O471" s="12">
        <f>IF(E471="HERRAJE",IFERROR(_xlfn.XLOOKUP(D471,'⚙️ Configuración Costos'!$A$11:$A$20,'⚙️ Configuración Costos'!$B$11:$B$20),""),IFERROR(_xlfn.XLOOKUP(E471,'⚙️ Configuración Costos'!$A$5:$A$6,'⚙️ Configuración Costos'!$B$5:$B$6),""))</f>
        <v>239.8426229508197</v>
      </c>
      <c r="P471" s="12">
        <f t="shared" si="274"/>
        <v>183.11048876065576</v>
      </c>
      <c r="Q471" s="12">
        <f>IF(E471="HERRAJE",0,IFERROR(_xlfn.XLOOKUP(E471,'⚙️ Configuración Costos'!$E$5:$E$6,'⚙️ Configuración Costos'!$F$5:$F$6),""))</f>
        <v>6</v>
      </c>
      <c r="R471" s="12">
        <f t="shared" si="275"/>
        <v>0</v>
      </c>
      <c r="S471" s="38">
        <f t="shared" si="276"/>
        <v>183.11048876065576</v>
      </c>
      <c r="T471" s="94" t="str">
        <f t="shared" si="277"/>
        <v>OK</v>
      </c>
      <c r="U471" s="95" t="str">
        <f t="shared" si="278"/>
        <v/>
      </c>
      <c r="V471" s="96">
        <f t="shared" si="279"/>
        <v>0</v>
      </c>
    </row>
    <row r="472" spans="1:22" x14ac:dyDescent="0.2">
      <c r="A472" s="35">
        <v>1</v>
      </c>
      <c r="B472" s="6">
        <v>369</v>
      </c>
      <c r="C472" s="6">
        <v>580</v>
      </c>
      <c r="D472" s="7" t="s">
        <v>300</v>
      </c>
      <c r="E472" s="7" t="s">
        <v>64</v>
      </c>
      <c r="F472" s="8">
        <v>0</v>
      </c>
      <c r="G472" s="8">
        <v>0</v>
      </c>
      <c r="H472" s="8">
        <v>0</v>
      </c>
      <c r="I472" s="8">
        <v>1</v>
      </c>
      <c r="J472" s="8">
        <v>1</v>
      </c>
      <c r="K472" s="16" t="s">
        <v>33</v>
      </c>
      <c r="L472" s="47" t="s">
        <v>301</v>
      </c>
      <c r="M472" s="10">
        <f t="shared" si="272"/>
        <v>0.21401999999999999</v>
      </c>
      <c r="N472" s="11">
        <f t="shared" si="273"/>
        <v>1.1599999999999999</v>
      </c>
      <c r="O472" s="12">
        <f>IF(E472="HERRAJE",IFERROR(_xlfn.XLOOKUP(D472,'⚙️ Configuración Costos'!$A$11:$A$20,'⚙️ Configuración Costos'!$B$11:$B$20),""),IFERROR(_xlfn.XLOOKUP(E472,'⚙️ Configuración Costos'!$A$5:$A$6,'⚙️ Configuración Costos'!$B$5:$B$6),""))</f>
        <v>239.8426229508197</v>
      </c>
      <c r="P472" s="12">
        <f t="shared" si="274"/>
        <v>51.331118163934427</v>
      </c>
      <c r="Q472" s="12">
        <f>IF(E472="HERRAJE",0,IFERROR(_xlfn.XLOOKUP(E472,'⚙️ Configuración Costos'!$E$5:$E$6,'⚙️ Configuración Costos'!$F$5:$F$6),""))</f>
        <v>6</v>
      </c>
      <c r="R472" s="12">
        <f t="shared" si="275"/>
        <v>6.9599999999999991</v>
      </c>
      <c r="S472" s="38">
        <f t="shared" si="276"/>
        <v>58.291118163934428</v>
      </c>
      <c r="T472" s="94" t="str">
        <f t="shared" si="277"/>
        <v>OK</v>
      </c>
      <c r="U472" s="95" t="str">
        <f t="shared" si="278"/>
        <v/>
      </c>
      <c r="V472" s="96">
        <f t="shared" si="279"/>
        <v>0</v>
      </c>
    </row>
    <row r="473" spans="1:22" x14ac:dyDescent="0.2">
      <c r="A473" s="35">
        <v>1</v>
      </c>
      <c r="B473" s="6">
        <v>369</v>
      </c>
      <c r="C473" s="6">
        <v>580</v>
      </c>
      <c r="D473" s="7" t="s">
        <v>302</v>
      </c>
      <c r="E473" s="7" t="s">
        <v>64</v>
      </c>
      <c r="F473" s="8">
        <v>0</v>
      </c>
      <c r="G473" s="8">
        <v>0</v>
      </c>
      <c r="H473" s="8">
        <v>0</v>
      </c>
      <c r="I473" s="8">
        <v>1</v>
      </c>
      <c r="J473" s="8">
        <v>1</v>
      </c>
      <c r="K473" s="16" t="s">
        <v>33</v>
      </c>
      <c r="L473" s="47" t="s">
        <v>303</v>
      </c>
      <c r="M473" s="10">
        <f t="shared" si="272"/>
        <v>0.21401999999999999</v>
      </c>
      <c r="N473" s="11">
        <f t="shared" si="273"/>
        <v>1.1599999999999999</v>
      </c>
      <c r="O473" s="12">
        <f>IF(E473="HERRAJE",IFERROR(_xlfn.XLOOKUP(D473,'⚙️ Configuración Costos'!$A$11:$A$20,'⚙️ Configuración Costos'!$B$11:$B$20),""),IFERROR(_xlfn.XLOOKUP(E473,'⚙️ Configuración Costos'!$A$5:$A$6,'⚙️ Configuración Costos'!$B$5:$B$6),""))</f>
        <v>239.8426229508197</v>
      </c>
      <c r="P473" s="12">
        <f t="shared" si="274"/>
        <v>51.331118163934427</v>
      </c>
      <c r="Q473" s="12">
        <f>IF(E473="HERRAJE",0,IFERROR(_xlfn.XLOOKUP(E473,'⚙️ Configuración Costos'!$E$5:$E$6,'⚙️ Configuración Costos'!$F$5:$F$6),""))</f>
        <v>6</v>
      </c>
      <c r="R473" s="12">
        <f t="shared" si="275"/>
        <v>6.9599999999999991</v>
      </c>
      <c r="S473" s="38">
        <f t="shared" si="276"/>
        <v>58.291118163934428</v>
      </c>
      <c r="T473" s="94" t="str">
        <f t="shared" si="277"/>
        <v>OK</v>
      </c>
      <c r="U473" s="95" t="str">
        <f t="shared" si="278"/>
        <v/>
      </c>
      <c r="V473" s="96">
        <f t="shared" si="279"/>
        <v>0</v>
      </c>
    </row>
    <row r="474" spans="1:22" x14ac:dyDescent="0.2">
      <c r="A474" s="35">
        <v>4</v>
      </c>
      <c r="B474" s="6">
        <v>369</v>
      </c>
      <c r="C474" s="6">
        <v>490</v>
      </c>
      <c r="D474" s="7" t="s">
        <v>304</v>
      </c>
      <c r="E474" s="7" t="s">
        <v>64</v>
      </c>
      <c r="F474" s="8">
        <v>0</v>
      </c>
      <c r="G474" s="8">
        <v>1</v>
      </c>
      <c r="H474" s="8">
        <v>0</v>
      </c>
      <c r="I474" s="8">
        <v>0</v>
      </c>
      <c r="J474" s="8">
        <v>0</v>
      </c>
      <c r="K474" s="16" t="s">
        <v>33</v>
      </c>
      <c r="L474" s="47" t="s">
        <v>305</v>
      </c>
      <c r="M474" s="10">
        <f t="shared" si="272"/>
        <v>0.72323999999999999</v>
      </c>
      <c r="N474" s="11">
        <f t="shared" si="273"/>
        <v>1.476</v>
      </c>
      <c r="O474" s="12">
        <f>IF(E474="HERRAJE",IFERROR(_xlfn.XLOOKUP(D474,'⚙️ Configuración Costos'!$A$11:$A$20,'⚙️ Configuración Costos'!$B$11:$B$20),""),IFERROR(_xlfn.XLOOKUP(E474,'⚙️ Configuración Costos'!$A$5:$A$6,'⚙️ Configuración Costos'!$B$5:$B$6),""))</f>
        <v>239.8426229508197</v>
      </c>
      <c r="P474" s="12">
        <f t="shared" si="274"/>
        <v>173.46377862295083</v>
      </c>
      <c r="Q474" s="12">
        <f>IF(E474="HERRAJE",0,IFERROR(_xlfn.XLOOKUP(E474,'⚙️ Configuración Costos'!$E$5:$E$6,'⚙️ Configuración Costos'!$F$5:$F$6),""))</f>
        <v>6</v>
      </c>
      <c r="R474" s="12">
        <f t="shared" si="275"/>
        <v>8.8559999999999999</v>
      </c>
      <c r="S474" s="38">
        <f t="shared" si="276"/>
        <v>182.31977862295082</v>
      </c>
      <c r="T474" s="94" t="str">
        <f t="shared" si="277"/>
        <v>OK</v>
      </c>
      <c r="U474" s="95" t="str">
        <f t="shared" si="278"/>
        <v/>
      </c>
      <c r="V474" s="96">
        <f t="shared" si="279"/>
        <v>0</v>
      </c>
    </row>
    <row r="475" spans="1:22" x14ac:dyDescent="0.2">
      <c r="A475" s="35">
        <v>1</v>
      </c>
      <c r="B475" s="6">
        <v>2096</v>
      </c>
      <c r="C475" s="6">
        <v>396</v>
      </c>
      <c r="D475" s="7" t="s">
        <v>306</v>
      </c>
      <c r="E475" s="7" t="s">
        <v>85</v>
      </c>
      <c r="F475" s="8">
        <v>1</v>
      </c>
      <c r="G475" s="8">
        <v>1</v>
      </c>
      <c r="H475" s="8">
        <v>1</v>
      </c>
      <c r="I475" s="8">
        <v>1</v>
      </c>
      <c r="J475" s="8">
        <v>1</v>
      </c>
      <c r="K475" s="16" t="s">
        <v>33</v>
      </c>
      <c r="L475" s="47" t="s">
        <v>307</v>
      </c>
      <c r="M475" s="10">
        <f t="shared" si="272"/>
        <v>0.83001599999999998</v>
      </c>
      <c r="N475" s="11">
        <f t="shared" si="273"/>
        <v>4.984</v>
      </c>
      <c r="O475" s="12">
        <f>IF(E475="HERRAJE",IFERROR(_xlfn.XLOOKUP(D475,'⚙️ Configuración Costos'!$A$11:$A$20,'⚙️ Configuración Costos'!$B$11:$B$20),""),IFERROR(_xlfn.XLOOKUP(E475,'⚙️ Configuración Costos'!$A$5:$A$6,'⚙️ Configuración Costos'!$B$5:$B$6),""))</f>
        <v>332.85245901639348</v>
      </c>
      <c r="P475" s="12">
        <f t="shared" si="274"/>
        <v>276.27286662295086</v>
      </c>
      <c r="Q475" s="12">
        <f>IF(E475="HERRAJE",0,IFERROR(_xlfn.XLOOKUP(E475,'⚙️ Configuración Costos'!$E$5:$E$6,'⚙️ Configuración Costos'!$F$5:$F$6),""))</f>
        <v>9.5</v>
      </c>
      <c r="R475" s="12">
        <f t="shared" si="275"/>
        <v>47.347999999999999</v>
      </c>
      <c r="S475" s="38">
        <f t="shared" si="276"/>
        <v>323.62086662295087</v>
      </c>
      <c r="T475" s="94" t="str">
        <f t="shared" si="277"/>
        <v>OK</v>
      </c>
      <c r="U475" s="95" t="str">
        <f t="shared" si="278"/>
        <v/>
      </c>
      <c r="V475" s="96">
        <f t="shared" si="279"/>
        <v>0</v>
      </c>
    </row>
    <row r="476" spans="1:22" x14ac:dyDescent="0.2">
      <c r="A476" s="35">
        <v>2</v>
      </c>
      <c r="B476" s="6">
        <v>0</v>
      </c>
      <c r="C476" s="6">
        <v>0</v>
      </c>
      <c r="D476" s="7" t="s">
        <v>90</v>
      </c>
      <c r="E476" s="7" t="s">
        <v>91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16" t="s">
        <v>33</v>
      </c>
      <c r="L476" s="47" t="s">
        <v>92</v>
      </c>
      <c r="M476" s="10">
        <f t="shared" si="272"/>
        <v>0</v>
      </c>
      <c r="N476" s="11">
        <f t="shared" si="273"/>
        <v>0</v>
      </c>
      <c r="O476" s="12">
        <f>IF(E476="HERRAJE",IFERROR(_xlfn.XLOOKUP(D476,'⚙️ Configuración Costos'!$A$11:$A$20,'⚙️ Configuración Costos'!$B$11:$B$20),""),IFERROR(_xlfn.XLOOKUP(E476,'⚙️ Configuración Costos'!$A$5:$A$6,'⚙️ Configuración Costos'!$B$5:$B$6),""))</f>
        <v>20</v>
      </c>
      <c r="P476" s="12">
        <f t="shared" si="274"/>
        <v>40</v>
      </c>
      <c r="Q476" s="12">
        <f>IF(E476="HERRAJE",0,IFERROR(_xlfn.XLOOKUP(E476,'⚙️ Configuración Costos'!$E$5:$E$6,'⚙️ Configuración Costos'!$F$5:$F$6),""))</f>
        <v>0</v>
      </c>
      <c r="R476" s="12">
        <f t="shared" si="275"/>
        <v>0</v>
      </c>
      <c r="S476" s="38">
        <f t="shared" si="276"/>
        <v>40</v>
      </c>
      <c r="T476" s="94" t="str">
        <f t="shared" si="277"/>
        <v>OK</v>
      </c>
      <c r="U476" s="95" t="str">
        <f t="shared" si="278"/>
        <v/>
      </c>
      <c r="V476" s="96">
        <f t="shared" si="279"/>
        <v>0</v>
      </c>
    </row>
    <row r="477" spans="1:22" x14ac:dyDescent="0.2">
      <c r="A477" s="35">
        <v>1</v>
      </c>
      <c r="B477" s="6">
        <v>0</v>
      </c>
      <c r="C477" s="6">
        <v>0</v>
      </c>
      <c r="D477" s="7" t="s">
        <v>93</v>
      </c>
      <c r="E477" s="7" t="s">
        <v>91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16" t="s">
        <v>33</v>
      </c>
      <c r="L477" s="47" t="s">
        <v>94</v>
      </c>
      <c r="M477" s="10">
        <f t="shared" si="272"/>
        <v>0</v>
      </c>
      <c r="N477" s="11">
        <f t="shared" si="273"/>
        <v>0</v>
      </c>
      <c r="O477" s="12">
        <f>IF(E477="HERRAJE",IFERROR(_xlfn.XLOOKUP(D477,'⚙️ Configuración Costos'!$A$11:$A$20,'⚙️ Configuración Costos'!$B$11:$B$20),""),IFERROR(_xlfn.XLOOKUP(E477,'⚙️ Configuración Costos'!$A$5:$A$6,'⚙️ Configuración Costos'!$B$5:$B$6),""))</f>
        <v>15</v>
      </c>
      <c r="P477" s="12">
        <f t="shared" si="274"/>
        <v>15</v>
      </c>
      <c r="Q477" s="12">
        <f>IF(E477="HERRAJE",0,IFERROR(_xlfn.XLOOKUP(E477,'⚙️ Configuración Costos'!$E$5:$E$6,'⚙️ Configuración Costos'!$F$5:$F$6),""))</f>
        <v>0</v>
      </c>
      <c r="R477" s="12">
        <f t="shared" si="275"/>
        <v>0</v>
      </c>
      <c r="S477" s="38">
        <f t="shared" si="276"/>
        <v>15</v>
      </c>
      <c r="T477" s="94" t="str">
        <f t="shared" si="277"/>
        <v>OK</v>
      </c>
      <c r="U477" s="95" t="str">
        <f t="shared" si="278"/>
        <v/>
      </c>
      <c r="V477" s="96">
        <f t="shared" si="279"/>
        <v>0</v>
      </c>
    </row>
    <row r="478" spans="1:22" x14ac:dyDescent="0.2">
      <c r="A478" s="35">
        <v>4</v>
      </c>
      <c r="B478" s="6">
        <v>0</v>
      </c>
      <c r="C478" s="6">
        <v>0</v>
      </c>
      <c r="D478" s="7" t="s">
        <v>90</v>
      </c>
      <c r="E478" s="7" t="s">
        <v>91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16" t="s">
        <v>33</v>
      </c>
      <c r="L478" s="47" t="s">
        <v>92</v>
      </c>
      <c r="M478" s="10">
        <f t="shared" si="272"/>
        <v>0</v>
      </c>
      <c r="N478" s="11">
        <f t="shared" si="273"/>
        <v>0</v>
      </c>
      <c r="O478" s="12">
        <f>IF(E478="HERRAJE",IFERROR(_xlfn.XLOOKUP(D478,'⚙️ Configuración Costos'!$A$11:$A$20,'⚙️ Configuración Costos'!$B$11:$B$20),""),IFERROR(_xlfn.XLOOKUP(E478,'⚙️ Configuración Costos'!$A$5:$A$6,'⚙️ Configuración Costos'!$B$5:$B$6),""))</f>
        <v>20</v>
      </c>
      <c r="P478" s="12">
        <f t="shared" si="274"/>
        <v>80</v>
      </c>
      <c r="Q478" s="12">
        <f>IF(E478="HERRAJE",0,IFERROR(_xlfn.XLOOKUP(E478,'⚙️ Configuración Costos'!$E$5:$E$6,'⚙️ Configuración Costos'!$F$5:$F$6),""))</f>
        <v>0</v>
      </c>
      <c r="R478" s="12">
        <f t="shared" si="275"/>
        <v>0</v>
      </c>
      <c r="S478" s="38">
        <f t="shared" si="276"/>
        <v>80</v>
      </c>
      <c r="T478" s="94" t="str">
        <f t="shared" si="277"/>
        <v>OK</v>
      </c>
      <c r="U478" s="95" t="str">
        <f t="shared" si="278"/>
        <v/>
      </c>
      <c r="V478" s="96">
        <f t="shared" si="279"/>
        <v>0</v>
      </c>
    </row>
    <row r="479" spans="1:22" x14ac:dyDescent="0.2">
      <c r="A479" s="35">
        <v>1</v>
      </c>
      <c r="B479" s="6">
        <v>0</v>
      </c>
      <c r="C479" s="6">
        <v>0</v>
      </c>
      <c r="D479" s="7" t="s">
        <v>93</v>
      </c>
      <c r="E479" s="7" t="s">
        <v>91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16" t="s">
        <v>33</v>
      </c>
      <c r="L479" s="47" t="s">
        <v>94</v>
      </c>
      <c r="M479" s="10">
        <f t="shared" si="272"/>
        <v>0</v>
      </c>
      <c r="N479" s="11">
        <f t="shared" si="273"/>
        <v>0</v>
      </c>
      <c r="O479" s="12">
        <f>IF(E479="HERRAJE",IFERROR(_xlfn.XLOOKUP(D479,'⚙️ Configuración Costos'!$A$11:$A$20,'⚙️ Configuración Costos'!$B$11:$B$20),""),IFERROR(_xlfn.XLOOKUP(E479,'⚙️ Configuración Costos'!$A$5:$A$6,'⚙️ Configuración Costos'!$B$5:$B$6),""))</f>
        <v>15</v>
      </c>
      <c r="P479" s="12">
        <f t="shared" si="274"/>
        <v>15</v>
      </c>
      <c r="Q479" s="12">
        <f>IF(E479="HERRAJE",0,IFERROR(_xlfn.XLOOKUP(E479,'⚙️ Configuración Costos'!$E$5:$E$6,'⚙️ Configuración Costos'!$F$5:$F$6),""))</f>
        <v>0</v>
      </c>
      <c r="R479" s="12">
        <f t="shared" si="275"/>
        <v>0</v>
      </c>
      <c r="S479" s="38">
        <f t="shared" si="276"/>
        <v>15</v>
      </c>
      <c r="T479" s="94" t="str">
        <f t="shared" si="277"/>
        <v>OK</v>
      </c>
      <c r="U479" s="95" t="str">
        <f t="shared" si="278"/>
        <v/>
      </c>
      <c r="V479" s="96">
        <f t="shared" si="279"/>
        <v>0</v>
      </c>
    </row>
    <row r="480" spans="1:22" x14ac:dyDescent="0.2">
      <c r="A480" s="35">
        <v>4</v>
      </c>
      <c r="B480" s="6">
        <v>0</v>
      </c>
      <c r="C480" s="6">
        <v>0</v>
      </c>
      <c r="D480" s="7" t="s">
        <v>186</v>
      </c>
      <c r="E480" s="7" t="s">
        <v>91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16" t="s">
        <v>33</v>
      </c>
      <c r="L480" s="47" t="s">
        <v>187</v>
      </c>
      <c r="M480" s="10">
        <f t="shared" si="272"/>
        <v>0</v>
      </c>
      <c r="N480" s="11">
        <f t="shared" si="273"/>
        <v>0</v>
      </c>
      <c r="O480" s="12">
        <f>IF(E480="HERRAJE",IFERROR(_xlfn.XLOOKUP(D480,'⚙️ Configuración Costos'!$A$11:$A$20,'⚙️ Configuración Costos'!$B$11:$B$20),""),IFERROR(_xlfn.XLOOKUP(E480,'⚙️ Configuración Costos'!$A$5:$A$6,'⚙️ Configuración Costos'!$B$5:$B$6),""))</f>
        <v>15</v>
      </c>
      <c r="P480" s="12">
        <f t="shared" si="274"/>
        <v>60</v>
      </c>
      <c r="Q480" s="12">
        <f>IF(E480="HERRAJE",0,IFERROR(_xlfn.XLOOKUP(E480,'⚙️ Configuración Costos'!$E$5:$E$6,'⚙️ Configuración Costos'!$F$5:$F$6),""))</f>
        <v>0</v>
      </c>
      <c r="R480" s="12">
        <f t="shared" si="275"/>
        <v>0</v>
      </c>
      <c r="S480" s="38">
        <f t="shared" si="276"/>
        <v>60</v>
      </c>
      <c r="T480" s="94" t="str">
        <f t="shared" si="277"/>
        <v>OK</v>
      </c>
      <c r="U480" s="95" t="str">
        <f t="shared" si="278"/>
        <v/>
      </c>
      <c r="V480" s="96">
        <f t="shared" si="279"/>
        <v>0</v>
      </c>
    </row>
    <row r="481" spans="1:22" x14ac:dyDescent="0.2">
      <c r="A481" s="35">
        <v>16</v>
      </c>
      <c r="B481" s="6">
        <v>0</v>
      </c>
      <c r="C481" s="6">
        <v>0</v>
      </c>
      <c r="D481" s="7" t="s">
        <v>95</v>
      </c>
      <c r="E481" s="7" t="s">
        <v>91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16" t="s">
        <v>33</v>
      </c>
      <c r="L481" s="47" t="s">
        <v>96</v>
      </c>
      <c r="M481" s="10">
        <f t="shared" si="272"/>
        <v>0</v>
      </c>
      <c r="N481" s="11">
        <f t="shared" si="273"/>
        <v>0</v>
      </c>
      <c r="O481" s="12">
        <f>IF(E481="HERRAJE",IFERROR(_xlfn.XLOOKUP(D481,'⚙️ Configuración Costos'!$A$11:$A$20,'⚙️ Configuración Costos'!$B$11:$B$20),""),IFERROR(_xlfn.XLOOKUP(E481,'⚙️ Configuración Costos'!$A$5:$A$6,'⚙️ Configuración Costos'!$B$5:$B$6),""))</f>
        <v>2</v>
      </c>
      <c r="P481" s="12">
        <f t="shared" si="274"/>
        <v>32</v>
      </c>
      <c r="Q481" s="12">
        <f>IF(E481="HERRAJE",0,IFERROR(_xlfn.XLOOKUP(E481,'⚙️ Configuración Costos'!$E$5:$E$6,'⚙️ Configuración Costos'!$F$5:$F$6),""))</f>
        <v>0</v>
      </c>
      <c r="R481" s="12">
        <f t="shared" si="275"/>
        <v>0</v>
      </c>
      <c r="S481" s="38">
        <f t="shared" si="276"/>
        <v>32</v>
      </c>
      <c r="T481" s="94" t="str">
        <f t="shared" si="277"/>
        <v>OK</v>
      </c>
      <c r="U481" s="95" t="str">
        <f t="shared" si="278"/>
        <v/>
      </c>
      <c r="V481" s="96">
        <f t="shared" si="279"/>
        <v>0</v>
      </c>
    </row>
    <row r="482" spans="1:22" ht="16" thickBot="1" x14ac:dyDescent="0.25">
      <c r="A482" s="36">
        <v>50</v>
      </c>
      <c r="B482" s="20">
        <v>0</v>
      </c>
      <c r="C482" s="20">
        <v>0</v>
      </c>
      <c r="D482" s="21" t="s">
        <v>97</v>
      </c>
      <c r="E482" s="21" t="s">
        <v>91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16" t="s">
        <v>33</v>
      </c>
      <c r="L482" s="48" t="s">
        <v>98</v>
      </c>
      <c r="M482" s="24">
        <f t="shared" si="272"/>
        <v>0</v>
      </c>
      <c r="N482" s="25">
        <f t="shared" si="273"/>
        <v>0</v>
      </c>
      <c r="O482" s="26">
        <f>IF(E482="HERRAJE",IFERROR(_xlfn.XLOOKUP(D482,'⚙️ Configuración Costos'!$A$11:$A$20,'⚙️ Configuración Costos'!$B$11:$B$20),""),IFERROR(_xlfn.XLOOKUP(E482,'⚙️ Configuración Costos'!$A$5:$A$6,'⚙️ Configuración Costos'!$B$5:$B$6),""))</f>
        <v>1.5</v>
      </c>
      <c r="P482" s="26">
        <f t="shared" si="274"/>
        <v>75</v>
      </c>
      <c r="Q482" s="26">
        <f>IF(E482="HERRAJE",0,IFERROR(_xlfn.XLOOKUP(E482,'⚙️ Configuración Costos'!$E$5:$E$6,'⚙️ Configuración Costos'!$F$5:$F$6),""))</f>
        <v>0</v>
      </c>
      <c r="R482" s="26">
        <f t="shared" si="275"/>
        <v>0</v>
      </c>
      <c r="S482" s="39">
        <f t="shared" si="276"/>
        <v>75</v>
      </c>
      <c r="T482" s="94" t="str">
        <f t="shared" si="277"/>
        <v>OK</v>
      </c>
      <c r="U482" s="95" t="str">
        <f t="shared" si="278"/>
        <v/>
      </c>
      <c r="V482" s="96">
        <f t="shared" si="279"/>
        <v>0</v>
      </c>
    </row>
    <row r="483" spans="1:22" ht="16" thickTop="1" x14ac:dyDescent="0.2">
      <c r="A483" s="27" t="s">
        <v>99</v>
      </c>
      <c r="B483" s="27"/>
      <c r="C483" s="27"/>
      <c r="D483" s="28"/>
      <c r="E483" s="28"/>
      <c r="F483" s="29"/>
      <c r="G483" s="29"/>
      <c r="H483" s="29"/>
      <c r="I483" s="29"/>
      <c r="J483" s="29"/>
      <c r="K483" s="30"/>
      <c r="L483" s="49" t="s">
        <v>188</v>
      </c>
      <c r="M483" s="31">
        <f>SUM(M469:M482)</f>
        <v>5.1807569999999998</v>
      </c>
      <c r="N483" s="32">
        <f>SUM(N469:N482)</f>
        <v>19.5</v>
      </c>
      <c r="O483" s="33"/>
      <c r="P483" s="33">
        <f>SUM(P469:P482)</f>
        <v>1636.7659998426229</v>
      </c>
      <c r="Q483" s="33"/>
      <c r="R483" s="33">
        <f>SUM(R469:R482)</f>
        <v>134.44399999999999</v>
      </c>
      <c r="S483" s="33">
        <f>SUM(S469:S482)</f>
        <v>1771.2099998426233</v>
      </c>
      <c r="T483" s="97"/>
      <c r="U483" s="98"/>
      <c r="V483" s="99"/>
    </row>
    <row r="484" spans="1:22" x14ac:dyDescent="0.2">
      <c r="A484" s="186" t="s">
        <v>308</v>
      </c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8"/>
      <c r="T484" s="97"/>
      <c r="U484" s="98"/>
      <c r="V484" s="99"/>
    </row>
    <row r="485" spans="1:22" x14ac:dyDescent="0.2">
      <c r="A485" s="34">
        <v>1</v>
      </c>
      <c r="B485" s="13">
        <v>2100</v>
      </c>
      <c r="C485" s="13">
        <v>580</v>
      </c>
      <c r="D485" s="14" t="s">
        <v>63</v>
      </c>
      <c r="E485" s="14" t="s">
        <v>64</v>
      </c>
      <c r="F485" s="15">
        <v>0</v>
      </c>
      <c r="G485" s="15">
        <v>1</v>
      </c>
      <c r="H485" s="15">
        <v>1</v>
      </c>
      <c r="I485" s="15">
        <v>1</v>
      </c>
      <c r="J485" s="15">
        <v>1</v>
      </c>
      <c r="K485" s="16" t="s">
        <v>34</v>
      </c>
      <c r="L485" s="46" t="s">
        <v>296</v>
      </c>
      <c r="M485" s="17">
        <f t="shared" ref="M485:M498" si="280">IF(AND(ISNUMBER(B485),ISNUMBER(C485),B485&gt;0,C485&gt;0),A485*(B485*C485/1000000),0)</f>
        <v>1.218</v>
      </c>
      <c r="N485" s="18">
        <f t="shared" ref="N485:N498" si="281">IF(AND(ISNUMBER(B485),B485&gt;0),A485*(((G485+H485)*B485+(I485+J485)*C485)/1000),0)</f>
        <v>5.36</v>
      </c>
      <c r="O485" s="19">
        <f>IF(E485="HERRAJE",IFERROR(_xlfn.XLOOKUP(D485,'⚙️ Configuración Costos'!$A$11:$A$20,'⚙️ Configuración Costos'!$B$11:$B$20),""),IFERROR(_xlfn.XLOOKUP(E485,'⚙️ Configuración Costos'!$A$5:$A$6,'⚙️ Configuración Costos'!$B$5:$B$6),""))</f>
        <v>239.8426229508197</v>
      </c>
      <c r="P485" s="19">
        <f t="shared" ref="P485:P498" si="282">IF(E485="HERRAJE",A485*O485,M485*O485)</f>
        <v>292.12831475409837</v>
      </c>
      <c r="Q485" s="19">
        <f>IF(E485="HERRAJE",0,IFERROR(_xlfn.XLOOKUP(E485,'⚙️ Configuración Costos'!$E$5:$E$6,'⚙️ Configuración Costos'!$F$5:$F$6),""))</f>
        <v>6</v>
      </c>
      <c r="R485" s="19">
        <f t="shared" ref="R485:R498" si="283">N485*Q485</f>
        <v>32.160000000000004</v>
      </c>
      <c r="S485" s="37">
        <f t="shared" ref="S485:S498" si="284">P485+R485</f>
        <v>324.28831475409839</v>
      </c>
      <c r="T485" s="94" t="str">
        <f t="shared" ref="T485:T498" si="285">IF(K485="","SIN ID MÓDULO",IF(E485="HERRAJE",IF(OR(O485="",O485&lt;=0),"SIN PRECIO HERRAJE","OK"),IF(OR(O485="",O485&lt;=0),"SIN PRECIO MATERIAL",IF(AND(N485&gt;0,OR(Q485="",Q485&lt;=0)),"SIN PRECIO CINTILLA","OK"))))</f>
        <v>OK</v>
      </c>
      <c r="U485" s="95" t="str">
        <f t="shared" ref="U485:U498" si="286">IF(T485="OK","",IF(T485="SIN PRECIO HERRAJE","Capturar precio: "&amp;D485,IF(T485="SIN PRECIO MATERIAL","Configurar material: "&amp;E485,IF(T485="SIN PRECIO CINTILLA","Configurar cintilla: "&amp;E485,IF(T485="SIN ID MÓDULO","Revisar ID del módulo","")))))</f>
        <v/>
      </c>
      <c r="V485" s="96">
        <f t="shared" ref="V485:V498" si="287">IF(T485="OK",0,IF(T485="",0,1))</f>
        <v>0</v>
      </c>
    </row>
    <row r="486" spans="1:22" x14ac:dyDescent="0.2">
      <c r="A486" s="35">
        <v>1</v>
      </c>
      <c r="B486" s="6">
        <v>2100</v>
      </c>
      <c r="C486" s="6">
        <v>580</v>
      </c>
      <c r="D486" s="7" t="s">
        <v>66</v>
      </c>
      <c r="E486" s="7" t="s">
        <v>64</v>
      </c>
      <c r="F486" s="8">
        <v>0</v>
      </c>
      <c r="G486" s="8">
        <v>1</v>
      </c>
      <c r="H486" s="8">
        <v>1</v>
      </c>
      <c r="I486" s="8">
        <v>1</v>
      </c>
      <c r="J486" s="8">
        <v>1</v>
      </c>
      <c r="K486" s="16" t="s">
        <v>34</v>
      </c>
      <c r="L486" s="47" t="s">
        <v>297</v>
      </c>
      <c r="M486" s="10">
        <f t="shared" si="280"/>
        <v>1.218</v>
      </c>
      <c r="N486" s="11">
        <f t="shared" si="281"/>
        <v>5.36</v>
      </c>
      <c r="O486" s="12">
        <f>IF(E486="HERRAJE",IFERROR(_xlfn.XLOOKUP(D486,'⚙️ Configuración Costos'!$A$11:$A$20,'⚙️ Configuración Costos'!$B$11:$B$20),""),IFERROR(_xlfn.XLOOKUP(E486,'⚙️ Configuración Costos'!$A$5:$A$6,'⚙️ Configuración Costos'!$B$5:$B$6),""))</f>
        <v>239.8426229508197</v>
      </c>
      <c r="P486" s="12">
        <f t="shared" si="282"/>
        <v>292.12831475409837</v>
      </c>
      <c r="Q486" s="12">
        <f>IF(E486="HERRAJE",0,IFERROR(_xlfn.XLOOKUP(E486,'⚙️ Configuración Costos'!$E$5:$E$6,'⚙️ Configuración Costos'!$F$5:$F$6),""))</f>
        <v>6</v>
      </c>
      <c r="R486" s="12">
        <f t="shared" si="283"/>
        <v>32.160000000000004</v>
      </c>
      <c r="S486" s="38">
        <f t="shared" si="284"/>
        <v>324.28831475409839</v>
      </c>
      <c r="T486" s="94" t="str">
        <f t="shared" si="285"/>
        <v>OK</v>
      </c>
      <c r="U486" s="95" t="str">
        <f t="shared" si="286"/>
        <v/>
      </c>
      <c r="V486" s="96">
        <f t="shared" si="287"/>
        <v>0</v>
      </c>
    </row>
    <row r="487" spans="1:22" x14ac:dyDescent="0.2">
      <c r="A487" s="35">
        <v>1</v>
      </c>
      <c r="B487" s="6">
        <v>2069</v>
      </c>
      <c r="C487" s="6">
        <v>569</v>
      </c>
      <c r="D487" s="7" t="s">
        <v>298</v>
      </c>
      <c r="E487" s="7" t="s">
        <v>64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16" t="s">
        <v>34</v>
      </c>
      <c r="L487" s="47" t="s">
        <v>309</v>
      </c>
      <c r="M487" s="10">
        <f t="shared" si="280"/>
        <v>1.1772609999999999</v>
      </c>
      <c r="N487" s="11">
        <f t="shared" si="281"/>
        <v>0</v>
      </c>
      <c r="O487" s="12">
        <f>IF(E487="HERRAJE",IFERROR(_xlfn.XLOOKUP(D487,'⚙️ Configuración Costos'!$A$11:$A$20,'⚙️ Configuración Costos'!$B$11:$B$20),""),IFERROR(_xlfn.XLOOKUP(E487,'⚙️ Configuración Costos'!$A$5:$A$6,'⚙️ Configuración Costos'!$B$5:$B$6),""))</f>
        <v>239.8426229508197</v>
      </c>
      <c r="P487" s="12">
        <f t="shared" si="282"/>
        <v>282.3573661377049</v>
      </c>
      <c r="Q487" s="12">
        <f>IF(E487="HERRAJE",0,IFERROR(_xlfn.XLOOKUP(E487,'⚙️ Configuración Costos'!$E$5:$E$6,'⚙️ Configuración Costos'!$F$5:$F$6),""))</f>
        <v>6</v>
      </c>
      <c r="R487" s="12">
        <f t="shared" si="283"/>
        <v>0</v>
      </c>
      <c r="S487" s="38">
        <f t="shared" si="284"/>
        <v>282.3573661377049</v>
      </c>
      <c r="T487" s="94" t="str">
        <f t="shared" si="285"/>
        <v>OK</v>
      </c>
      <c r="U487" s="95" t="str">
        <f t="shared" si="286"/>
        <v/>
      </c>
      <c r="V487" s="96">
        <f t="shared" si="287"/>
        <v>0</v>
      </c>
    </row>
    <row r="488" spans="1:22" x14ac:dyDescent="0.2">
      <c r="A488" s="35">
        <v>1</v>
      </c>
      <c r="B488" s="6">
        <v>569</v>
      </c>
      <c r="C488" s="6">
        <v>580</v>
      </c>
      <c r="D488" s="7" t="s">
        <v>300</v>
      </c>
      <c r="E488" s="7" t="s">
        <v>64</v>
      </c>
      <c r="F488" s="8">
        <v>0</v>
      </c>
      <c r="G488" s="8">
        <v>0</v>
      </c>
      <c r="H488" s="8">
        <v>0</v>
      </c>
      <c r="I488" s="8">
        <v>1</v>
      </c>
      <c r="J488" s="8">
        <v>1</v>
      </c>
      <c r="K488" s="16" t="s">
        <v>34</v>
      </c>
      <c r="L488" s="47" t="s">
        <v>310</v>
      </c>
      <c r="M488" s="10">
        <f t="shared" si="280"/>
        <v>0.33001999999999998</v>
      </c>
      <c r="N488" s="11">
        <f t="shared" si="281"/>
        <v>1.1599999999999999</v>
      </c>
      <c r="O488" s="12">
        <f>IF(E488="HERRAJE",IFERROR(_xlfn.XLOOKUP(D488,'⚙️ Configuración Costos'!$A$11:$A$20,'⚙️ Configuración Costos'!$B$11:$B$20),""),IFERROR(_xlfn.XLOOKUP(E488,'⚙️ Configuración Costos'!$A$5:$A$6,'⚙️ Configuración Costos'!$B$5:$B$6),""))</f>
        <v>239.8426229508197</v>
      </c>
      <c r="P488" s="12">
        <f t="shared" si="282"/>
        <v>79.152862426229518</v>
      </c>
      <c r="Q488" s="12">
        <f>IF(E488="HERRAJE",0,IFERROR(_xlfn.XLOOKUP(E488,'⚙️ Configuración Costos'!$E$5:$E$6,'⚙️ Configuración Costos'!$F$5:$F$6),""))</f>
        <v>6</v>
      </c>
      <c r="R488" s="12">
        <f t="shared" si="283"/>
        <v>6.9599999999999991</v>
      </c>
      <c r="S488" s="38">
        <f t="shared" si="284"/>
        <v>86.112862426229512</v>
      </c>
      <c r="T488" s="94" t="str">
        <f t="shared" si="285"/>
        <v>OK</v>
      </c>
      <c r="U488" s="95" t="str">
        <f t="shared" si="286"/>
        <v/>
      </c>
      <c r="V488" s="96">
        <f t="shared" si="287"/>
        <v>0</v>
      </c>
    </row>
    <row r="489" spans="1:22" x14ac:dyDescent="0.2">
      <c r="A489" s="35">
        <v>1</v>
      </c>
      <c r="B489" s="6">
        <v>569</v>
      </c>
      <c r="C489" s="6">
        <v>580</v>
      </c>
      <c r="D489" s="7" t="s">
        <v>302</v>
      </c>
      <c r="E489" s="7" t="s">
        <v>64</v>
      </c>
      <c r="F489" s="8">
        <v>0</v>
      </c>
      <c r="G489" s="8">
        <v>0</v>
      </c>
      <c r="H489" s="8">
        <v>0</v>
      </c>
      <c r="I489" s="8">
        <v>1</v>
      </c>
      <c r="J489" s="8">
        <v>1</v>
      </c>
      <c r="K489" s="16" t="s">
        <v>34</v>
      </c>
      <c r="L489" s="47" t="s">
        <v>311</v>
      </c>
      <c r="M489" s="10">
        <f t="shared" si="280"/>
        <v>0.33001999999999998</v>
      </c>
      <c r="N489" s="11">
        <f t="shared" si="281"/>
        <v>1.1599999999999999</v>
      </c>
      <c r="O489" s="12">
        <f>IF(E489="HERRAJE",IFERROR(_xlfn.XLOOKUP(D489,'⚙️ Configuración Costos'!$A$11:$A$20,'⚙️ Configuración Costos'!$B$11:$B$20),""),IFERROR(_xlfn.XLOOKUP(E489,'⚙️ Configuración Costos'!$A$5:$A$6,'⚙️ Configuración Costos'!$B$5:$B$6),""))</f>
        <v>239.8426229508197</v>
      </c>
      <c r="P489" s="12">
        <f t="shared" si="282"/>
        <v>79.152862426229518</v>
      </c>
      <c r="Q489" s="12">
        <f>IF(E489="HERRAJE",0,IFERROR(_xlfn.XLOOKUP(E489,'⚙️ Configuración Costos'!$E$5:$E$6,'⚙️ Configuración Costos'!$F$5:$F$6),""))</f>
        <v>6</v>
      </c>
      <c r="R489" s="12">
        <f t="shared" si="283"/>
        <v>6.9599999999999991</v>
      </c>
      <c r="S489" s="38">
        <f t="shared" si="284"/>
        <v>86.112862426229512</v>
      </c>
      <c r="T489" s="94" t="str">
        <f t="shared" si="285"/>
        <v>OK</v>
      </c>
      <c r="U489" s="95" t="str">
        <f t="shared" si="286"/>
        <v/>
      </c>
      <c r="V489" s="96">
        <f t="shared" si="287"/>
        <v>0</v>
      </c>
    </row>
    <row r="490" spans="1:22" x14ac:dyDescent="0.2">
      <c r="A490" s="35">
        <v>4</v>
      </c>
      <c r="B490" s="6">
        <v>569</v>
      </c>
      <c r="C490" s="6">
        <v>490</v>
      </c>
      <c r="D490" s="7" t="s">
        <v>304</v>
      </c>
      <c r="E490" s="7" t="s">
        <v>64</v>
      </c>
      <c r="F490" s="8">
        <v>0</v>
      </c>
      <c r="G490" s="8">
        <v>1</v>
      </c>
      <c r="H490" s="8">
        <v>0</v>
      </c>
      <c r="I490" s="8">
        <v>0</v>
      </c>
      <c r="J490" s="8">
        <v>0</v>
      </c>
      <c r="K490" s="16" t="s">
        <v>34</v>
      </c>
      <c r="L490" s="47" t="s">
        <v>312</v>
      </c>
      <c r="M490" s="10">
        <f t="shared" si="280"/>
        <v>1.11524</v>
      </c>
      <c r="N490" s="11">
        <f t="shared" si="281"/>
        <v>2.2759999999999998</v>
      </c>
      <c r="O490" s="12">
        <f>IF(E490="HERRAJE",IFERROR(_xlfn.XLOOKUP(D490,'⚙️ Configuración Costos'!$A$11:$A$20,'⚙️ Configuración Costos'!$B$11:$B$20),""),IFERROR(_xlfn.XLOOKUP(E490,'⚙️ Configuración Costos'!$A$5:$A$6,'⚙️ Configuración Costos'!$B$5:$B$6),""))</f>
        <v>239.8426229508197</v>
      </c>
      <c r="P490" s="12">
        <f t="shared" si="282"/>
        <v>267.48208681967219</v>
      </c>
      <c r="Q490" s="12">
        <f>IF(E490="HERRAJE",0,IFERROR(_xlfn.XLOOKUP(E490,'⚙️ Configuración Costos'!$E$5:$E$6,'⚙️ Configuración Costos'!$F$5:$F$6),""))</f>
        <v>6</v>
      </c>
      <c r="R490" s="12">
        <f t="shared" si="283"/>
        <v>13.655999999999999</v>
      </c>
      <c r="S490" s="38">
        <f t="shared" si="284"/>
        <v>281.1380868196722</v>
      </c>
      <c r="T490" s="94" t="str">
        <f t="shared" si="285"/>
        <v>OK</v>
      </c>
      <c r="U490" s="95" t="str">
        <f t="shared" si="286"/>
        <v/>
      </c>
      <c r="V490" s="96">
        <f t="shared" si="287"/>
        <v>0</v>
      </c>
    </row>
    <row r="491" spans="1:22" x14ac:dyDescent="0.2">
      <c r="A491" s="35">
        <v>1</v>
      </c>
      <c r="B491" s="6">
        <v>2096</v>
      </c>
      <c r="C491" s="6">
        <v>596</v>
      </c>
      <c r="D491" s="7" t="s">
        <v>306</v>
      </c>
      <c r="E491" s="7" t="s">
        <v>85</v>
      </c>
      <c r="F491" s="8">
        <v>1</v>
      </c>
      <c r="G491" s="8">
        <v>1</v>
      </c>
      <c r="H491" s="8">
        <v>1</v>
      </c>
      <c r="I491" s="8">
        <v>1</v>
      </c>
      <c r="J491" s="8">
        <v>1</v>
      </c>
      <c r="K491" s="16" t="s">
        <v>34</v>
      </c>
      <c r="L491" s="47" t="s">
        <v>313</v>
      </c>
      <c r="M491" s="10">
        <f t="shared" si="280"/>
        <v>1.2492160000000001</v>
      </c>
      <c r="N491" s="11">
        <f t="shared" si="281"/>
        <v>5.3840000000000003</v>
      </c>
      <c r="O491" s="12">
        <f>IF(E491="HERRAJE",IFERROR(_xlfn.XLOOKUP(D491,'⚙️ Configuración Costos'!$A$11:$A$20,'⚙️ Configuración Costos'!$B$11:$B$20),""),IFERROR(_xlfn.XLOOKUP(E491,'⚙️ Configuración Costos'!$A$5:$A$6,'⚙️ Configuración Costos'!$B$5:$B$6),""))</f>
        <v>332.85245901639348</v>
      </c>
      <c r="P491" s="12">
        <f t="shared" si="282"/>
        <v>415.80461744262306</v>
      </c>
      <c r="Q491" s="12">
        <f>IF(E491="HERRAJE",0,IFERROR(_xlfn.XLOOKUP(E491,'⚙️ Configuración Costos'!$E$5:$E$6,'⚙️ Configuración Costos'!$F$5:$F$6),""))</f>
        <v>9.5</v>
      </c>
      <c r="R491" s="12">
        <f t="shared" si="283"/>
        <v>51.148000000000003</v>
      </c>
      <c r="S491" s="38">
        <f t="shared" si="284"/>
        <v>466.95261744262308</v>
      </c>
      <c r="T491" s="94" t="str">
        <f t="shared" si="285"/>
        <v>OK</v>
      </c>
      <c r="U491" s="95" t="str">
        <f t="shared" si="286"/>
        <v/>
      </c>
      <c r="V491" s="96">
        <f t="shared" si="287"/>
        <v>0</v>
      </c>
    </row>
    <row r="492" spans="1:22" x14ac:dyDescent="0.2">
      <c r="A492" s="35">
        <v>2</v>
      </c>
      <c r="B492" s="6">
        <v>0</v>
      </c>
      <c r="C492" s="6">
        <v>0</v>
      </c>
      <c r="D492" s="7" t="s">
        <v>90</v>
      </c>
      <c r="E492" s="7" t="s">
        <v>91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16" t="s">
        <v>34</v>
      </c>
      <c r="L492" s="47" t="s">
        <v>92</v>
      </c>
      <c r="M492" s="10">
        <f t="shared" si="280"/>
        <v>0</v>
      </c>
      <c r="N492" s="11">
        <f t="shared" si="281"/>
        <v>0</v>
      </c>
      <c r="O492" s="12">
        <f>IF(E492="HERRAJE",IFERROR(_xlfn.XLOOKUP(D492,'⚙️ Configuración Costos'!$A$11:$A$20,'⚙️ Configuración Costos'!$B$11:$B$20),""),IFERROR(_xlfn.XLOOKUP(E492,'⚙️ Configuración Costos'!$A$5:$A$6,'⚙️ Configuración Costos'!$B$5:$B$6),""))</f>
        <v>20</v>
      </c>
      <c r="P492" s="12">
        <f t="shared" si="282"/>
        <v>40</v>
      </c>
      <c r="Q492" s="12">
        <f>IF(E492="HERRAJE",0,IFERROR(_xlfn.XLOOKUP(E492,'⚙️ Configuración Costos'!$E$5:$E$6,'⚙️ Configuración Costos'!$F$5:$F$6),""))</f>
        <v>0</v>
      </c>
      <c r="R492" s="12">
        <f t="shared" si="283"/>
        <v>0</v>
      </c>
      <c r="S492" s="38">
        <f t="shared" si="284"/>
        <v>40</v>
      </c>
      <c r="T492" s="94" t="str">
        <f t="shared" si="285"/>
        <v>OK</v>
      </c>
      <c r="U492" s="95" t="str">
        <f t="shared" si="286"/>
        <v/>
      </c>
      <c r="V492" s="96">
        <f t="shared" si="287"/>
        <v>0</v>
      </c>
    </row>
    <row r="493" spans="1:22" x14ac:dyDescent="0.2">
      <c r="A493" s="35">
        <v>1</v>
      </c>
      <c r="B493" s="6">
        <v>0</v>
      </c>
      <c r="C493" s="6">
        <v>0</v>
      </c>
      <c r="D493" s="7" t="s">
        <v>93</v>
      </c>
      <c r="E493" s="7" t="s">
        <v>91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16" t="s">
        <v>34</v>
      </c>
      <c r="L493" s="47" t="s">
        <v>94</v>
      </c>
      <c r="M493" s="10">
        <f t="shared" si="280"/>
        <v>0</v>
      </c>
      <c r="N493" s="11">
        <f t="shared" si="281"/>
        <v>0</v>
      </c>
      <c r="O493" s="12">
        <f>IF(E493="HERRAJE",IFERROR(_xlfn.XLOOKUP(D493,'⚙️ Configuración Costos'!$A$11:$A$20,'⚙️ Configuración Costos'!$B$11:$B$20),""),IFERROR(_xlfn.XLOOKUP(E493,'⚙️ Configuración Costos'!$A$5:$A$6,'⚙️ Configuración Costos'!$B$5:$B$6),""))</f>
        <v>15</v>
      </c>
      <c r="P493" s="12">
        <f t="shared" si="282"/>
        <v>15</v>
      </c>
      <c r="Q493" s="12">
        <f>IF(E493="HERRAJE",0,IFERROR(_xlfn.XLOOKUP(E493,'⚙️ Configuración Costos'!$E$5:$E$6,'⚙️ Configuración Costos'!$F$5:$F$6),""))</f>
        <v>0</v>
      </c>
      <c r="R493" s="12">
        <f t="shared" si="283"/>
        <v>0</v>
      </c>
      <c r="S493" s="38">
        <f t="shared" si="284"/>
        <v>15</v>
      </c>
      <c r="T493" s="94" t="str">
        <f t="shared" si="285"/>
        <v>OK</v>
      </c>
      <c r="U493" s="95" t="str">
        <f t="shared" si="286"/>
        <v/>
      </c>
      <c r="V493" s="96">
        <f t="shared" si="287"/>
        <v>0</v>
      </c>
    </row>
    <row r="494" spans="1:22" x14ac:dyDescent="0.2">
      <c r="A494" s="35">
        <v>4</v>
      </c>
      <c r="B494" s="6">
        <v>0</v>
      </c>
      <c r="C494" s="6">
        <v>0</v>
      </c>
      <c r="D494" s="7" t="s">
        <v>90</v>
      </c>
      <c r="E494" s="7" t="s">
        <v>91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16" t="s">
        <v>34</v>
      </c>
      <c r="L494" s="47" t="s">
        <v>92</v>
      </c>
      <c r="M494" s="10">
        <f t="shared" si="280"/>
        <v>0</v>
      </c>
      <c r="N494" s="11">
        <f t="shared" si="281"/>
        <v>0</v>
      </c>
      <c r="O494" s="12">
        <f>IF(E494="HERRAJE",IFERROR(_xlfn.XLOOKUP(D494,'⚙️ Configuración Costos'!$A$11:$A$20,'⚙️ Configuración Costos'!$B$11:$B$20),""),IFERROR(_xlfn.XLOOKUP(E494,'⚙️ Configuración Costos'!$A$5:$A$6,'⚙️ Configuración Costos'!$B$5:$B$6),""))</f>
        <v>20</v>
      </c>
      <c r="P494" s="12">
        <f t="shared" si="282"/>
        <v>80</v>
      </c>
      <c r="Q494" s="12">
        <f>IF(E494="HERRAJE",0,IFERROR(_xlfn.XLOOKUP(E494,'⚙️ Configuración Costos'!$E$5:$E$6,'⚙️ Configuración Costos'!$F$5:$F$6),""))</f>
        <v>0</v>
      </c>
      <c r="R494" s="12">
        <f t="shared" si="283"/>
        <v>0</v>
      </c>
      <c r="S494" s="38">
        <f t="shared" si="284"/>
        <v>80</v>
      </c>
      <c r="T494" s="94" t="str">
        <f t="shared" si="285"/>
        <v>OK</v>
      </c>
      <c r="U494" s="95" t="str">
        <f t="shared" si="286"/>
        <v/>
      </c>
      <c r="V494" s="96">
        <f t="shared" si="287"/>
        <v>0</v>
      </c>
    </row>
    <row r="495" spans="1:22" x14ac:dyDescent="0.2">
      <c r="A495" s="35">
        <v>1</v>
      </c>
      <c r="B495" s="6">
        <v>0</v>
      </c>
      <c r="C495" s="6">
        <v>0</v>
      </c>
      <c r="D495" s="7" t="s">
        <v>93</v>
      </c>
      <c r="E495" s="7" t="s">
        <v>91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16" t="s">
        <v>34</v>
      </c>
      <c r="L495" s="47" t="s">
        <v>94</v>
      </c>
      <c r="M495" s="10">
        <f t="shared" si="280"/>
        <v>0</v>
      </c>
      <c r="N495" s="11">
        <f t="shared" si="281"/>
        <v>0</v>
      </c>
      <c r="O495" s="12">
        <f>IF(E495="HERRAJE",IFERROR(_xlfn.XLOOKUP(D495,'⚙️ Configuración Costos'!$A$11:$A$20,'⚙️ Configuración Costos'!$B$11:$B$20),""),IFERROR(_xlfn.XLOOKUP(E495,'⚙️ Configuración Costos'!$A$5:$A$6,'⚙️ Configuración Costos'!$B$5:$B$6),""))</f>
        <v>15</v>
      </c>
      <c r="P495" s="12">
        <f t="shared" si="282"/>
        <v>15</v>
      </c>
      <c r="Q495" s="12">
        <f>IF(E495="HERRAJE",0,IFERROR(_xlfn.XLOOKUP(E495,'⚙️ Configuración Costos'!$E$5:$E$6,'⚙️ Configuración Costos'!$F$5:$F$6),""))</f>
        <v>0</v>
      </c>
      <c r="R495" s="12">
        <f t="shared" si="283"/>
        <v>0</v>
      </c>
      <c r="S495" s="38">
        <f t="shared" si="284"/>
        <v>15</v>
      </c>
      <c r="T495" s="94" t="str">
        <f t="shared" si="285"/>
        <v>OK</v>
      </c>
      <c r="U495" s="95" t="str">
        <f t="shared" si="286"/>
        <v/>
      </c>
      <c r="V495" s="96">
        <f t="shared" si="287"/>
        <v>0</v>
      </c>
    </row>
    <row r="496" spans="1:22" x14ac:dyDescent="0.2">
      <c r="A496" s="35">
        <v>4</v>
      </c>
      <c r="B496" s="6">
        <v>0</v>
      </c>
      <c r="C496" s="6">
        <v>0</v>
      </c>
      <c r="D496" s="7" t="s">
        <v>186</v>
      </c>
      <c r="E496" s="7" t="s">
        <v>91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16" t="s">
        <v>34</v>
      </c>
      <c r="L496" s="47" t="s">
        <v>187</v>
      </c>
      <c r="M496" s="10">
        <f t="shared" si="280"/>
        <v>0</v>
      </c>
      <c r="N496" s="11">
        <f t="shared" si="281"/>
        <v>0</v>
      </c>
      <c r="O496" s="12">
        <f>IF(E496="HERRAJE",IFERROR(_xlfn.XLOOKUP(D496,'⚙️ Configuración Costos'!$A$11:$A$20,'⚙️ Configuración Costos'!$B$11:$B$20),""),IFERROR(_xlfn.XLOOKUP(E496,'⚙️ Configuración Costos'!$A$5:$A$6,'⚙️ Configuración Costos'!$B$5:$B$6),""))</f>
        <v>15</v>
      </c>
      <c r="P496" s="12">
        <f t="shared" si="282"/>
        <v>60</v>
      </c>
      <c r="Q496" s="12">
        <f>IF(E496="HERRAJE",0,IFERROR(_xlfn.XLOOKUP(E496,'⚙️ Configuración Costos'!$E$5:$E$6,'⚙️ Configuración Costos'!$F$5:$F$6),""))</f>
        <v>0</v>
      </c>
      <c r="R496" s="12">
        <f t="shared" si="283"/>
        <v>0</v>
      </c>
      <c r="S496" s="38">
        <f t="shared" si="284"/>
        <v>60</v>
      </c>
      <c r="T496" s="94" t="str">
        <f t="shared" si="285"/>
        <v>OK</v>
      </c>
      <c r="U496" s="95" t="str">
        <f t="shared" si="286"/>
        <v/>
      </c>
      <c r="V496" s="96">
        <f t="shared" si="287"/>
        <v>0</v>
      </c>
    </row>
    <row r="497" spans="1:22" x14ac:dyDescent="0.2">
      <c r="A497" s="35">
        <v>16</v>
      </c>
      <c r="B497" s="6">
        <v>0</v>
      </c>
      <c r="C497" s="6">
        <v>0</v>
      </c>
      <c r="D497" s="7" t="s">
        <v>95</v>
      </c>
      <c r="E497" s="7" t="s">
        <v>91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16" t="s">
        <v>34</v>
      </c>
      <c r="L497" s="47" t="s">
        <v>96</v>
      </c>
      <c r="M497" s="10">
        <f t="shared" si="280"/>
        <v>0</v>
      </c>
      <c r="N497" s="11">
        <f t="shared" si="281"/>
        <v>0</v>
      </c>
      <c r="O497" s="12">
        <f>IF(E497="HERRAJE",IFERROR(_xlfn.XLOOKUP(D497,'⚙️ Configuración Costos'!$A$11:$A$20,'⚙️ Configuración Costos'!$B$11:$B$20),""),IFERROR(_xlfn.XLOOKUP(E497,'⚙️ Configuración Costos'!$A$5:$A$6,'⚙️ Configuración Costos'!$B$5:$B$6),""))</f>
        <v>2</v>
      </c>
      <c r="P497" s="12">
        <f t="shared" si="282"/>
        <v>32</v>
      </c>
      <c r="Q497" s="12">
        <f>IF(E497="HERRAJE",0,IFERROR(_xlfn.XLOOKUP(E497,'⚙️ Configuración Costos'!$E$5:$E$6,'⚙️ Configuración Costos'!$F$5:$F$6),""))</f>
        <v>0</v>
      </c>
      <c r="R497" s="12">
        <f t="shared" si="283"/>
        <v>0</v>
      </c>
      <c r="S497" s="38">
        <f t="shared" si="284"/>
        <v>32</v>
      </c>
      <c r="T497" s="94" t="str">
        <f t="shared" si="285"/>
        <v>OK</v>
      </c>
      <c r="U497" s="95" t="str">
        <f t="shared" si="286"/>
        <v/>
      </c>
      <c r="V497" s="96">
        <f t="shared" si="287"/>
        <v>0</v>
      </c>
    </row>
    <row r="498" spans="1:22" ht="16" thickBot="1" x14ac:dyDescent="0.25">
      <c r="A498" s="36">
        <v>50</v>
      </c>
      <c r="B498" s="20">
        <v>0</v>
      </c>
      <c r="C498" s="20">
        <v>0</v>
      </c>
      <c r="D498" s="21" t="s">
        <v>97</v>
      </c>
      <c r="E498" s="21" t="s">
        <v>91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16" t="s">
        <v>34</v>
      </c>
      <c r="L498" s="48" t="s">
        <v>98</v>
      </c>
      <c r="M498" s="24">
        <f t="shared" si="280"/>
        <v>0</v>
      </c>
      <c r="N498" s="25">
        <f t="shared" si="281"/>
        <v>0</v>
      </c>
      <c r="O498" s="26">
        <f>IF(E498="HERRAJE",IFERROR(_xlfn.XLOOKUP(D498,'⚙️ Configuración Costos'!$A$11:$A$20,'⚙️ Configuración Costos'!$B$11:$B$20),""),IFERROR(_xlfn.XLOOKUP(E498,'⚙️ Configuración Costos'!$A$5:$A$6,'⚙️ Configuración Costos'!$B$5:$B$6),""))</f>
        <v>1.5</v>
      </c>
      <c r="P498" s="26">
        <f t="shared" si="282"/>
        <v>75</v>
      </c>
      <c r="Q498" s="26">
        <f>IF(E498="HERRAJE",0,IFERROR(_xlfn.XLOOKUP(E498,'⚙️ Configuración Costos'!$E$5:$E$6,'⚙️ Configuración Costos'!$F$5:$F$6),""))</f>
        <v>0</v>
      </c>
      <c r="R498" s="26">
        <f t="shared" si="283"/>
        <v>0</v>
      </c>
      <c r="S498" s="39">
        <f t="shared" si="284"/>
        <v>75</v>
      </c>
      <c r="T498" s="94" t="str">
        <f t="shared" si="285"/>
        <v>OK</v>
      </c>
      <c r="U498" s="95" t="str">
        <f t="shared" si="286"/>
        <v/>
      </c>
      <c r="V498" s="96">
        <f t="shared" si="287"/>
        <v>0</v>
      </c>
    </row>
    <row r="499" spans="1:22" ht="16" thickTop="1" x14ac:dyDescent="0.2">
      <c r="A499" s="27" t="s">
        <v>99</v>
      </c>
      <c r="B499" s="27"/>
      <c r="C499" s="27"/>
      <c r="D499" s="28"/>
      <c r="E499" s="28"/>
      <c r="F499" s="29"/>
      <c r="G499" s="29"/>
      <c r="H499" s="29"/>
      <c r="I499" s="29"/>
      <c r="J499" s="29"/>
      <c r="K499" s="30"/>
      <c r="L499" s="49" t="s">
        <v>188</v>
      </c>
      <c r="M499" s="31">
        <f>SUM(M485:M498)</f>
        <v>6.6377570000000006</v>
      </c>
      <c r="N499" s="32">
        <f>SUM(N485:N498)</f>
        <v>20.700000000000003</v>
      </c>
      <c r="O499" s="33"/>
      <c r="P499" s="33">
        <f>SUM(P485:P498)</f>
        <v>2025.2064247606559</v>
      </c>
      <c r="Q499" s="33"/>
      <c r="R499" s="33">
        <f>SUM(R485:R498)</f>
        <v>143.04399999999998</v>
      </c>
      <c r="S499" s="33">
        <f>SUM(S485:S498)</f>
        <v>2168.2504247606557</v>
      </c>
      <c r="T499" s="97"/>
      <c r="U499" s="98"/>
      <c r="V499" s="99"/>
    </row>
    <row r="500" spans="1:22" x14ac:dyDescent="0.2">
      <c r="A500" s="186" t="s">
        <v>314</v>
      </c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8"/>
      <c r="T500" s="97"/>
      <c r="U500" s="98"/>
      <c r="V500" s="99"/>
    </row>
    <row r="501" spans="1:22" x14ac:dyDescent="0.2">
      <c r="A501" s="34">
        <v>1</v>
      </c>
      <c r="B501" s="13">
        <v>2100</v>
      </c>
      <c r="C501" s="13">
        <v>580</v>
      </c>
      <c r="D501" s="14" t="s">
        <v>63</v>
      </c>
      <c r="E501" s="14" t="s">
        <v>64</v>
      </c>
      <c r="F501" s="15">
        <v>0</v>
      </c>
      <c r="G501" s="15">
        <v>1</v>
      </c>
      <c r="H501" s="15">
        <v>1</v>
      </c>
      <c r="I501" s="15">
        <v>1</v>
      </c>
      <c r="J501" s="15">
        <v>1</v>
      </c>
      <c r="K501" s="16" t="s">
        <v>35</v>
      </c>
      <c r="L501" s="46" t="s">
        <v>296</v>
      </c>
      <c r="M501" s="17">
        <f t="shared" ref="M501:M513" si="288">IF(AND(ISNUMBER(B501),ISNUMBER(C501),B501&gt;0,C501&gt;0),A501*(B501*C501/1000000),0)</f>
        <v>1.218</v>
      </c>
      <c r="N501" s="18">
        <f t="shared" ref="N501:N513" si="289">IF(AND(ISNUMBER(B501),B501&gt;0),A501*(((G501+H501)*B501+(I501+J501)*C501)/1000),0)</f>
        <v>5.36</v>
      </c>
      <c r="O501" s="19">
        <f>IF(E501="HERRAJE",IFERROR(_xlfn.XLOOKUP(D501,'⚙️ Configuración Costos'!$A$11:$A$20,'⚙️ Configuración Costos'!$B$11:$B$20),""),IFERROR(_xlfn.XLOOKUP(E501,'⚙️ Configuración Costos'!$A$5:$A$6,'⚙️ Configuración Costos'!$B$5:$B$6),""))</f>
        <v>239.8426229508197</v>
      </c>
      <c r="P501" s="19">
        <f t="shared" ref="P501:P513" si="290">IF(E501="HERRAJE",A501*O501,M501*O501)</f>
        <v>292.12831475409837</v>
      </c>
      <c r="Q501" s="19">
        <f>IF(E501="HERRAJE",0,IFERROR(_xlfn.XLOOKUP(E501,'⚙️ Configuración Costos'!$E$5:$E$6,'⚙️ Configuración Costos'!$F$5:$F$6),""))</f>
        <v>6</v>
      </c>
      <c r="R501" s="19">
        <f t="shared" ref="R501:R513" si="291">N501*Q501</f>
        <v>32.160000000000004</v>
      </c>
      <c r="S501" s="37">
        <f t="shared" ref="S501:S513" si="292">P501+R501</f>
        <v>324.28831475409839</v>
      </c>
      <c r="T501" s="94" t="str">
        <f t="shared" ref="T501:T513" si="293">IF(K501="","SIN ID MÓDULO",IF(E501="HERRAJE",IF(OR(O501="",O501&lt;=0),"SIN PRECIO HERRAJE","OK"),IF(OR(O501="",O501&lt;=0),"SIN PRECIO MATERIAL",IF(AND(N501&gt;0,OR(Q501="",Q501&lt;=0)),"SIN PRECIO CINTILLA","OK"))))</f>
        <v>OK</v>
      </c>
      <c r="U501" s="95" t="str">
        <f t="shared" ref="U501:U513" si="294">IF(T501="OK","",IF(T501="SIN PRECIO HERRAJE","Capturar precio: "&amp;D501,IF(T501="SIN PRECIO MATERIAL","Configurar material: "&amp;E501,IF(T501="SIN PRECIO CINTILLA","Configurar cintilla: "&amp;E501,IF(T501="SIN ID MÓDULO","Revisar ID del módulo","")))))</f>
        <v/>
      </c>
      <c r="V501" s="96">
        <f t="shared" ref="V501:V513" si="295">IF(T501="OK",0,IF(T501="",0,1))</f>
        <v>0</v>
      </c>
    </row>
    <row r="502" spans="1:22" x14ac:dyDescent="0.2">
      <c r="A502" s="35">
        <v>1</v>
      </c>
      <c r="B502" s="6">
        <v>2100</v>
      </c>
      <c r="C502" s="6">
        <v>580</v>
      </c>
      <c r="D502" s="7" t="s">
        <v>66</v>
      </c>
      <c r="E502" s="7" t="s">
        <v>64</v>
      </c>
      <c r="F502" s="8">
        <v>0</v>
      </c>
      <c r="G502" s="8">
        <v>1</v>
      </c>
      <c r="H502" s="8">
        <v>1</v>
      </c>
      <c r="I502" s="8">
        <v>1</v>
      </c>
      <c r="J502" s="8">
        <v>1</v>
      </c>
      <c r="K502" s="16" t="s">
        <v>35</v>
      </c>
      <c r="L502" s="47" t="s">
        <v>297</v>
      </c>
      <c r="M502" s="10">
        <f t="shared" si="288"/>
        <v>1.218</v>
      </c>
      <c r="N502" s="11">
        <f t="shared" si="289"/>
        <v>5.36</v>
      </c>
      <c r="O502" s="12">
        <f>IF(E502="HERRAJE",IFERROR(_xlfn.XLOOKUP(D502,'⚙️ Configuración Costos'!$A$11:$A$20,'⚙️ Configuración Costos'!$B$11:$B$20),""),IFERROR(_xlfn.XLOOKUP(E502,'⚙️ Configuración Costos'!$A$5:$A$6,'⚙️ Configuración Costos'!$B$5:$B$6),""))</f>
        <v>239.8426229508197</v>
      </c>
      <c r="P502" s="12">
        <f t="shared" si="290"/>
        <v>292.12831475409837</v>
      </c>
      <c r="Q502" s="12">
        <f>IF(E502="HERRAJE",0,IFERROR(_xlfn.XLOOKUP(E502,'⚙️ Configuración Costos'!$E$5:$E$6,'⚙️ Configuración Costos'!$F$5:$F$6),""))</f>
        <v>6</v>
      </c>
      <c r="R502" s="12">
        <f t="shared" si="291"/>
        <v>32.160000000000004</v>
      </c>
      <c r="S502" s="38">
        <f t="shared" si="292"/>
        <v>324.28831475409839</v>
      </c>
      <c r="T502" s="94" t="str">
        <f t="shared" si="293"/>
        <v>OK</v>
      </c>
      <c r="U502" s="95" t="str">
        <f t="shared" si="294"/>
        <v/>
      </c>
      <c r="V502" s="96">
        <f t="shared" si="295"/>
        <v>0</v>
      </c>
    </row>
    <row r="503" spans="1:22" x14ac:dyDescent="0.2">
      <c r="A503" s="35">
        <v>1</v>
      </c>
      <c r="B503" s="6">
        <v>2069</v>
      </c>
      <c r="C503" s="6">
        <v>769</v>
      </c>
      <c r="D503" s="7" t="s">
        <v>298</v>
      </c>
      <c r="E503" s="7" t="s">
        <v>64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16" t="s">
        <v>35</v>
      </c>
      <c r="L503" s="47" t="s">
        <v>315</v>
      </c>
      <c r="M503" s="10">
        <f t="shared" si="288"/>
        <v>1.5910610000000001</v>
      </c>
      <c r="N503" s="11">
        <f t="shared" si="289"/>
        <v>0</v>
      </c>
      <c r="O503" s="12">
        <f>IF(E503="HERRAJE",IFERROR(_xlfn.XLOOKUP(D503,'⚙️ Configuración Costos'!$A$11:$A$20,'⚙️ Configuración Costos'!$B$11:$B$20),""),IFERROR(_xlfn.XLOOKUP(E503,'⚙️ Configuración Costos'!$A$5:$A$6,'⚙️ Configuración Costos'!$B$5:$B$6),""))</f>
        <v>239.8426229508197</v>
      </c>
      <c r="P503" s="12">
        <f t="shared" si="290"/>
        <v>381.60424351475416</v>
      </c>
      <c r="Q503" s="12">
        <f>IF(E503="HERRAJE",0,IFERROR(_xlfn.XLOOKUP(E503,'⚙️ Configuración Costos'!$E$5:$E$6,'⚙️ Configuración Costos'!$F$5:$F$6),""))</f>
        <v>6</v>
      </c>
      <c r="R503" s="12">
        <f t="shared" si="291"/>
        <v>0</v>
      </c>
      <c r="S503" s="38">
        <f t="shared" si="292"/>
        <v>381.60424351475416</v>
      </c>
      <c r="T503" s="94" t="str">
        <f t="shared" si="293"/>
        <v>OK</v>
      </c>
      <c r="U503" s="95" t="str">
        <f t="shared" si="294"/>
        <v/>
      </c>
      <c r="V503" s="96">
        <f t="shared" si="295"/>
        <v>0</v>
      </c>
    </row>
    <row r="504" spans="1:22" x14ac:dyDescent="0.2">
      <c r="A504" s="35">
        <v>1</v>
      </c>
      <c r="B504" s="6">
        <v>769</v>
      </c>
      <c r="C504" s="6">
        <v>580</v>
      </c>
      <c r="D504" s="7" t="s">
        <v>300</v>
      </c>
      <c r="E504" s="7" t="s">
        <v>64</v>
      </c>
      <c r="F504" s="8">
        <v>0</v>
      </c>
      <c r="G504" s="8">
        <v>1</v>
      </c>
      <c r="H504" s="8">
        <v>1</v>
      </c>
      <c r="I504" s="8">
        <v>0</v>
      </c>
      <c r="J504" s="8">
        <v>0</v>
      </c>
      <c r="K504" s="16" t="s">
        <v>35</v>
      </c>
      <c r="L504" s="47" t="s">
        <v>316</v>
      </c>
      <c r="M504" s="10">
        <f t="shared" si="288"/>
        <v>0.44602000000000003</v>
      </c>
      <c r="N504" s="11">
        <f t="shared" si="289"/>
        <v>1.538</v>
      </c>
      <c r="O504" s="12">
        <f>IF(E504="HERRAJE",IFERROR(_xlfn.XLOOKUP(D504,'⚙️ Configuración Costos'!$A$11:$A$20,'⚙️ Configuración Costos'!$B$11:$B$20),""),IFERROR(_xlfn.XLOOKUP(E504,'⚙️ Configuración Costos'!$A$5:$A$6,'⚙️ Configuración Costos'!$B$5:$B$6),""))</f>
        <v>239.8426229508197</v>
      </c>
      <c r="P504" s="12">
        <f t="shared" si="290"/>
        <v>106.97460668852462</v>
      </c>
      <c r="Q504" s="12">
        <f>IF(E504="HERRAJE",0,IFERROR(_xlfn.XLOOKUP(E504,'⚙️ Configuración Costos'!$E$5:$E$6,'⚙️ Configuración Costos'!$F$5:$F$6),""))</f>
        <v>6</v>
      </c>
      <c r="R504" s="12">
        <f t="shared" si="291"/>
        <v>9.2279999999999998</v>
      </c>
      <c r="S504" s="38">
        <f t="shared" si="292"/>
        <v>116.20260668852461</v>
      </c>
      <c r="T504" s="94" t="str">
        <f t="shared" si="293"/>
        <v>OK</v>
      </c>
      <c r="U504" s="95" t="str">
        <f t="shared" si="294"/>
        <v/>
      </c>
      <c r="V504" s="96">
        <f t="shared" si="295"/>
        <v>0</v>
      </c>
    </row>
    <row r="505" spans="1:22" x14ac:dyDescent="0.2">
      <c r="A505" s="35">
        <v>1</v>
      </c>
      <c r="B505" s="6">
        <v>769</v>
      </c>
      <c r="C505" s="6">
        <v>580</v>
      </c>
      <c r="D505" s="7" t="s">
        <v>302</v>
      </c>
      <c r="E505" s="7" t="s">
        <v>64</v>
      </c>
      <c r="F505" s="8">
        <v>0</v>
      </c>
      <c r="G505" s="8">
        <v>1</v>
      </c>
      <c r="H505" s="8">
        <v>1</v>
      </c>
      <c r="I505" s="8">
        <v>0</v>
      </c>
      <c r="J505" s="8">
        <v>0</v>
      </c>
      <c r="K505" s="16" t="s">
        <v>35</v>
      </c>
      <c r="L505" s="47" t="s">
        <v>317</v>
      </c>
      <c r="M505" s="10">
        <f t="shared" si="288"/>
        <v>0.44602000000000003</v>
      </c>
      <c r="N505" s="11">
        <f t="shared" si="289"/>
        <v>1.538</v>
      </c>
      <c r="O505" s="12">
        <f>IF(E505="HERRAJE",IFERROR(_xlfn.XLOOKUP(D505,'⚙️ Configuración Costos'!$A$11:$A$20,'⚙️ Configuración Costos'!$B$11:$B$20),""),IFERROR(_xlfn.XLOOKUP(E505,'⚙️ Configuración Costos'!$A$5:$A$6,'⚙️ Configuración Costos'!$B$5:$B$6),""))</f>
        <v>239.8426229508197</v>
      </c>
      <c r="P505" s="12">
        <f t="shared" si="290"/>
        <v>106.97460668852462</v>
      </c>
      <c r="Q505" s="12">
        <f>IF(E505="HERRAJE",0,IFERROR(_xlfn.XLOOKUP(E505,'⚙️ Configuración Costos'!$E$5:$E$6,'⚙️ Configuración Costos'!$F$5:$F$6),""))</f>
        <v>6</v>
      </c>
      <c r="R505" s="12">
        <f t="shared" si="291"/>
        <v>9.2279999999999998</v>
      </c>
      <c r="S505" s="38">
        <f t="shared" si="292"/>
        <v>116.20260668852461</v>
      </c>
      <c r="T505" s="94" t="str">
        <f t="shared" si="293"/>
        <v>OK</v>
      </c>
      <c r="U505" s="95" t="str">
        <f t="shared" si="294"/>
        <v/>
      </c>
      <c r="V505" s="96">
        <f t="shared" si="295"/>
        <v>0</v>
      </c>
    </row>
    <row r="506" spans="1:22" x14ac:dyDescent="0.2">
      <c r="A506" s="35">
        <v>4</v>
      </c>
      <c r="B506" s="6">
        <v>769</v>
      </c>
      <c r="C506" s="6">
        <v>490</v>
      </c>
      <c r="D506" s="7" t="s">
        <v>304</v>
      </c>
      <c r="E506" s="7" t="s">
        <v>64</v>
      </c>
      <c r="F506" s="8">
        <v>0</v>
      </c>
      <c r="G506" s="8">
        <v>1</v>
      </c>
      <c r="H506" s="8">
        <v>0</v>
      </c>
      <c r="I506" s="8">
        <v>0</v>
      </c>
      <c r="J506" s="8">
        <v>0</v>
      </c>
      <c r="K506" s="16" t="s">
        <v>35</v>
      </c>
      <c r="L506" s="47" t="s">
        <v>318</v>
      </c>
      <c r="M506" s="10">
        <f t="shared" si="288"/>
        <v>1.5072399999999999</v>
      </c>
      <c r="N506" s="11">
        <f t="shared" si="289"/>
        <v>3.0760000000000001</v>
      </c>
      <c r="O506" s="12">
        <f>IF(E506="HERRAJE",IFERROR(_xlfn.XLOOKUP(D506,'⚙️ Configuración Costos'!$A$11:$A$20,'⚙️ Configuración Costos'!$B$11:$B$20),""),IFERROR(_xlfn.XLOOKUP(E506,'⚙️ Configuración Costos'!$A$5:$A$6,'⚙️ Configuración Costos'!$B$5:$B$6),""))</f>
        <v>239.8426229508197</v>
      </c>
      <c r="P506" s="12">
        <f t="shared" si="290"/>
        <v>361.50039501639344</v>
      </c>
      <c r="Q506" s="12">
        <f>IF(E506="HERRAJE",0,IFERROR(_xlfn.XLOOKUP(E506,'⚙️ Configuración Costos'!$E$5:$E$6,'⚙️ Configuración Costos'!$F$5:$F$6),""))</f>
        <v>6</v>
      </c>
      <c r="R506" s="12">
        <f t="shared" si="291"/>
        <v>18.456</v>
      </c>
      <c r="S506" s="38">
        <f t="shared" si="292"/>
        <v>379.95639501639346</v>
      </c>
      <c r="T506" s="94" t="str">
        <f t="shared" si="293"/>
        <v>OK</v>
      </c>
      <c r="U506" s="95" t="str">
        <f t="shared" si="294"/>
        <v/>
      </c>
      <c r="V506" s="96">
        <f t="shared" si="295"/>
        <v>0</v>
      </c>
    </row>
    <row r="507" spans="1:22" x14ac:dyDescent="0.2">
      <c r="A507" s="35">
        <v>1</v>
      </c>
      <c r="B507" s="6">
        <v>2096</v>
      </c>
      <c r="C507" s="6">
        <v>396</v>
      </c>
      <c r="D507" s="7" t="s">
        <v>319</v>
      </c>
      <c r="E507" s="7" t="s">
        <v>85</v>
      </c>
      <c r="F507" s="8">
        <v>1</v>
      </c>
      <c r="G507" s="8">
        <v>1</v>
      </c>
      <c r="H507" s="8">
        <v>1</v>
      </c>
      <c r="I507" s="8">
        <v>1</v>
      </c>
      <c r="J507" s="8">
        <v>1</v>
      </c>
      <c r="K507" s="16" t="s">
        <v>35</v>
      </c>
      <c r="L507" s="47" t="s">
        <v>320</v>
      </c>
      <c r="M507" s="10">
        <f t="shared" si="288"/>
        <v>0.83001599999999998</v>
      </c>
      <c r="N507" s="11">
        <f t="shared" si="289"/>
        <v>4.984</v>
      </c>
      <c r="O507" s="12">
        <f>IF(E507="HERRAJE",IFERROR(_xlfn.XLOOKUP(D507,'⚙️ Configuración Costos'!$A$11:$A$20,'⚙️ Configuración Costos'!$B$11:$B$20),""),IFERROR(_xlfn.XLOOKUP(E507,'⚙️ Configuración Costos'!$A$5:$A$6,'⚙️ Configuración Costos'!$B$5:$B$6),""))</f>
        <v>332.85245901639348</v>
      </c>
      <c r="P507" s="12">
        <f t="shared" si="290"/>
        <v>276.27286662295086</v>
      </c>
      <c r="Q507" s="12">
        <f>IF(E507="HERRAJE",0,IFERROR(_xlfn.XLOOKUP(E507,'⚙️ Configuración Costos'!$E$5:$E$6,'⚙️ Configuración Costos'!$F$5:$F$6),""))</f>
        <v>9.5</v>
      </c>
      <c r="R507" s="12">
        <f t="shared" si="291"/>
        <v>47.347999999999999</v>
      </c>
      <c r="S507" s="38">
        <f t="shared" si="292"/>
        <v>323.62086662295087</v>
      </c>
      <c r="T507" s="94" t="str">
        <f t="shared" si="293"/>
        <v>OK</v>
      </c>
      <c r="U507" s="95" t="str">
        <f t="shared" si="294"/>
        <v/>
      </c>
      <c r="V507" s="96">
        <f t="shared" si="295"/>
        <v>0</v>
      </c>
    </row>
    <row r="508" spans="1:22" x14ac:dyDescent="0.2">
      <c r="A508" s="35">
        <v>1</v>
      </c>
      <c r="B508" s="6">
        <v>2096</v>
      </c>
      <c r="C508" s="6">
        <v>396</v>
      </c>
      <c r="D508" s="7" t="s">
        <v>321</v>
      </c>
      <c r="E508" s="7" t="s">
        <v>85</v>
      </c>
      <c r="F508" s="8">
        <v>1</v>
      </c>
      <c r="G508" s="8">
        <v>1</v>
      </c>
      <c r="H508" s="8">
        <v>1</v>
      </c>
      <c r="I508" s="8">
        <v>1</v>
      </c>
      <c r="J508" s="8">
        <v>1</v>
      </c>
      <c r="K508" s="16" t="s">
        <v>35</v>
      </c>
      <c r="L508" s="47" t="s">
        <v>322</v>
      </c>
      <c r="M508" s="10">
        <f t="shared" si="288"/>
        <v>0.83001599999999998</v>
      </c>
      <c r="N508" s="11">
        <f t="shared" si="289"/>
        <v>4.984</v>
      </c>
      <c r="O508" s="12">
        <f>IF(E508="HERRAJE",IFERROR(_xlfn.XLOOKUP(D508,'⚙️ Configuración Costos'!$A$11:$A$20,'⚙️ Configuración Costos'!$B$11:$B$20),""),IFERROR(_xlfn.XLOOKUP(E508,'⚙️ Configuración Costos'!$A$5:$A$6,'⚙️ Configuración Costos'!$B$5:$B$6),""))</f>
        <v>332.85245901639348</v>
      </c>
      <c r="P508" s="12">
        <f t="shared" si="290"/>
        <v>276.27286662295086</v>
      </c>
      <c r="Q508" s="12">
        <f>IF(E508="HERRAJE",0,IFERROR(_xlfn.XLOOKUP(E508,'⚙️ Configuración Costos'!$E$5:$E$6,'⚙️ Configuración Costos'!$F$5:$F$6),""))</f>
        <v>9.5</v>
      </c>
      <c r="R508" s="12">
        <f t="shared" si="291"/>
        <v>47.347999999999999</v>
      </c>
      <c r="S508" s="38">
        <f t="shared" si="292"/>
        <v>323.62086662295087</v>
      </c>
      <c r="T508" s="94" t="str">
        <f t="shared" si="293"/>
        <v>OK</v>
      </c>
      <c r="U508" s="95" t="str">
        <f t="shared" si="294"/>
        <v/>
      </c>
      <c r="V508" s="96">
        <f t="shared" si="295"/>
        <v>0</v>
      </c>
    </row>
    <row r="509" spans="1:22" x14ac:dyDescent="0.2">
      <c r="A509" s="35">
        <v>8</v>
      </c>
      <c r="B509" s="6">
        <v>0</v>
      </c>
      <c r="C509" s="6">
        <v>0</v>
      </c>
      <c r="D509" s="7" t="s">
        <v>90</v>
      </c>
      <c r="E509" s="7" t="s">
        <v>91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16" t="s">
        <v>35</v>
      </c>
      <c r="L509" s="47" t="s">
        <v>92</v>
      </c>
      <c r="M509" s="10">
        <f t="shared" si="288"/>
        <v>0</v>
      </c>
      <c r="N509" s="11">
        <f t="shared" si="289"/>
        <v>0</v>
      </c>
      <c r="O509" s="12">
        <f>IF(E509="HERRAJE",IFERROR(_xlfn.XLOOKUP(D509,'⚙️ Configuración Costos'!$A$11:$A$20,'⚙️ Configuración Costos'!$B$11:$B$20),""),IFERROR(_xlfn.XLOOKUP(E509,'⚙️ Configuración Costos'!$A$5:$A$6,'⚙️ Configuración Costos'!$B$5:$B$6),""))</f>
        <v>20</v>
      </c>
      <c r="P509" s="12">
        <f t="shared" si="290"/>
        <v>160</v>
      </c>
      <c r="Q509" s="12">
        <f>IF(E509="HERRAJE",0,IFERROR(_xlfn.XLOOKUP(E509,'⚙️ Configuración Costos'!$E$5:$E$6,'⚙️ Configuración Costos'!$F$5:$F$6),""))</f>
        <v>0</v>
      </c>
      <c r="R509" s="12">
        <f t="shared" si="291"/>
        <v>0</v>
      </c>
      <c r="S509" s="38">
        <f t="shared" si="292"/>
        <v>160</v>
      </c>
      <c r="T509" s="94" t="str">
        <f t="shared" si="293"/>
        <v>OK</v>
      </c>
      <c r="U509" s="95" t="str">
        <f t="shared" si="294"/>
        <v/>
      </c>
      <c r="V509" s="96">
        <f t="shared" si="295"/>
        <v>0</v>
      </c>
    </row>
    <row r="510" spans="1:22" x14ac:dyDescent="0.2">
      <c r="A510" s="35">
        <v>2</v>
      </c>
      <c r="B510" s="6">
        <v>0</v>
      </c>
      <c r="C510" s="6">
        <v>0</v>
      </c>
      <c r="D510" s="7" t="s">
        <v>93</v>
      </c>
      <c r="E510" s="7" t="s">
        <v>91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16" t="s">
        <v>35</v>
      </c>
      <c r="L510" s="47" t="s">
        <v>94</v>
      </c>
      <c r="M510" s="10">
        <f t="shared" si="288"/>
        <v>0</v>
      </c>
      <c r="N510" s="11">
        <f t="shared" si="289"/>
        <v>0</v>
      </c>
      <c r="O510" s="12">
        <f>IF(E510="HERRAJE",IFERROR(_xlfn.XLOOKUP(D510,'⚙️ Configuración Costos'!$A$11:$A$20,'⚙️ Configuración Costos'!$B$11:$B$20),""),IFERROR(_xlfn.XLOOKUP(E510,'⚙️ Configuración Costos'!$A$5:$A$6,'⚙️ Configuración Costos'!$B$5:$B$6),""))</f>
        <v>15</v>
      </c>
      <c r="P510" s="12">
        <f t="shared" si="290"/>
        <v>30</v>
      </c>
      <c r="Q510" s="12">
        <f>IF(E510="HERRAJE",0,IFERROR(_xlfn.XLOOKUP(E510,'⚙️ Configuración Costos'!$E$5:$E$6,'⚙️ Configuración Costos'!$F$5:$F$6),""))</f>
        <v>0</v>
      </c>
      <c r="R510" s="12">
        <f t="shared" si="291"/>
        <v>0</v>
      </c>
      <c r="S510" s="38">
        <f t="shared" si="292"/>
        <v>30</v>
      </c>
      <c r="T510" s="94" t="str">
        <f t="shared" si="293"/>
        <v>OK</v>
      </c>
      <c r="U510" s="95" t="str">
        <f t="shared" si="294"/>
        <v/>
      </c>
      <c r="V510" s="96">
        <f t="shared" si="295"/>
        <v>0</v>
      </c>
    </row>
    <row r="511" spans="1:22" x14ac:dyDescent="0.2">
      <c r="A511" s="35">
        <v>4</v>
      </c>
      <c r="B511" s="6">
        <v>0</v>
      </c>
      <c r="C511" s="6">
        <v>0</v>
      </c>
      <c r="D511" s="7" t="s">
        <v>186</v>
      </c>
      <c r="E511" s="7" t="s">
        <v>91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16" t="s">
        <v>35</v>
      </c>
      <c r="L511" s="47" t="s">
        <v>187</v>
      </c>
      <c r="M511" s="10">
        <f t="shared" si="288"/>
        <v>0</v>
      </c>
      <c r="N511" s="11">
        <f t="shared" si="289"/>
        <v>0</v>
      </c>
      <c r="O511" s="12">
        <f>IF(E511="HERRAJE",IFERROR(_xlfn.XLOOKUP(D511,'⚙️ Configuración Costos'!$A$11:$A$20,'⚙️ Configuración Costos'!$B$11:$B$20),""),IFERROR(_xlfn.XLOOKUP(E511,'⚙️ Configuración Costos'!$A$5:$A$6,'⚙️ Configuración Costos'!$B$5:$B$6),""))</f>
        <v>15</v>
      </c>
      <c r="P511" s="12">
        <f t="shared" si="290"/>
        <v>60</v>
      </c>
      <c r="Q511" s="12">
        <f>IF(E511="HERRAJE",0,IFERROR(_xlfn.XLOOKUP(E511,'⚙️ Configuración Costos'!$E$5:$E$6,'⚙️ Configuración Costos'!$F$5:$F$6),""))</f>
        <v>0</v>
      </c>
      <c r="R511" s="12">
        <f t="shared" si="291"/>
        <v>0</v>
      </c>
      <c r="S511" s="38">
        <f t="shared" si="292"/>
        <v>60</v>
      </c>
      <c r="T511" s="94" t="str">
        <f t="shared" si="293"/>
        <v>OK</v>
      </c>
      <c r="U511" s="95" t="str">
        <f t="shared" si="294"/>
        <v/>
      </c>
      <c r="V511" s="96">
        <f t="shared" si="295"/>
        <v>0</v>
      </c>
    </row>
    <row r="512" spans="1:22" x14ac:dyDescent="0.2">
      <c r="A512" s="35">
        <v>16</v>
      </c>
      <c r="B512" s="6">
        <v>0</v>
      </c>
      <c r="C512" s="6">
        <v>0</v>
      </c>
      <c r="D512" s="7" t="s">
        <v>95</v>
      </c>
      <c r="E512" s="7" t="s">
        <v>91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16" t="s">
        <v>35</v>
      </c>
      <c r="L512" s="47" t="s">
        <v>96</v>
      </c>
      <c r="M512" s="10">
        <f t="shared" si="288"/>
        <v>0</v>
      </c>
      <c r="N512" s="11">
        <f t="shared" si="289"/>
        <v>0</v>
      </c>
      <c r="O512" s="12">
        <f>IF(E512="HERRAJE",IFERROR(_xlfn.XLOOKUP(D512,'⚙️ Configuración Costos'!$A$11:$A$20,'⚙️ Configuración Costos'!$B$11:$B$20),""),IFERROR(_xlfn.XLOOKUP(E512,'⚙️ Configuración Costos'!$A$5:$A$6,'⚙️ Configuración Costos'!$B$5:$B$6),""))</f>
        <v>2</v>
      </c>
      <c r="P512" s="12">
        <f t="shared" si="290"/>
        <v>32</v>
      </c>
      <c r="Q512" s="12">
        <f>IF(E512="HERRAJE",0,IFERROR(_xlfn.XLOOKUP(E512,'⚙️ Configuración Costos'!$E$5:$E$6,'⚙️ Configuración Costos'!$F$5:$F$6),""))</f>
        <v>0</v>
      </c>
      <c r="R512" s="12">
        <f t="shared" si="291"/>
        <v>0</v>
      </c>
      <c r="S512" s="38">
        <f t="shared" si="292"/>
        <v>32</v>
      </c>
      <c r="T512" s="94" t="str">
        <f t="shared" si="293"/>
        <v>OK</v>
      </c>
      <c r="U512" s="95" t="str">
        <f t="shared" si="294"/>
        <v/>
      </c>
      <c r="V512" s="96">
        <f t="shared" si="295"/>
        <v>0</v>
      </c>
    </row>
    <row r="513" spans="1:22" ht="16" thickBot="1" x14ac:dyDescent="0.25">
      <c r="A513" s="36">
        <v>50</v>
      </c>
      <c r="B513" s="20">
        <v>0</v>
      </c>
      <c r="C513" s="20">
        <v>0</v>
      </c>
      <c r="D513" s="21" t="s">
        <v>97</v>
      </c>
      <c r="E513" s="21" t="s">
        <v>91</v>
      </c>
      <c r="F513" s="22">
        <v>0</v>
      </c>
      <c r="G513" s="22">
        <v>0</v>
      </c>
      <c r="H513" s="22">
        <v>0</v>
      </c>
      <c r="I513" s="22">
        <v>0</v>
      </c>
      <c r="J513" s="22">
        <v>0</v>
      </c>
      <c r="K513" s="16" t="s">
        <v>35</v>
      </c>
      <c r="L513" s="48" t="s">
        <v>98</v>
      </c>
      <c r="M513" s="24">
        <f t="shared" si="288"/>
        <v>0</v>
      </c>
      <c r="N513" s="25">
        <f t="shared" si="289"/>
        <v>0</v>
      </c>
      <c r="O513" s="26">
        <f>IF(E513="HERRAJE",IFERROR(_xlfn.XLOOKUP(D513,'⚙️ Configuración Costos'!$A$11:$A$20,'⚙️ Configuración Costos'!$B$11:$B$20),""),IFERROR(_xlfn.XLOOKUP(E513,'⚙️ Configuración Costos'!$A$5:$A$6,'⚙️ Configuración Costos'!$B$5:$B$6),""))</f>
        <v>1.5</v>
      </c>
      <c r="P513" s="26">
        <f t="shared" si="290"/>
        <v>75</v>
      </c>
      <c r="Q513" s="26">
        <f>IF(E513="HERRAJE",0,IFERROR(_xlfn.XLOOKUP(E513,'⚙️ Configuración Costos'!$E$5:$E$6,'⚙️ Configuración Costos'!$F$5:$F$6),""))</f>
        <v>0</v>
      </c>
      <c r="R513" s="26">
        <f t="shared" si="291"/>
        <v>0</v>
      </c>
      <c r="S513" s="39">
        <f t="shared" si="292"/>
        <v>75</v>
      </c>
      <c r="T513" s="94" t="str">
        <f t="shared" si="293"/>
        <v>OK</v>
      </c>
      <c r="U513" s="95" t="str">
        <f t="shared" si="294"/>
        <v/>
      </c>
      <c r="V513" s="96">
        <f t="shared" si="295"/>
        <v>0</v>
      </c>
    </row>
    <row r="514" spans="1:22" ht="16" thickTop="1" x14ac:dyDescent="0.2">
      <c r="A514" s="27" t="s">
        <v>99</v>
      </c>
      <c r="B514" s="27"/>
      <c r="C514" s="27"/>
      <c r="D514" s="28"/>
      <c r="E514" s="28"/>
      <c r="F514" s="29"/>
      <c r="G514" s="29"/>
      <c r="H514" s="29"/>
      <c r="I514" s="29"/>
      <c r="J514" s="29"/>
      <c r="K514" s="30"/>
      <c r="L514" s="49" t="s">
        <v>188</v>
      </c>
      <c r="M514" s="31">
        <f>SUM(M501:M513)</f>
        <v>8.0863729999999983</v>
      </c>
      <c r="N514" s="32">
        <f>SUM(N501:N513)</f>
        <v>26.840000000000003</v>
      </c>
      <c r="O514" s="33"/>
      <c r="P514" s="33">
        <f>SUM(P501:P513)</f>
        <v>2450.8562146622953</v>
      </c>
      <c r="Q514" s="33"/>
      <c r="R514" s="33">
        <f>SUM(R501:R513)</f>
        <v>195.928</v>
      </c>
      <c r="S514" s="33">
        <f>SUM(S501:S513)</f>
        <v>2646.7842146622952</v>
      </c>
      <c r="T514" s="97"/>
      <c r="U514" s="98"/>
      <c r="V514" s="99"/>
    </row>
    <row r="515" spans="1:22" x14ac:dyDescent="0.2">
      <c r="A515" s="186" t="s">
        <v>323</v>
      </c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8"/>
      <c r="T515" s="97"/>
      <c r="U515" s="98"/>
      <c r="V515" s="99"/>
    </row>
    <row r="516" spans="1:22" x14ac:dyDescent="0.2">
      <c r="A516" s="35">
        <v>1</v>
      </c>
      <c r="B516" s="6">
        <v>2100</v>
      </c>
      <c r="C516" s="6">
        <v>580</v>
      </c>
      <c r="D516" s="43" t="s">
        <v>63</v>
      </c>
      <c r="E516" s="43" t="s">
        <v>85</v>
      </c>
      <c r="F516" s="53">
        <v>1</v>
      </c>
      <c r="G516" s="44">
        <v>1</v>
      </c>
      <c r="H516" s="44">
        <v>1</v>
      </c>
      <c r="I516" s="44">
        <v>1</v>
      </c>
      <c r="J516" s="44">
        <v>1</v>
      </c>
      <c r="K516" s="16" t="s">
        <v>36</v>
      </c>
      <c r="L516" s="46" t="s">
        <v>296</v>
      </c>
      <c r="M516" s="10">
        <f t="shared" ref="M516:M533" si="296">IF(AND(ISNUMBER(B516),ISNUMBER(C516),B516&gt;0,C516&gt;0),A516*(B516*C516/1000000),0)</f>
        <v>1.218</v>
      </c>
      <c r="N516" s="11">
        <f t="shared" ref="N516:N533" si="297">IF(AND(ISNUMBER(B516),B516&gt;0),A516*(((G516+H516)*B516+(I516+J516)*C516)/1000),0)</f>
        <v>5.36</v>
      </c>
      <c r="O516" s="12">
        <f>IF(E516="HERRAJE",IFERROR(_xlfn.XLOOKUP(D516,'⚙️ Configuración Costos'!$A$11:$A$20,'⚙️ Configuración Costos'!$B$11:$B$20),""),IFERROR(_xlfn.XLOOKUP(E516,'⚙️ Configuración Costos'!$A$5:$A$6,'⚙️ Configuración Costos'!$B$5:$B$6),""))</f>
        <v>332.85245901639348</v>
      </c>
      <c r="P516" s="12">
        <f t="shared" ref="P516:P533" si="298">IF(E516="HERRAJE",A516*O516,M516*O516)</f>
        <v>405.41429508196723</v>
      </c>
      <c r="Q516" s="19">
        <f>IF(E516="HERRAJE",0,IFERROR(_xlfn.XLOOKUP(E516,'⚙️ Configuración Costos'!$E$5:$E$6,'⚙️ Configuración Costos'!$F$5:$F$6),""))</f>
        <v>9.5</v>
      </c>
      <c r="R516" s="19">
        <f t="shared" ref="R516:R533" si="299">N516*Q516</f>
        <v>50.92</v>
      </c>
      <c r="S516" s="37">
        <f t="shared" ref="S516:S533" si="300">P516+R516</f>
        <v>456.33429508196724</v>
      </c>
      <c r="T516" s="94" t="str">
        <f t="shared" ref="T516:T533" si="301">IF(K516="","SIN ID MÓDULO",IF(E516="HERRAJE",IF(OR(O516="",O516&lt;=0),"SIN PRECIO HERRAJE","OK"),IF(OR(O516="",O516&lt;=0),"SIN PRECIO MATERIAL",IF(AND(N516&gt;0,OR(Q516="",Q516&lt;=0)),"SIN PRECIO CINTILLA","OK"))))</f>
        <v>OK</v>
      </c>
      <c r="U516" s="95" t="str">
        <f t="shared" ref="U516:U533" si="302">IF(T516="OK","",IF(T516="SIN PRECIO HERRAJE","Capturar precio: "&amp;D516,IF(T516="SIN PRECIO MATERIAL","Configurar material: "&amp;E516,IF(T516="SIN PRECIO CINTILLA","Configurar cintilla: "&amp;E516,IF(T516="SIN ID MÓDULO","Revisar ID del módulo","")))))</f>
        <v/>
      </c>
      <c r="V516" s="96">
        <f t="shared" ref="V516:V533" si="303">IF(T516="OK",0,IF(T516="",0,1))</f>
        <v>0</v>
      </c>
    </row>
    <row r="517" spans="1:22" x14ac:dyDescent="0.2">
      <c r="A517" s="35">
        <v>1</v>
      </c>
      <c r="B517" s="6">
        <v>2100</v>
      </c>
      <c r="C517" s="6">
        <v>580</v>
      </c>
      <c r="D517" s="43" t="s">
        <v>66</v>
      </c>
      <c r="E517" s="43" t="s">
        <v>85</v>
      </c>
      <c r="F517" s="53">
        <v>1</v>
      </c>
      <c r="G517" s="44">
        <v>1</v>
      </c>
      <c r="H517" s="44">
        <v>1</v>
      </c>
      <c r="I517" s="44">
        <v>1</v>
      </c>
      <c r="J517" s="44">
        <v>1</v>
      </c>
      <c r="K517" s="16" t="s">
        <v>36</v>
      </c>
      <c r="L517" s="46" t="s">
        <v>297</v>
      </c>
      <c r="M517" s="10">
        <f t="shared" si="296"/>
        <v>1.218</v>
      </c>
      <c r="N517" s="11">
        <f t="shared" si="297"/>
        <v>5.36</v>
      </c>
      <c r="O517" s="12">
        <f>IF(E517="HERRAJE",IFERROR(_xlfn.XLOOKUP(D517,'⚙️ Configuración Costos'!$A$11:$A$20,'⚙️ Configuración Costos'!$B$11:$B$20),""),IFERROR(_xlfn.XLOOKUP(E517,'⚙️ Configuración Costos'!$A$5:$A$6,'⚙️ Configuración Costos'!$B$5:$B$6),""))</f>
        <v>332.85245901639348</v>
      </c>
      <c r="P517" s="12">
        <f t="shared" si="298"/>
        <v>405.41429508196723</v>
      </c>
      <c r="Q517" s="19">
        <f>IF(E517="HERRAJE",0,IFERROR(_xlfn.XLOOKUP(E517,'⚙️ Configuración Costos'!$E$5:$E$6,'⚙️ Configuración Costos'!$F$5:$F$6),""))</f>
        <v>9.5</v>
      </c>
      <c r="R517" s="19">
        <f t="shared" si="299"/>
        <v>50.92</v>
      </c>
      <c r="S517" s="37">
        <f t="shared" si="300"/>
        <v>456.33429508196724</v>
      </c>
      <c r="T517" s="94" t="str">
        <f t="shared" si="301"/>
        <v>OK</v>
      </c>
      <c r="U517" s="95" t="str">
        <f t="shared" si="302"/>
        <v/>
      </c>
      <c r="V517" s="96">
        <f t="shared" si="303"/>
        <v>0</v>
      </c>
    </row>
    <row r="518" spans="1:22" x14ac:dyDescent="0.2">
      <c r="A518" s="35">
        <v>1</v>
      </c>
      <c r="B518" s="6">
        <v>689</v>
      </c>
      <c r="C518" s="6">
        <v>569</v>
      </c>
      <c r="D518" s="43" t="s">
        <v>298</v>
      </c>
      <c r="E518" s="43" t="s">
        <v>85</v>
      </c>
      <c r="F518" s="53">
        <v>1</v>
      </c>
      <c r="G518" s="44">
        <v>0</v>
      </c>
      <c r="H518" s="44">
        <v>0</v>
      </c>
      <c r="I518" s="44">
        <v>0</v>
      </c>
      <c r="J518" s="44">
        <v>0</v>
      </c>
      <c r="K518" s="16" t="s">
        <v>36</v>
      </c>
      <c r="L518" s="47" t="s">
        <v>324</v>
      </c>
      <c r="M518" s="10">
        <f t="shared" si="296"/>
        <v>0.39204099999999997</v>
      </c>
      <c r="N518" s="11">
        <f t="shared" si="297"/>
        <v>0</v>
      </c>
      <c r="O518" s="12">
        <f>IF(E518="HERRAJE",IFERROR(_xlfn.XLOOKUP(D518,'⚙️ Configuración Costos'!$A$11:$A$20,'⚙️ Configuración Costos'!$B$11:$B$20),""),IFERROR(_xlfn.XLOOKUP(E518,'⚙️ Configuración Costos'!$A$5:$A$6,'⚙️ Configuración Costos'!$B$5:$B$6),""))</f>
        <v>332.85245901639348</v>
      </c>
      <c r="P518" s="12">
        <f t="shared" si="298"/>
        <v>130.49181088524591</v>
      </c>
      <c r="Q518" s="19">
        <f>IF(E518="HERRAJE",0,IFERROR(_xlfn.XLOOKUP(E518,'⚙️ Configuración Costos'!$E$5:$E$6,'⚙️ Configuración Costos'!$F$5:$F$6),""))</f>
        <v>9.5</v>
      </c>
      <c r="R518" s="19">
        <f t="shared" si="299"/>
        <v>0</v>
      </c>
      <c r="S518" s="37">
        <f t="shared" si="300"/>
        <v>130.49181088524591</v>
      </c>
      <c r="T518" s="94" t="str">
        <f t="shared" si="301"/>
        <v>OK</v>
      </c>
      <c r="U518" s="95" t="str">
        <f t="shared" si="302"/>
        <v/>
      </c>
      <c r="V518" s="96">
        <f t="shared" si="303"/>
        <v>0</v>
      </c>
    </row>
    <row r="519" spans="1:22" x14ac:dyDescent="0.2">
      <c r="A519" s="35">
        <v>1</v>
      </c>
      <c r="B519" s="6">
        <v>569</v>
      </c>
      <c r="C519" s="6">
        <v>580</v>
      </c>
      <c r="D519" s="43" t="s">
        <v>300</v>
      </c>
      <c r="E519" s="43" t="s">
        <v>85</v>
      </c>
      <c r="F519" s="53">
        <v>1</v>
      </c>
      <c r="G519" s="44">
        <v>0</v>
      </c>
      <c r="H519" s="44">
        <v>0</v>
      </c>
      <c r="I519" s="44">
        <v>1</v>
      </c>
      <c r="J519" s="44">
        <v>1</v>
      </c>
      <c r="K519" s="16" t="s">
        <v>36</v>
      </c>
      <c r="L519" s="47" t="s">
        <v>310</v>
      </c>
      <c r="M519" s="10">
        <f t="shared" si="296"/>
        <v>0.33001999999999998</v>
      </c>
      <c r="N519" s="11">
        <f t="shared" si="297"/>
        <v>1.1599999999999999</v>
      </c>
      <c r="O519" s="12">
        <f>IF(E519="HERRAJE",IFERROR(_xlfn.XLOOKUP(D519,'⚙️ Configuración Costos'!$A$11:$A$20,'⚙️ Configuración Costos'!$B$11:$B$20),""),IFERROR(_xlfn.XLOOKUP(E519,'⚙️ Configuración Costos'!$A$5:$A$6,'⚙️ Configuración Costos'!$B$5:$B$6),""))</f>
        <v>332.85245901639348</v>
      </c>
      <c r="P519" s="12">
        <f t="shared" si="298"/>
        <v>109.84796852459017</v>
      </c>
      <c r="Q519" s="19">
        <f>IF(E519="HERRAJE",0,IFERROR(_xlfn.XLOOKUP(E519,'⚙️ Configuración Costos'!$E$5:$E$6,'⚙️ Configuración Costos'!$F$5:$F$6),""))</f>
        <v>9.5</v>
      </c>
      <c r="R519" s="19">
        <f t="shared" si="299"/>
        <v>11.02</v>
      </c>
      <c r="S519" s="37">
        <f t="shared" si="300"/>
        <v>120.86796852459017</v>
      </c>
      <c r="T519" s="94" t="str">
        <f t="shared" si="301"/>
        <v>OK</v>
      </c>
      <c r="U519" s="95" t="str">
        <f t="shared" si="302"/>
        <v/>
      </c>
      <c r="V519" s="96">
        <f t="shared" si="303"/>
        <v>0</v>
      </c>
    </row>
    <row r="520" spans="1:22" x14ac:dyDescent="0.2">
      <c r="A520" s="35">
        <v>1</v>
      </c>
      <c r="B520" s="6">
        <v>569</v>
      </c>
      <c r="C520" s="6">
        <v>580</v>
      </c>
      <c r="D520" s="43" t="s">
        <v>300</v>
      </c>
      <c r="E520" s="43" t="s">
        <v>85</v>
      </c>
      <c r="F520" s="53">
        <v>1</v>
      </c>
      <c r="G520" s="44">
        <v>0</v>
      </c>
      <c r="H520" s="44">
        <v>0</v>
      </c>
      <c r="I520" s="44">
        <v>1</v>
      </c>
      <c r="J520" s="44">
        <v>1</v>
      </c>
      <c r="K520" s="16" t="s">
        <v>36</v>
      </c>
      <c r="L520" s="47" t="s">
        <v>310</v>
      </c>
      <c r="M520" s="10">
        <f t="shared" si="296"/>
        <v>0.33001999999999998</v>
      </c>
      <c r="N520" s="11">
        <f t="shared" si="297"/>
        <v>1.1599999999999999</v>
      </c>
      <c r="O520" s="12">
        <f>IF(E520="HERRAJE",IFERROR(_xlfn.XLOOKUP(D520,'⚙️ Configuración Costos'!$A$11:$A$20,'⚙️ Configuración Costos'!$B$11:$B$20),""),IFERROR(_xlfn.XLOOKUP(E520,'⚙️ Configuración Costos'!$A$5:$A$6,'⚙️ Configuración Costos'!$B$5:$B$6),""))</f>
        <v>332.85245901639348</v>
      </c>
      <c r="P520" s="12">
        <f t="shared" si="298"/>
        <v>109.84796852459017</v>
      </c>
      <c r="Q520" s="19">
        <f>IF(E520="HERRAJE",0,IFERROR(_xlfn.XLOOKUP(E520,'⚙️ Configuración Costos'!$E$5:$E$6,'⚙️ Configuración Costos'!$F$5:$F$6),""))</f>
        <v>9.5</v>
      </c>
      <c r="R520" s="19">
        <f t="shared" si="299"/>
        <v>11.02</v>
      </c>
      <c r="S520" s="37">
        <f t="shared" si="300"/>
        <v>120.86796852459017</v>
      </c>
      <c r="T520" s="94" t="str">
        <f t="shared" si="301"/>
        <v>OK</v>
      </c>
      <c r="U520" s="95" t="str">
        <f t="shared" si="302"/>
        <v/>
      </c>
      <c r="V520" s="96">
        <f t="shared" si="303"/>
        <v>0</v>
      </c>
    </row>
    <row r="521" spans="1:22" x14ac:dyDescent="0.2">
      <c r="A521" s="35">
        <v>1</v>
      </c>
      <c r="B521" s="6">
        <v>569</v>
      </c>
      <c r="C521" s="6">
        <v>580</v>
      </c>
      <c r="D521" s="43" t="s">
        <v>302</v>
      </c>
      <c r="E521" s="43" t="s">
        <v>85</v>
      </c>
      <c r="F521" s="53">
        <v>1</v>
      </c>
      <c r="G521" s="44">
        <v>0</v>
      </c>
      <c r="H521" s="44">
        <v>0</v>
      </c>
      <c r="I521" s="44">
        <v>1</v>
      </c>
      <c r="J521" s="44">
        <v>1</v>
      </c>
      <c r="K521" s="16" t="s">
        <v>36</v>
      </c>
      <c r="L521" s="47" t="s">
        <v>311</v>
      </c>
      <c r="M521" s="10">
        <f t="shared" si="296"/>
        <v>0.33001999999999998</v>
      </c>
      <c r="N521" s="11">
        <f t="shared" si="297"/>
        <v>1.1599999999999999</v>
      </c>
      <c r="O521" s="12">
        <f>IF(E521="HERRAJE",IFERROR(_xlfn.XLOOKUP(D521,'⚙️ Configuración Costos'!$A$11:$A$20,'⚙️ Configuración Costos'!$B$11:$B$20),""),IFERROR(_xlfn.XLOOKUP(E521,'⚙️ Configuración Costos'!$A$5:$A$6,'⚙️ Configuración Costos'!$B$5:$B$6),""))</f>
        <v>332.85245901639348</v>
      </c>
      <c r="P521" s="12">
        <f t="shared" si="298"/>
        <v>109.84796852459017</v>
      </c>
      <c r="Q521" s="19">
        <f>IF(E521="HERRAJE",0,IFERROR(_xlfn.XLOOKUP(E521,'⚙️ Configuración Costos'!$E$5:$E$6,'⚙️ Configuración Costos'!$F$5:$F$6),""))</f>
        <v>9.5</v>
      </c>
      <c r="R521" s="19">
        <f t="shared" si="299"/>
        <v>11.02</v>
      </c>
      <c r="S521" s="37">
        <f t="shared" si="300"/>
        <v>120.86796852459017</v>
      </c>
      <c r="T521" s="94" t="str">
        <f t="shared" si="301"/>
        <v>OK</v>
      </c>
      <c r="U521" s="95" t="str">
        <f t="shared" si="302"/>
        <v/>
      </c>
      <c r="V521" s="96">
        <f t="shared" si="303"/>
        <v>0</v>
      </c>
    </row>
    <row r="522" spans="1:22" x14ac:dyDescent="0.2">
      <c r="A522" s="35">
        <v>1</v>
      </c>
      <c r="B522" s="6">
        <v>569</v>
      </c>
      <c r="C522" s="6">
        <v>580</v>
      </c>
      <c r="D522" s="43" t="s">
        <v>302</v>
      </c>
      <c r="E522" s="43" t="s">
        <v>85</v>
      </c>
      <c r="F522" s="53">
        <v>1</v>
      </c>
      <c r="G522" s="44">
        <v>0</v>
      </c>
      <c r="H522" s="44">
        <v>0</v>
      </c>
      <c r="I522" s="44">
        <v>1</v>
      </c>
      <c r="J522" s="44">
        <v>1</v>
      </c>
      <c r="K522" s="16" t="s">
        <v>36</v>
      </c>
      <c r="L522" s="47" t="s">
        <v>311</v>
      </c>
      <c r="M522" s="10">
        <f t="shared" si="296"/>
        <v>0.33001999999999998</v>
      </c>
      <c r="N522" s="11">
        <f t="shared" si="297"/>
        <v>1.1599999999999999</v>
      </c>
      <c r="O522" s="12">
        <f>IF(E522="HERRAJE",IFERROR(_xlfn.XLOOKUP(D522,'⚙️ Configuración Costos'!$A$11:$A$20,'⚙️ Configuración Costos'!$B$11:$B$20),""),IFERROR(_xlfn.XLOOKUP(E522,'⚙️ Configuración Costos'!$A$5:$A$6,'⚙️ Configuración Costos'!$B$5:$B$6),""))</f>
        <v>332.85245901639348</v>
      </c>
      <c r="P522" s="12">
        <f t="shared" si="298"/>
        <v>109.84796852459017</v>
      </c>
      <c r="Q522" s="19">
        <f>IF(E522="HERRAJE",0,IFERROR(_xlfn.XLOOKUP(E522,'⚙️ Configuración Costos'!$E$5:$E$6,'⚙️ Configuración Costos'!$F$5:$F$6),""))</f>
        <v>9.5</v>
      </c>
      <c r="R522" s="19">
        <f t="shared" si="299"/>
        <v>11.02</v>
      </c>
      <c r="S522" s="37">
        <f t="shared" si="300"/>
        <v>120.86796852459017</v>
      </c>
      <c r="T522" s="94" t="str">
        <f t="shared" si="301"/>
        <v>OK</v>
      </c>
      <c r="U522" s="95" t="str">
        <f t="shared" si="302"/>
        <v/>
      </c>
      <c r="V522" s="96">
        <f t="shared" si="303"/>
        <v>0</v>
      </c>
    </row>
    <row r="523" spans="1:22" x14ac:dyDescent="0.2">
      <c r="A523" s="35">
        <v>1</v>
      </c>
      <c r="B523" s="6">
        <v>569</v>
      </c>
      <c r="C523" s="6">
        <v>580</v>
      </c>
      <c r="D523" s="43" t="s">
        <v>304</v>
      </c>
      <c r="E523" s="43" t="s">
        <v>85</v>
      </c>
      <c r="F523" s="53">
        <v>1</v>
      </c>
      <c r="G523" s="44">
        <v>1</v>
      </c>
      <c r="H523" s="44">
        <v>1</v>
      </c>
      <c r="I523" s="44">
        <v>0</v>
      </c>
      <c r="J523" s="44">
        <v>0</v>
      </c>
      <c r="K523" s="16" t="s">
        <v>36</v>
      </c>
      <c r="L523" s="47" t="s">
        <v>318</v>
      </c>
      <c r="M523" s="10">
        <f t="shared" si="296"/>
        <v>0.33001999999999998</v>
      </c>
      <c r="N523" s="11">
        <f t="shared" si="297"/>
        <v>1.1379999999999999</v>
      </c>
      <c r="O523" s="12">
        <f>IF(E523="HERRAJE",IFERROR(_xlfn.XLOOKUP(D523,'⚙️ Configuración Costos'!$A$11:$A$20,'⚙️ Configuración Costos'!$B$11:$B$20),""),IFERROR(_xlfn.XLOOKUP(E523,'⚙️ Configuración Costos'!$A$5:$A$6,'⚙️ Configuración Costos'!$B$5:$B$6),""))</f>
        <v>332.85245901639348</v>
      </c>
      <c r="P523" s="12">
        <f t="shared" si="298"/>
        <v>109.84796852459017</v>
      </c>
      <c r="Q523" s="19">
        <f>IF(E523="HERRAJE",0,IFERROR(_xlfn.XLOOKUP(E523,'⚙️ Configuración Costos'!$E$5:$E$6,'⚙️ Configuración Costos'!$F$5:$F$6),""))</f>
        <v>9.5</v>
      </c>
      <c r="R523" s="19">
        <f t="shared" si="299"/>
        <v>10.811</v>
      </c>
      <c r="S523" s="37">
        <f t="shared" si="300"/>
        <v>120.65896852459016</v>
      </c>
      <c r="T523" s="94" t="str">
        <f t="shared" si="301"/>
        <v>OK</v>
      </c>
      <c r="U523" s="95" t="str">
        <f t="shared" si="302"/>
        <v/>
      </c>
      <c r="V523" s="96">
        <f t="shared" si="303"/>
        <v>0</v>
      </c>
    </row>
    <row r="524" spans="1:22" x14ac:dyDescent="0.2">
      <c r="A524" s="35">
        <v>1</v>
      </c>
      <c r="B524" s="6">
        <v>569</v>
      </c>
      <c r="C524" s="6">
        <v>539</v>
      </c>
      <c r="D524" s="43" t="s">
        <v>298</v>
      </c>
      <c r="E524" s="43" t="s">
        <v>85</v>
      </c>
      <c r="F524" s="53">
        <v>1</v>
      </c>
      <c r="G524" s="44">
        <v>0</v>
      </c>
      <c r="H524" s="44">
        <v>0</v>
      </c>
      <c r="I524" s="44">
        <v>0</v>
      </c>
      <c r="J524" s="44">
        <v>0</v>
      </c>
      <c r="K524" s="16" t="s">
        <v>36</v>
      </c>
      <c r="L524" s="47" t="s">
        <v>325</v>
      </c>
      <c r="M524" s="10">
        <f t="shared" si="296"/>
        <v>0.30669099999999999</v>
      </c>
      <c r="N524" s="11">
        <f t="shared" si="297"/>
        <v>0</v>
      </c>
      <c r="O524" s="12">
        <f>IF(E524="HERRAJE",IFERROR(_xlfn.XLOOKUP(D524,'⚙️ Configuración Costos'!$A$11:$A$20,'⚙️ Configuración Costos'!$B$11:$B$20),""),IFERROR(_xlfn.XLOOKUP(E524,'⚙️ Configuración Costos'!$A$5:$A$6,'⚙️ Configuración Costos'!$B$5:$B$6),""))</f>
        <v>332.85245901639348</v>
      </c>
      <c r="P524" s="12">
        <f t="shared" si="298"/>
        <v>102.08285350819673</v>
      </c>
      <c r="Q524" s="19">
        <f>IF(E524="HERRAJE",0,IFERROR(_xlfn.XLOOKUP(E524,'⚙️ Configuración Costos'!$E$5:$E$6,'⚙️ Configuración Costos'!$F$5:$F$6),""))</f>
        <v>9.5</v>
      </c>
      <c r="R524" s="19">
        <f t="shared" si="299"/>
        <v>0</v>
      </c>
      <c r="S524" s="37">
        <f t="shared" si="300"/>
        <v>102.08285350819673</v>
      </c>
      <c r="T524" s="94" t="str">
        <f t="shared" si="301"/>
        <v>OK</v>
      </c>
      <c r="U524" s="95" t="str">
        <f t="shared" si="302"/>
        <v/>
      </c>
      <c r="V524" s="96">
        <f t="shared" si="303"/>
        <v>0</v>
      </c>
    </row>
    <row r="525" spans="1:22" x14ac:dyDescent="0.2">
      <c r="A525" s="35">
        <v>1</v>
      </c>
      <c r="B525" s="6">
        <v>569</v>
      </c>
      <c r="C525" s="6">
        <v>526</v>
      </c>
      <c r="D525" s="43" t="s">
        <v>304</v>
      </c>
      <c r="E525" s="43" t="s">
        <v>85</v>
      </c>
      <c r="F525" s="53">
        <v>1</v>
      </c>
      <c r="G525" s="44">
        <v>1</v>
      </c>
      <c r="H525" s="44">
        <v>0</v>
      </c>
      <c r="I525" s="44">
        <v>0</v>
      </c>
      <c r="J525" s="44">
        <v>0</v>
      </c>
      <c r="K525" s="16" t="s">
        <v>36</v>
      </c>
      <c r="L525" s="47" t="s">
        <v>326</v>
      </c>
      <c r="M525" s="10">
        <f t="shared" si="296"/>
        <v>0.299294</v>
      </c>
      <c r="N525" s="11">
        <f t="shared" si="297"/>
        <v>0.56899999999999995</v>
      </c>
      <c r="O525" s="12">
        <f>IF(E525="HERRAJE",IFERROR(_xlfn.XLOOKUP(D525,'⚙️ Configuración Costos'!$A$11:$A$20,'⚙️ Configuración Costos'!$B$11:$B$20),""),IFERROR(_xlfn.XLOOKUP(E525,'⚙️ Configuración Costos'!$A$5:$A$6,'⚙️ Configuración Costos'!$B$5:$B$6),""))</f>
        <v>332.85245901639348</v>
      </c>
      <c r="P525" s="12">
        <f t="shared" si="298"/>
        <v>99.620743868852472</v>
      </c>
      <c r="Q525" s="19">
        <f>IF(E525="HERRAJE",0,IFERROR(_xlfn.XLOOKUP(E525,'⚙️ Configuración Costos'!$E$5:$E$6,'⚙️ Configuración Costos'!$F$5:$F$6),""))</f>
        <v>9.5</v>
      </c>
      <c r="R525" s="19">
        <f t="shared" si="299"/>
        <v>5.4055</v>
      </c>
      <c r="S525" s="37">
        <f t="shared" si="300"/>
        <v>105.02624386885248</v>
      </c>
      <c r="T525" s="94" t="str">
        <f t="shared" si="301"/>
        <v>OK</v>
      </c>
      <c r="U525" s="95" t="str">
        <f t="shared" si="302"/>
        <v/>
      </c>
      <c r="V525" s="96">
        <f t="shared" si="303"/>
        <v>0</v>
      </c>
    </row>
    <row r="526" spans="1:22" x14ac:dyDescent="0.2">
      <c r="A526" s="35">
        <v>1</v>
      </c>
      <c r="B526" s="6">
        <v>569</v>
      </c>
      <c r="C526" s="6">
        <v>120</v>
      </c>
      <c r="D526" s="43" t="s">
        <v>327</v>
      </c>
      <c r="E526" s="43" t="s">
        <v>85</v>
      </c>
      <c r="F526" s="53">
        <v>1</v>
      </c>
      <c r="G526" s="44">
        <v>0</v>
      </c>
      <c r="H526" s="44">
        <v>1</v>
      </c>
      <c r="I526" s="44">
        <v>0</v>
      </c>
      <c r="J526" s="44">
        <v>0</v>
      </c>
      <c r="K526" s="16" t="s">
        <v>36</v>
      </c>
      <c r="L526" s="46" t="s">
        <v>328</v>
      </c>
      <c r="M526" s="10">
        <f t="shared" si="296"/>
        <v>6.8279999999999993E-2</v>
      </c>
      <c r="N526" s="11">
        <f t="shared" si="297"/>
        <v>0.56899999999999995</v>
      </c>
      <c r="O526" s="12">
        <f>IF(E526="HERRAJE",IFERROR(_xlfn.XLOOKUP(D526,'⚙️ Configuración Costos'!$A$11:$A$20,'⚙️ Configuración Costos'!$B$11:$B$20),""),IFERROR(_xlfn.XLOOKUP(E526,'⚙️ Configuración Costos'!$A$5:$A$6,'⚙️ Configuración Costos'!$B$5:$B$6),""))</f>
        <v>332.85245901639348</v>
      </c>
      <c r="P526" s="12">
        <f t="shared" si="298"/>
        <v>22.727165901639346</v>
      </c>
      <c r="Q526" s="19">
        <f>IF(E526="HERRAJE",0,IFERROR(_xlfn.XLOOKUP(E526,'⚙️ Configuración Costos'!$E$5:$E$6,'⚙️ Configuración Costos'!$F$5:$F$6),""))</f>
        <v>9.5</v>
      </c>
      <c r="R526" s="19">
        <f t="shared" si="299"/>
        <v>5.4055</v>
      </c>
      <c r="S526" s="37">
        <f t="shared" si="300"/>
        <v>28.132665901639346</v>
      </c>
      <c r="T526" s="94" t="str">
        <f t="shared" si="301"/>
        <v>OK</v>
      </c>
      <c r="U526" s="95" t="str">
        <f t="shared" si="302"/>
        <v/>
      </c>
      <c r="V526" s="96">
        <f t="shared" si="303"/>
        <v>0</v>
      </c>
    </row>
    <row r="527" spans="1:22" x14ac:dyDescent="0.2">
      <c r="A527" s="35">
        <v>1</v>
      </c>
      <c r="B527" s="6">
        <v>717</v>
      </c>
      <c r="C527" s="6">
        <v>597</v>
      </c>
      <c r="D527" s="43" t="s">
        <v>197</v>
      </c>
      <c r="E527" s="43" t="s">
        <v>85</v>
      </c>
      <c r="F527" s="53">
        <v>1</v>
      </c>
      <c r="G527" s="44">
        <v>1</v>
      </c>
      <c r="H527" s="44">
        <v>1</v>
      </c>
      <c r="I527" s="44">
        <v>1</v>
      </c>
      <c r="J527" s="44">
        <v>1</v>
      </c>
      <c r="K527" s="16" t="s">
        <v>36</v>
      </c>
      <c r="L527" s="47" t="s">
        <v>329</v>
      </c>
      <c r="M527" s="10">
        <f t="shared" si="296"/>
        <v>0.42804900000000001</v>
      </c>
      <c r="N527" s="11">
        <f t="shared" si="297"/>
        <v>2.6280000000000001</v>
      </c>
      <c r="O527" s="12">
        <f>IF(E527="HERRAJE",IFERROR(_xlfn.XLOOKUP(D527,'⚙️ Configuración Costos'!$A$11:$A$20,'⚙️ Configuración Costos'!$B$11:$B$20),""),IFERROR(_xlfn.XLOOKUP(E527,'⚙️ Configuración Costos'!$A$5:$A$6,'⚙️ Configuración Costos'!$B$5:$B$6),""))</f>
        <v>332.85245901639348</v>
      </c>
      <c r="P527" s="12">
        <f t="shared" si="298"/>
        <v>142.47716222950822</v>
      </c>
      <c r="Q527" s="19">
        <f>IF(E527="HERRAJE",0,IFERROR(_xlfn.XLOOKUP(E527,'⚙️ Configuración Costos'!$E$5:$E$6,'⚙️ Configuración Costos'!$F$5:$F$6),""))</f>
        <v>9.5</v>
      </c>
      <c r="R527" s="19">
        <f t="shared" si="299"/>
        <v>24.966000000000001</v>
      </c>
      <c r="S527" s="38">
        <f t="shared" si="300"/>
        <v>167.44316222950823</v>
      </c>
      <c r="T527" s="94" t="str">
        <f t="shared" si="301"/>
        <v>OK</v>
      </c>
      <c r="U527" s="95" t="str">
        <f t="shared" si="302"/>
        <v/>
      </c>
      <c r="V527" s="96">
        <f t="shared" si="303"/>
        <v>0</v>
      </c>
    </row>
    <row r="528" spans="1:22" x14ac:dyDescent="0.2">
      <c r="A528" s="35">
        <v>1</v>
      </c>
      <c r="B528" s="6">
        <v>566</v>
      </c>
      <c r="C528" s="6">
        <v>597</v>
      </c>
      <c r="D528" s="43" t="s">
        <v>84</v>
      </c>
      <c r="E528" s="43" t="s">
        <v>85</v>
      </c>
      <c r="F528" s="53">
        <v>1</v>
      </c>
      <c r="G528" s="44">
        <v>1</v>
      </c>
      <c r="H528" s="44">
        <v>1</v>
      </c>
      <c r="I528" s="44">
        <v>1</v>
      </c>
      <c r="J528" s="44">
        <v>1</v>
      </c>
      <c r="K528" s="16" t="s">
        <v>36</v>
      </c>
      <c r="L528" s="47" t="s">
        <v>322</v>
      </c>
      <c r="M528" s="10">
        <f t="shared" si="296"/>
        <v>0.33790199999999998</v>
      </c>
      <c r="N528" s="11">
        <f t="shared" si="297"/>
        <v>2.3260000000000001</v>
      </c>
      <c r="O528" s="12">
        <f>IF(E528="HERRAJE",IFERROR(_xlfn.XLOOKUP(D528,'⚙️ Configuración Costos'!$A$11:$A$20,'⚙️ Configuración Costos'!$B$11:$B$20),""),IFERROR(_xlfn.XLOOKUP(E528,'⚙️ Configuración Costos'!$A$5:$A$6,'⚙️ Configuración Costos'!$B$5:$B$6),""))</f>
        <v>332.85245901639348</v>
      </c>
      <c r="P528" s="12">
        <f t="shared" si="298"/>
        <v>112.47151160655739</v>
      </c>
      <c r="Q528" s="19">
        <f>IF(E528="HERRAJE",0,IFERROR(_xlfn.XLOOKUP(E528,'⚙️ Configuración Costos'!$E$5:$E$6,'⚙️ Configuración Costos'!$F$5:$F$6),""))</f>
        <v>9.5</v>
      </c>
      <c r="R528" s="19">
        <f t="shared" si="299"/>
        <v>22.097000000000001</v>
      </c>
      <c r="S528" s="38">
        <f t="shared" si="300"/>
        <v>134.56851160655739</v>
      </c>
      <c r="T528" s="94" t="str">
        <f t="shared" si="301"/>
        <v>OK</v>
      </c>
      <c r="U528" s="95" t="str">
        <f t="shared" si="302"/>
        <v/>
      </c>
      <c r="V528" s="96">
        <f t="shared" si="303"/>
        <v>0</v>
      </c>
    </row>
    <row r="529" spans="1:22" x14ac:dyDescent="0.2">
      <c r="A529" s="35">
        <v>4</v>
      </c>
      <c r="B529" s="6">
        <v>0</v>
      </c>
      <c r="C529" s="6">
        <v>0</v>
      </c>
      <c r="D529" s="7" t="s">
        <v>90</v>
      </c>
      <c r="E529" s="7" t="s">
        <v>91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16" t="s">
        <v>36</v>
      </c>
      <c r="L529" s="47" t="s">
        <v>92</v>
      </c>
      <c r="M529" s="10">
        <f t="shared" si="296"/>
        <v>0</v>
      </c>
      <c r="N529" s="11">
        <f t="shared" si="297"/>
        <v>0</v>
      </c>
      <c r="O529" s="12">
        <f>IF(E529="HERRAJE",IFERROR(_xlfn.XLOOKUP(D529,'⚙️ Configuración Costos'!$A$11:$A$20,'⚙️ Configuración Costos'!$B$11:$B$20),""),IFERROR(_xlfn.XLOOKUP(E529,'⚙️ Configuración Costos'!$A$5:$A$6,'⚙️ Configuración Costos'!$B$5:$B$6),""))</f>
        <v>20</v>
      </c>
      <c r="P529" s="12">
        <f t="shared" si="298"/>
        <v>80</v>
      </c>
      <c r="Q529" s="19">
        <f>IF(E529="HERRAJE",0,IFERROR(_xlfn.XLOOKUP(E529,'⚙️ Configuración Costos'!$E$5:$E$6,'⚙️ Configuración Costos'!$F$5:$F$6),""))</f>
        <v>0</v>
      </c>
      <c r="R529" s="19">
        <f t="shared" si="299"/>
        <v>0</v>
      </c>
      <c r="S529" s="38">
        <f t="shared" si="300"/>
        <v>80</v>
      </c>
      <c r="T529" s="94" t="str">
        <f t="shared" si="301"/>
        <v>OK</v>
      </c>
      <c r="U529" s="95" t="str">
        <f t="shared" si="302"/>
        <v/>
      </c>
      <c r="V529" s="96">
        <f t="shared" si="303"/>
        <v>0</v>
      </c>
    </row>
    <row r="530" spans="1:22" x14ac:dyDescent="0.2">
      <c r="A530" s="35">
        <v>2</v>
      </c>
      <c r="B530" s="6">
        <v>0</v>
      </c>
      <c r="C530" s="6">
        <v>0</v>
      </c>
      <c r="D530" s="7" t="s">
        <v>93</v>
      </c>
      <c r="E530" s="7" t="s">
        <v>91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16" t="s">
        <v>36</v>
      </c>
      <c r="L530" s="47" t="s">
        <v>94</v>
      </c>
      <c r="M530" s="10">
        <f t="shared" si="296"/>
        <v>0</v>
      </c>
      <c r="N530" s="11">
        <f t="shared" si="297"/>
        <v>0</v>
      </c>
      <c r="O530" s="12">
        <f>IF(E530="HERRAJE",IFERROR(_xlfn.XLOOKUP(D530,'⚙️ Configuración Costos'!$A$11:$A$20,'⚙️ Configuración Costos'!$B$11:$B$20),""),IFERROR(_xlfn.XLOOKUP(E530,'⚙️ Configuración Costos'!$A$5:$A$6,'⚙️ Configuración Costos'!$B$5:$B$6),""))</f>
        <v>15</v>
      </c>
      <c r="P530" s="12">
        <f t="shared" si="298"/>
        <v>30</v>
      </c>
      <c r="Q530" s="19">
        <f>IF(E530="HERRAJE",0,IFERROR(_xlfn.XLOOKUP(E530,'⚙️ Configuración Costos'!$E$5:$E$6,'⚙️ Configuración Costos'!$F$5:$F$6),""))</f>
        <v>0</v>
      </c>
      <c r="R530" s="19">
        <f t="shared" si="299"/>
        <v>0</v>
      </c>
      <c r="S530" s="38">
        <f t="shared" si="300"/>
        <v>30</v>
      </c>
      <c r="T530" s="94" t="str">
        <f t="shared" si="301"/>
        <v>OK</v>
      </c>
      <c r="U530" s="95" t="str">
        <f t="shared" si="302"/>
        <v/>
      </c>
      <c r="V530" s="96">
        <f t="shared" si="303"/>
        <v>0</v>
      </c>
    </row>
    <row r="531" spans="1:22" x14ac:dyDescent="0.2">
      <c r="A531" s="35">
        <v>4</v>
      </c>
      <c r="B531" s="6">
        <v>0</v>
      </c>
      <c r="C531" s="6">
        <v>0</v>
      </c>
      <c r="D531" s="7" t="s">
        <v>186</v>
      </c>
      <c r="E531" s="7" t="s">
        <v>91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16" t="s">
        <v>36</v>
      </c>
      <c r="L531" s="47" t="s">
        <v>187</v>
      </c>
      <c r="M531" s="10">
        <f t="shared" si="296"/>
        <v>0</v>
      </c>
      <c r="N531" s="11">
        <f t="shared" si="297"/>
        <v>0</v>
      </c>
      <c r="O531" s="12">
        <f>IF(E531="HERRAJE",IFERROR(_xlfn.XLOOKUP(D531,'⚙️ Configuración Costos'!$A$11:$A$20,'⚙️ Configuración Costos'!$B$11:$B$20),""),IFERROR(_xlfn.XLOOKUP(E531,'⚙️ Configuración Costos'!$A$5:$A$6,'⚙️ Configuración Costos'!$B$5:$B$6),""))</f>
        <v>15</v>
      </c>
      <c r="P531" s="12">
        <f t="shared" si="298"/>
        <v>60</v>
      </c>
      <c r="Q531" s="19">
        <f>IF(E531="HERRAJE",0,IFERROR(_xlfn.XLOOKUP(E531,'⚙️ Configuración Costos'!$E$5:$E$6,'⚙️ Configuración Costos'!$F$5:$F$6),""))</f>
        <v>0</v>
      </c>
      <c r="R531" s="19">
        <f t="shared" si="299"/>
        <v>0</v>
      </c>
      <c r="S531" s="38">
        <f t="shared" si="300"/>
        <v>60</v>
      </c>
      <c r="T531" s="94" t="str">
        <f t="shared" si="301"/>
        <v>OK</v>
      </c>
      <c r="U531" s="95" t="str">
        <f t="shared" si="302"/>
        <v/>
      </c>
      <c r="V531" s="96">
        <f t="shared" si="303"/>
        <v>0</v>
      </c>
    </row>
    <row r="532" spans="1:22" x14ac:dyDescent="0.2">
      <c r="A532" s="35">
        <v>4</v>
      </c>
      <c r="B532" s="6">
        <v>0</v>
      </c>
      <c r="C532" s="6">
        <v>0</v>
      </c>
      <c r="D532" s="7" t="s">
        <v>95</v>
      </c>
      <c r="E532" s="7" t="s">
        <v>91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16" t="s">
        <v>36</v>
      </c>
      <c r="L532" s="47" t="s">
        <v>96</v>
      </c>
      <c r="M532" s="10">
        <f t="shared" si="296"/>
        <v>0</v>
      </c>
      <c r="N532" s="11">
        <f t="shared" si="297"/>
        <v>0</v>
      </c>
      <c r="O532" s="12">
        <f>IF(E532="HERRAJE",IFERROR(_xlfn.XLOOKUP(D532,'⚙️ Configuración Costos'!$A$11:$A$20,'⚙️ Configuración Costos'!$B$11:$B$20),""),IFERROR(_xlfn.XLOOKUP(E532,'⚙️ Configuración Costos'!$A$5:$A$6,'⚙️ Configuración Costos'!$B$5:$B$6),""))</f>
        <v>2</v>
      </c>
      <c r="P532" s="12">
        <f t="shared" si="298"/>
        <v>8</v>
      </c>
      <c r="Q532" s="19">
        <f>IF(E532="HERRAJE",0,IFERROR(_xlfn.XLOOKUP(E532,'⚙️ Configuración Costos'!$E$5:$E$6,'⚙️ Configuración Costos'!$F$5:$F$6),""))</f>
        <v>0</v>
      </c>
      <c r="R532" s="19">
        <f t="shared" si="299"/>
        <v>0</v>
      </c>
      <c r="S532" s="38">
        <f t="shared" si="300"/>
        <v>8</v>
      </c>
      <c r="T532" s="94" t="str">
        <f t="shared" si="301"/>
        <v>OK</v>
      </c>
      <c r="U532" s="95" t="str">
        <f t="shared" si="302"/>
        <v/>
      </c>
      <c r="V532" s="96">
        <f t="shared" si="303"/>
        <v>0</v>
      </c>
    </row>
    <row r="533" spans="1:22" ht="16" thickBot="1" x14ac:dyDescent="0.25">
      <c r="A533" s="36">
        <v>50</v>
      </c>
      <c r="B533" s="20">
        <v>0</v>
      </c>
      <c r="C533" s="20">
        <v>0</v>
      </c>
      <c r="D533" s="21" t="s">
        <v>97</v>
      </c>
      <c r="E533" s="21" t="s">
        <v>91</v>
      </c>
      <c r="F533" s="22">
        <v>0</v>
      </c>
      <c r="G533" s="22">
        <v>0</v>
      </c>
      <c r="H533" s="22">
        <v>0</v>
      </c>
      <c r="I533" s="22">
        <v>0</v>
      </c>
      <c r="J533" s="22">
        <v>0</v>
      </c>
      <c r="K533" s="16" t="s">
        <v>36</v>
      </c>
      <c r="L533" s="48" t="s">
        <v>98</v>
      </c>
      <c r="M533" s="10">
        <f t="shared" si="296"/>
        <v>0</v>
      </c>
      <c r="N533" s="11">
        <f t="shared" si="297"/>
        <v>0</v>
      </c>
      <c r="O533" s="12">
        <f>IF(E533="HERRAJE",IFERROR(_xlfn.XLOOKUP(D533,'⚙️ Configuración Costos'!$A$11:$A$20,'⚙️ Configuración Costos'!$B$11:$B$20),""),IFERROR(_xlfn.XLOOKUP(E533,'⚙️ Configuración Costos'!$A$5:$A$6,'⚙️ Configuración Costos'!$B$5:$B$6),""))</f>
        <v>1.5</v>
      </c>
      <c r="P533" s="12">
        <f t="shared" si="298"/>
        <v>75</v>
      </c>
      <c r="Q533" s="19">
        <f>IF(E533="HERRAJE",0,IFERROR(_xlfn.XLOOKUP(E533,'⚙️ Configuración Costos'!$E$5:$E$6,'⚙️ Configuración Costos'!$F$5:$F$6),""))</f>
        <v>0</v>
      </c>
      <c r="R533" s="19">
        <f t="shared" si="299"/>
        <v>0</v>
      </c>
      <c r="S533" s="39">
        <f t="shared" si="300"/>
        <v>75</v>
      </c>
      <c r="T533" s="94" t="str">
        <f t="shared" si="301"/>
        <v>OK</v>
      </c>
      <c r="U533" s="95" t="str">
        <f t="shared" si="302"/>
        <v/>
      </c>
      <c r="V533" s="96">
        <f t="shared" si="303"/>
        <v>0</v>
      </c>
    </row>
    <row r="534" spans="1:22" ht="16" thickTop="1" x14ac:dyDescent="0.2">
      <c r="A534" s="27" t="s">
        <v>99</v>
      </c>
      <c r="B534" s="27"/>
      <c r="C534" s="27"/>
      <c r="D534" s="28"/>
      <c r="E534" s="28"/>
      <c r="F534" s="29"/>
      <c r="G534" s="29"/>
      <c r="H534" s="29"/>
      <c r="I534" s="29"/>
      <c r="J534" s="29"/>
      <c r="K534" s="30"/>
      <c r="L534" s="49" t="s">
        <v>188</v>
      </c>
      <c r="M534" s="33">
        <f>SUM(M516:M533)</f>
        <v>5.9183569999999994</v>
      </c>
      <c r="N534" s="33">
        <f>SUM(N516:N533)</f>
        <v>22.59</v>
      </c>
      <c r="O534" s="33"/>
      <c r="P534" s="33">
        <f>SUM(P516:P533)</f>
        <v>2222.9396807868857</v>
      </c>
      <c r="Q534" s="33"/>
      <c r="R534" s="33">
        <f>SUM(R516:R533)</f>
        <v>214.60500000000002</v>
      </c>
      <c r="S534" s="33">
        <f>SUM(S516:S533)</f>
        <v>2437.5446807868852</v>
      </c>
      <c r="T534" s="97"/>
      <c r="U534" s="98"/>
      <c r="V534" s="99"/>
    </row>
    <row r="535" spans="1:22" x14ac:dyDescent="0.2">
      <c r="A535" s="186" t="s">
        <v>330</v>
      </c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8"/>
      <c r="T535" s="97"/>
      <c r="U535" s="98"/>
      <c r="V535" s="99"/>
    </row>
    <row r="536" spans="1:22" x14ac:dyDescent="0.2">
      <c r="A536" s="35">
        <v>1</v>
      </c>
      <c r="B536" s="6">
        <v>2100</v>
      </c>
      <c r="C536" s="6">
        <v>580</v>
      </c>
      <c r="D536" s="43" t="s">
        <v>331</v>
      </c>
      <c r="E536" s="43" t="s">
        <v>85</v>
      </c>
      <c r="F536" s="44">
        <v>1</v>
      </c>
      <c r="G536" s="44">
        <v>1</v>
      </c>
      <c r="H536" s="44">
        <v>1</v>
      </c>
      <c r="I536" s="44">
        <v>1</v>
      </c>
      <c r="J536" s="44">
        <v>1</v>
      </c>
      <c r="K536" s="16" t="s">
        <v>37</v>
      </c>
      <c r="L536" s="46" t="s">
        <v>296</v>
      </c>
      <c r="M536" s="17">
        <f t="shared" ref="M536:M555" si="304">IF(AND(ISNUMBER(B536),ISNUMBER(C536),B536&gt;0,C536&gt;0),A536*(B536*C536/1000000),0)</f>
        <v>1.218</v>
      </c>
      <c r="N536" s="18">
        <f t="shared" ref="N536:N555" si="305">IF(AND(ISNUMBER(B536),B536&gt;0),A536*(((G536+H536)*B536+(I536+J536)*C536)/1000),0)</f>
        <v>5.36</v>
      </c>
      <c r="O536" s="19">
        <f>IF(E536="HERRAJE",IFERROR(_xlfn.XLOOKUP(D536,'⚙️ Configuración Costos'!$A$11:$A$20,'⚙️ Configuración Costos'!$B$11:$B$20),""),IFERROR(_xlfn.XLOOKUP(E536,'⚙️ Configuración Costos'!$A$5:$A$6,'⚙️ Configuración Costos'!$B$5:$B$6),""))</f>
        <v>332.85245901639348</v>
      </c>
      <c r="P536" s="19">
        <f t="shared" ref="P536:P555" si="306">IF(E536="HERRAJE",A536*O536,M536*O536)</f>
        <v>405.41429508196723</v>
      </c>
      <c r="Q536" s="19">
        <f>IF(E536="HERRAJE",0,IFERROR(_xlfn.XLOOKUP(E536,'⚙️ Configuración Costos'!$E$5:$E$6,'⚙️ Configuración Costos'!$F$5:$F$6),""))</f>
        <v>9.5</v>
      </c>
      <c r="R536" s="19">
        <f t="shared" ref="R536:R555" si="307">N536*Q536</f>
        <v>50.92</v>
      </c>
      <c r="S536" s="37">
        <f t="shared" ref="S536:S555" si="308">P536+R536</f>
        <v>456.33429508196724</v>
      </c>
      <c r="T536" s="94" t="str">
        <f t="shared" ref="T536:T555" si="309">IF(K536="","SIN ID MÓDULO",IF(E536="HERRAJE",IF(OR(O536="",O536&lt;=0),"SIN PRECIO HERRAJE","OK"),IF(OR(O536="",O536&lt;=0),"SIN PRECIO MATERIAL",IF(AND(N536&gt;0,OR(Q536="",Q536&lt;=0)),"SIN PRECIO CINTILLA","OK"))))</f>
        <v>OK</v>
      </c>
      <c r="U536" s="95" t="str">
        <f t="shared" ref="U536:U555" si="310">IF(T536="OK","",IF(T536="SIN PRECIO HERRAJE","Capturar precio: "&amp;D536,IF(T536="SIN PRECIO MATERIAL","Configurar material: "&amp;E536,IF(T536="SIN PRECIO CINTILLA","Configurar cintilla: "&amp;E536,IF(T536="SIN ID MÓDULO","Revisar ID del módulo","")))))</f>
        <v/>
      </c>
      <c r="V536" s="96">
        <f t="shared" ref="V536:V555" si="311">IF(T536="OK",0,IF(T536="",0,1))</f>
        <v>0</v>
      </c>
    </row>
    <row r="537" spans="1:22" x14ac:dyDescent="0.2">
      <c r="A537" s="35">
        <v>1</v>
      </c>
      <c r="B537" s="6">
        <v>2100</v>
      </c>
      <c r="C537" s="6">
        <v>580</v>
      </c>
      <c r="D537" s="43" t="s">
        <v>332</v>
      </c>
      <c r="E537" s="43" t="s">
        <v>85</v>
      </c>
      <c r="F537" s="44">
        <v>1</v>
      </c>
      <c r="G537" s="44">
        <v>1</v>
      </c>
      <c r="H537" s="44">
        <v>1</v>
      </c>
      <c r="I537" s="44">
        <v>1</v>
      </c>
      <c r="J537" s="44">
        <v>1</v>
      </c>
      <c r="K537" s="16" t="s">
        <v>37</v>
      </c>
      <c r="L537" s="46" t="s">
        <v>297</v>
      </c>
      <c r="M537" s="17">
        <f t="shared" si="304"/>
        <v>1.218</v>
      </c>
      <c r="N537" s="18">
        <f t="shared" si="305"/>
        <v>5.36</v>
      </c>
      <c r="O537" s="19">
        <f>IF(E537="HERRAJE",IFERROR(_xlfn.XLOOKUP(D537,'⚙️ Configuración Costos'!$A$11:$A$20,'⚙️ Configuración Costos'!$B$11:$B$20),""),IFERROR(_xlfn.XLOOKUP(E537,'⚙️ Configuración Costos'!$A$5:$A$6,'⚙️ Configuración Costos'!$B$5:$B$6),""))</f>
        <v>332.85245901639348</v>
      </c>
      <c r="P537" s="19">
        <f t="shared" si="306"/>
        <v>405.41429508196723</v>
      </c>
      <c r="Q537" s="19">
        <f>IF(E537="HERRAJE",0,IFERROR(_xlfn.XLOOKUP(E537,'⚙️ Configuración Costos'!$E$5:$E$6,'⚙️ Configuración Costos'!$F$5:$F$6),""))</f>
        <v>9.5</v>
      </c>
      <c r="R537" s="19">
        <f t="shared" si="307"/>
        <v>50.92</v>
      </c>
      <c r="S537" s="37">
        <f t="shared" si="308"/>
        <v>456.33429508196724</v>
      </c>
      <c r="T537" s="94" t="str">
        <f t="shared" si="309"/>
        <v>OK</v>
      </c>
      <c r="U537" s="95" t="str">
        <f t="shared" si="310"/>
        <v/>
      </c>
      <c r="V537" s="96">
        <f t="shared" si="311"/>
        <v>0</v>
      </c>
    </row>
    <row r="538" spans="1:22" x14ac:dyDescent="0.2">
      <c r="A538" s="35">
        <v>1</v>
      </c>
      <c r="B538" s="6">
        <v>689</v>
      </c>
      <c r="C538" s="6">
        <v>669</v>
      </c>
      <c r="D538" s="43" t="s">
        <v>298</v>
      </c>
      <c r="E538" s="43" t="s">
        <v>85</v>
      </c>
      <c r="F538" s="44">
        <v>1</v>
      </c>
      <c r="G538" s="44">
        <v>0</v>
      </c>
      <c r="H538" s="44">
        <v>0</v>
      </c>
      <c r="I538" s="44">
        <v>0</v>
      </c>
      <c r="J538" s="44">
        <v>0</v>
      </c>
      <c r="K538" s="16" t="s">
        <v>37</v>
      </c>
      <c r="L538" s="46" t="s">
        <v>333</v>
      </c>
      <c r="M538" s="17">
        <f t="shared" si="304"/>
        <v>0.46094099999999999</v>
      </c>
      <c r="N538" s="18">
        <f t="shared" si="305"/>
        <v>0</v>
      </c>
      <c r="O538" s="19">
        <f>IF(E538="HERRAJE",IFERROR(_xlfn.XLOOKUP(D538,'⚙️ Configuración Costos'!$A$11:$A$20,'⚙️ Configuración Costos'!$B$11:$B$20),""),IFERROR(_xlfn.XLOOKUP(E538,'⚙️ Configuración Costos'!$A$5:$A$6,'⚙️ Configuración Costos'!$B$5:$B$6),""))</f>
        <v>332.85245901639348</v>
      </c>
      <c r="P538" s="19">
        <f t="shared" si="306"/>
        <v>153.42534531147541</v>
      </c>
      <c r="Q538" s="19">
        <f>IF(E538="HERRAJE",0,IFERROR(_xlfn.XLOOKUP(E538,'⚙️ Configuración Costos'!$E$5:$E$6,'⚙️ Configuración Costos'!$F$5:$F$6),""))</f>
        <v>9.5</v>
      </c>
      <c r="R538" s="19">
        <f t="shared" si="307"/>
        <v>0</v>
      </c>
      <c r="S538" s="37">
        <f t="shared" si="308"/>
        <v>153.42534531147541</v>
      </c>
      <c r="T538" s="94" t="str">
        <f t="shared" si="309"/>
        <v>OK</v>
      </c>
      <c r="U538" s="95" t="str">
        <f t="shared" si="310"/>
        <v/>
      </c>
      <c r="V538" s="96">
        <f t="shared" si="311"/>
        <v>0</v>
      </c>
    </row>
    <row r="539" spans="1:22" x14ac:dyDescent="0.2">
      <c r="A539" s="35">
        <v>1</v>
      </c>
      <c r="B539" s="6">
        <v>669</v>
      </c>
      <c r="C539" s="6">
        <v>580</v>
      </c>
      <c r="D539" s="43" t="s">
        <v>300</v>
      </c>
      <c r="E539" s="43" t="s">
        <v>85</v>
      </c>
      <c r="F539" s="44">
        <v>1</v>
      </c>
      <c r="G539" s="44">
        <v>1</v>
      </c>
      <c r="H539" s="44">
        <v>1</v>
      </c>
      <c r="I539" s="44">
        <v>0</v>
      </c>
      <c r="J539" s="44">
        <v>0</v>
      </c>
      <c r="K539" s="16" t="s">
        <v>37</v>
      </c>
      <c r="L539" s="46" t="s">
        <v>334</v>
      </c>
      <c r="M539" s="17">
        <f t="shared" si="304"/>
        <v>0.38801999999999998</v>
      </c>
      <c r="N539" s="18">
        <f t="shared" si="305"/>
        <v>1.3380000000000001</v>
      </c>
      <c r="O539" s="19">
        <f>IF(E539="HERRAJE",IFERROR(_xlfn.XLOOKUP(D539,'⚙️ Configuración Costos'!$A$11:$A$20,'⚙️ Configuración Costos'!$B$11:$B$20),""),IFERROR(_xlfn.XLOOKUP(E539,'⚙️ Configuración Costos'!$A$5:$A$6,'⚙️ Configuración Costos'!$B$5:$B$6),""))</f>
        <v>332.85245901639348</v>
      </c>
      <c r="P539" s="19">
        <f t="shared" si="306"/>
        <v>129.15341114754099</v>
      </c>
      <c r="Q539" s="19">
        <f>IF(E539="HERRAJE",0,IFERROR(_xlfn.XLOOKUP(E539,'⚙️ Configuración Costos'!$E$5:$E$6,'⚙️ Configuración Costos'!$F$5:$F$6),""))</f>
        <v>9.5</v>
      </c>
      <c r="R539" s="19">
        <f t="shared" si="307"/>
        <v>12.711</v>
      </c>
      <c r="S539" s="37">
        <f t="shared" si="308"/>
        <v>141.86441114754101</v>
      </c>
      <c r="T539" s="94" t="str">
        <f t="shared" si="309"/>
        <v>OK</v>
      </c>
      <c r="U539" s="95" t="str">
        <f t="shared" si="310"/>
        <v/>
      </c>
      <c r="V539" s="96">
        <f t="shared" si="311"/>
        <v>0</v>
      </c>
    </row>
    <row r="540" spans="1:22" x14ac:dyDescent="0.2">
      <c r="A540" s="35">
        <v>1</v>
      </c>
      <c r="B540" s="6">
        <v>669</v>
      </c>
      <c r="C540" s="6">
        <v>580</v>
      </c>
      <c r="D540" s="43" t="s">
        <v>300</v>
      </c>
      <c r="E540" s="43" t="s">
        <v>85</v>
      </c>
      <c r="F540" s="44">
        <v>1</v>
      </c>
      <c r="G540" s="44">
        <v>1</v>
      </c>
      <c r="H540" s="44">
        <v>1</v>
      </c>
      <c r="I540" s="44">
        <v>0</v>
      </c>
      <c r="J540" s="44">
        <v>0</v>
      </c>
      <c r="K540" s="16" t="s">
        <v>37</v>
      </c>
      <c r="L540" s="46" t="s">
        <v>334</v>
      </c>
      <c r="M540" s="17">
        <f t="shared" si="304"/>
        <v>0.38801999999999998</v>
      </c>
      <c r="N540" s="18">
        <f t="shared" si="305"/>
        <v>1.3380000000000001</v>
      </c>
      <c r="O540" s="19">
        <f>IF(E540="HERRAJE",IFERROR(_xlfn.XLOOKUP(D540,'⚙️ Configuración Costos'!$A$11:$A$20,'⚙️ Configuración Costos'!$B$11:$B$20),""),IFERROR(_xlfn.XLOOKUP(E540,'⚙️ Configuración Costos'!$A$5:$A$6,'⚙️ Configuración Costos'!$B$5:$B$6),""))</f>
        <v>332.85245901639348</v>
      </c>
      <c r="P540" s="19">
        <f t="shared" si="306"/>
        <v>129.15341114754099</v>
      </c>
      <c r="Q540" s="19">
        <f>IF(E540="HERRAJE",0,IFERROR(_xlfn.XLOOKUP(E540,'⚙️ Configuración Costos'!$E$5:$E$6,'⚙️ Configuración Costos'!$F$5:$F$6),""))</f>
        <v>9.5</v>
      </c>
      <c r="R540" s="19">
        <f t="shared" si="307"/>
        <v>12.711</v>
      </c>
      <c r="S540" s="37">
        <f t="shared" si="308"/>
        <v>141.86441114754101</v>
      </c>
      <c r="T540" s="94" t="str">
        <f t="shared" si="309"/>
        <v>OK</v>
      </c>
      <c r="U540" s="95" t="str">
        <f t="shared" si="310"/>
        <v/>
      </c>
      <c r="V540" s="96">
        <f t="shared" si="311"/>
        <v>0</v>
      </c>
    </row>
    <row r="541" spans="1:22" x14ac:dyDescent="0.2">
      <c r="A541" s="35">
        <v>1</v>
      </c>
      <c r="B541" s="6">
        <v>669</v>
      </c>
      <c r="C541" s="6">
        <v>580</v>
      </c>
      <c r="D541" s="43" t="s">
        <v>304</v>
      </c>
      <c r="E541" s="43" t="s">
        <v>85</v>
      </c>
      <c r="F541" s="44">
        <v>1</v>
      </c>
      <c r="G541" s="44">
        <v>1</v>
      </c>
      <c r="H541" s="44">
        <v>1</v>
      </c>
      <c r="I541" s="44">
        <v>0</v>
      </c>
      <c r="J541" s="44">
        <v>0</v>
      </c>
      <c r="K541" s="16" t="s">
        <v>37</v>
      </c>
      <c r="L541" s="46" t="s">
        <v>335</v>
      </c>
      <c r="M541" s="17">
        <f t="shared" si="304"/>
        <v>0.38801999999999998</v>
      </c>
      <c r="N541" s="18">
        <f t="shared" si="305"/>
        <v>1.3380000000000001</v>
      </c>
      <c r="O541" s="19">
        <f>IF(E541="HERRAJE",IFERROR(_xlfn.XLOOKUP(D541,'⚙️ Configuración Costos'!$A$11:$A$20,'⚙️ Configuración Costos'!$B$11:$B$20),""),IFERROR(_xlfn.XLOOKUP(E541,'⚙️ Configuración Costos'!$A$5:$A$6,'⚙️ Configuración Costos'!$B$5:$B$6),""))</f>
        <v>332.85245901639348</v>
      </c>
      <c r="P541" s="19">
        <f t="shared" si="306"/>
        <v>129.15341114754099</v>
      </c>
      <c r="Q541" s="19">
        <f>IF(E541="HERRAJE",0,IFERROR(_xlfn.XLOOKUP(E541,'⚙️ Configuración Costos'!$E$5:$E$6,'⚙️ Configuración Costos'!$F$5:$F$6),""))</f>
        <v>9.5</v>
      </c>
      <c r="R541" s="19">
        <f t="shared" si="307"/>
        <v>12.711</v>
      </c>
      <c r="S541" s="37">
        <f t="shared" si="308"/>
        <v>141.86441114754101</v>
      </c>
      <c r="T541" s="94" t="str">
        <f t="shared" si="309"/>
        <v>OK</v>
      </c>
      <c r="U541" s="95" t="str">
        <f t="shared" si="310"/>
        <v/>
      </c>
      <c r="V541" s="96">
        <f t="shared" si="311"/>
        <v>0</v>
      </c>
    </row>
    <row r="542" spans="1:22" x14ac:dyDescent="0.2">
      <c r="A542" s="35">
        <v>1</v>
      </c>
      <c r="B542" s="6">
        <v>669</v>
      </c>
      <c r="C542" s="6">
        <v>580</v>
      </c>
      <c r="D542" s="43" t="s">
        <v>302</v>
      </c>
      <c r="E542" s="43" t="s">
        <v>85</v>
      </c>
      <c r="F542" s="44">
        <v>1</v>
      </c>
      <c r="G542" s="44">
        <v>1</v>
      </c>
      <c r="H542" s="44">
        <v>1</v>
      </c>
      <c r="I542" s="44">
        <v>0</v>
      </c>
      <c r="J542" s="44">
        <v>0</v>
      </c>
      <c r="K542" s="16" t="s">
        <v>37</v>
      </c>
      <c r="L542" s="46" t="s">
        <v>336</v>
      </c>
      <c r="M542" s="17">
        <f t="shared" si="304"/>
        <v>0.38801999999999998</v>
      </c>
      <c r="N542" s="18">
        <f t="shared" si="305"/>
        <v>1.3380000000000001</v>
      </c>
      <c r="O542" s="19">
        <f>IF(E542="HERRAJE",IFERROR(_xlfn.XLOOKUP(D542,'⚙️ Configuración Costos'!$A$11:$A$20,'⚙️ Configuración Costos'!$B$11:$B$20),""),IFERROR(_xlfn.XLOOKUP(E542,'⚙️ Configuración Costos'!$A$5:$A$6,'⚙️ Configuración Costos'!$B$5:$B$6),""))</f>
        <v>332.85245901639348</v>
      </c>
      <c r="P542" s="19">
        <f t="shared" si="306"/>
        <v>129.15341114754099</v>
      </c>
      <c r="Q542" s="19">
        <f>IF(E542="HERRAJE",0,IFERROR(_xlfn.XLOOKUP(E542,'⚙️ Configuración Costos'!$E$5:$E$6,'⚙️ Configuración Costos'!$F$5:$F$6),""))</f>
        <v>9.5</v>
      </c>
      <c r="R542" s="19">
        <f t="shared" si="307"/>
        <v>12.711</v>
      </c>
      <c r="S542" s="37">
        <f t="shared" si="308"/>
        <v>141.86441114754101</v>
      </c>
      <c r="T542" s="94" t="str">
        <f t="shared" si="309"/>
        <v>OK</v>
      </c>
      <c r="U542" s="95" t="str">
        <f t="shared" si="310"/>
        <v/>
      </c>
      <c r="V542" s="96">
        <f t="shared" si="311"/>
        <v>0</v>
      </c>
    </row>
    <row r="543" spans="1:22" x14ac:dyDescent="0.2">
      <c r="A543" s="35">
        <v>1</v>
      </c>
      <c r="B543" s="6">
        <v>669</v>
      </c>
      <c r="C543" s="6">
        <v>580</v>
      </c>
      <c r="D543" s="43" t="s">
        <v>302</v>
      </c>
      <c r="E543" s="43" t="s">
        <v>85</v>
      </c>
      <c r="F543" s="44">
        <v>1</v>
      </c>
      <c r="G543" s="44">
        <v>1</v>
      </c>
      <c r="H543" s="44">
        <v>1</v>
      </c>
      <c r="I543" s="44">
        <v>0</v>
      </c>
      <c r="J543" s="44">
        <v>0</v>
      </c>
      <c r="K543" s="16" t="s">
        <v>37</v>
      </c>
      <c r="L543" s="46" t="s">
        <v>336</v>
      </c>
      <c r="M543" s="17">
        <f t="shared" si="304"/>
        <v>0.38801999999999998</v>
      </c>
      <c r="N543" s="18">
        <f t="shared" si="305"/>
        <v>1.3380000000000001</v>
      </c>
      <c r="O543" s="19">
        <f>IF(E543="HERRAJE",IFERROR(_xlfn.XLOOKUP(D543,'⚙️ Configuración Costos'!$A$11:$A$20,'⚙️ Configuración Costos'!$B$11:$B$20),""),IFERROR(_xlfn.XLOOKUP(E543,'⚙️ Configuración Costos'!$A$5:$A$6,'⚙️ Configuración Costos'!$B$5:$B$6),""))</f>
        <v>332.85245901639348</v>
      </c>
      <c r="P543" s="19">
        <f t="shared" si="306"/>
        <v>129.15341114754099</v>
      </c>
      <c r="Q543" s="19">
        <f>IF(E543="HERRAJE",0,IFERROR(_xlfn.XLOOKUP(E543,'⚙️ Configuración Costos'!$E$5:$E$6,'⚙️ Configuración Costos'!$F$5:$F$6),""))</f>
        <v>9.5</v>
      </c>
      <c r="R543" s="19">
        <f t="shared" si="307"/>
        <v>12.711</v>
      </c>
      <c r="S543" s="37">
        <f t="shared" si="308"/>
        <v>141.86441114754101</v>
      </c>
      <c r="T543" s="94" t="str">
        <f t="shared" si="309"/>
        <v>OK</v>
      </c>
      <c r="U543" s="95" t="str">
        <f t="shared" si="310"/>
        <v/>
      </c>
      <c r="V543" s="96">
        <f t="shared" si="311"/>
        <v>0</v>
      </c>
    </row>
    <row r="544" spans="1:22" x14ac:dyDescent="0.2">
      <c r="A544" s="35">
        <v>1</v>
      </c>
      <c r="B544" s="6">
        <v>669</v>
      </c>
      <c r="C544" s="6">
        <v>539</v>
      </c>
      <c r="D544" s="43" t="s">
        <v>298</v>
      </c>
      <c r="E544" s="43" t="s">
        <v>85</v>
      </c>
      <c r="F544" s="44">
        <v>1</v>
      </c>
      <c r="G544" s="44">
        <v>0</v>
      </c>
      <c r="H544" s="44">
        <v>0</v>
      </c>
      <c r="I544" s="44">
        <v>0</v>
      </c>
      <c r="J544" s="44">
        <v>0</v>
      </c>
      <c r="K544" s="16" t="s">
        <v>37</v>
      </c>
      <c r="L544" s="46" t="s">
        <v>337</v>
      </c>
      <c r="M544" s="17">
        <f t="shared" si="304"/>
        <v>0.36059099999999999</v>
      </c>
      <c r="N544" s="18">
        <f t="shared" si="305"/>
        <v>0</v>
      </c>
      <c r="O544" s="19">
        <f>IF(E544="HERRAJE",IFERROR(_xlfn.XLOOKUP(D544,'⚙️ Configuración Costos'!$A$11:$A$20,'⚙️ Configuración Costos'!$B$11:$B$20),""),IFERROR(_xlfn.XLOOKUP(E544,'⚙️ Configuración Costos'!$A$5:$A$6,'⚙️ Configuración Costos'!$B$5:$B$6),""))</f>
        <v>332.85245901639348</v>
      </c>
      <c r="P544" s="19">
        <f t="shared" si="306"/>
        <v>120.02360104918034</v>
      </c>
      <c r="Q544" s="19">
        <f>IF(E544="HERRAJE",0,IFERROR(_xlfn.XLOOKUP(E544,'⚙️ Configuración Costos'!$E$5:$E$6,'⚙️ Configuración Costos'!$F$5:$F$6),""))</f>
        <v>9.5</v>
      </c>
      <c r="R544" s="19">
        <f t="shared" si="307"/>
        <v>0</v>
      </c>
      <c r="S544" s="37">
        <f t="shared" si="308"/>
        <v>120.02360104918034</v>
      </c>
      <c r="T544" s="94" t="str">
        <f t="shared" si="309"/>
        <v>OK</v>
      </c>
      <c r="U544" s="95" t="str">
        <f t="shared" si="310"/>
        <v/>
      </c>
      <c r="V544" s="96">
        <f t="shared" si="311"/>
        <v>0</v>
      </c>
    </row>
    <row r="545" spans="1:22" x14ac:dyDescent="0.2">
      <c r="A545" s="35">
        <v>1</v>
      </c>
      <c r="B545" s="6">
        <v>669</v>
      </c>
      <c r="C545" s="6">
        <v>526.5</v>
      </c>
      <c r="D545" s="43" t="s">
        <v>304</v>
      </c>
      <c r="E545" s="43" t="s">
        <v>85</v>
      </c>
      <c r="F545" s="44">
        <v>1</v>
      </c>
      <c r="G545" s="44">
        <v>1</v>
      </c>
      <c r="H545" s="44">
        <v>0</v>
      </c>
      <c r="I545" s="44">
        <v>0</v>
      </c>
      <c r="J545" s="44">
        <v>0</v>
      </c>
      <c r="K545" s="16" t="s">
        <v>37</v>
      </c>
      <c r="L545" s="46" t="s">
        <v>338</v>
      </c>
      <c r="M545" s="17">
        <f t="shared" si="304"/>
        <v>0.3522285</v>
      </c>
      <c r="N545" s="18">
        <f t="shared" si="305"/>
        <v>0.66900000000000004</v>
      </c>
      <c r="O545" s="19">
        <f>IF(E545="HERRAJE",IFERROR(_xlfn.XLOOKUP(D545,'⚙️ Configuración Costos'!$A$11:$A$20,'⚙️ Configuración Costos'!$B$11:$B$20),""),IFERROR(_xlfn.XLOOKUP(E545,'⚙️ Configuración Costos'!$A$5:$A$6,'⚙️ Configuración Costos'!$B$5:$B$6),""))</f>
        <v>332.85245901639348</v>
      </c>
      <c r="P545" s="19">
        <f t="shared" si="306"/>
        <v>117.24012236065575</v>
      </c>
      <c r="Q545" s="19">
        <f>IF(E545="HERRAJE",0,IFERROR(_xlfn.XLOOKUP(E545,'⚙️ Configuración Costos'!$E$5:$E$6,'⚙️ Configuración Costos'!$F$5:$F$6),""))</f>
        <v>9.5</v>
      </c>
      <c r="R545" s="19">
        <f t="shared" si="307"/>
        <v>6.3555000000000001</v>
      </c>
      <c r="S545" s="37">
        <f t="shared" si="308"/>
        <v>123.59562236065575</v>
      </c>
      <c r="T545" s="94" t="str">
        <f t="shared" si="309"/>
        <v>OK</v>
      </c>
      <c r="U545" s="95" t="str">
        <f t="shared" si="310"/>
        <v/>
      </c>
      <c r="V545" s="96">
        <f t="shared" si="311"/>
        <v>0</v>
      </c>
    </row>
    <row r="546" spans="1:22" x14ac:dyDescent="0.2">
      <c r="A546" s="35">
        <v>1</v>
      </c>
      <c r="B546" s="6">
        <v>669</v>
      </c>
      <c r="C546" s="6">
        <v>120</v>
      </c>
      <c r="D546" s="43" t="s">
        <v>339</v>
      </c>
      <c r="E546" s="43" t="s">
        <v>85</v>
      </c>
      <c r="F546" s="44">
        <v>1</v>
      </c>
      <c r="G546" s="44">
        <v>0</v>
      </c>
      <c r="H546" s="44">
        <v>1</v>
      </c>
      <c r="I546" s="44">
        <v>0</v>
      </c>
      <c r="J546" s="44">
        <v>0</v>
      </c>
      <c r="K546" s="16" t="s">
        <v>37</v>
      </c>
      <c r="L546" s="46" t="s">
        <v>340</v>
      </c>
      <c r="M546" s="17">
        <f t="shared" si="304"/>
        <v>8.0280000000000004E-2</v>
      </c>
      <c r="N546" s="18">
        <f t="shared" si="305"/>
        <v>0.66900000000000004</v>
      </c>
      <c r="O546" s="19">
        <f>IF(E546="HERRAJE",IFERROR(_xlfn.XLOOKUP(D546,'⚙️ Configuración Costos'!$A$11:$A$20,'⚙️ Configuración Costos'!$B$11:$B$20),""),IFERROR(_xlfn.XLOOKUP(E546,'⚙️ Configuración Costos'!$A$5:$A$6,'⚙️ Configuración Costos'!$B$5:$B$6),""))</f>
        <v>332.85245901639348</v>
      </c>
      <c r="P546" s="19">
        <f t="shared" si="306"/>
        <v>26.72139540983607</v>
      </c>
      <c r="Q546" s="19">
        <f>IF(E546="HERRAJE",0,IFERROR(_xlfn.XLOOKUP(E546,'⚙️ Configuración Costos'!$E$5:$E$6,'⚙️ Configuración Costos'!$F$5:$F$6),""))</f>
        <v>9.5</v>
      </c>
      <c r="R546" s="19">
        <f t="shared" si="307"/>
        <v>6.3555000000000001</v>
      </c>
      <c r="S546" s="37">
        <f t="shared" si="308"/>
        <v>33.076895409836069</v>
      </c>
      <c r="T546" s="94" t="str">
        <f t="shared" si="309"/>
        <v>OK</v>
      </c>
      <c r="U546" s="95" t="str">
        <f t="shared" si="310"/>
        <v/>
      </c>
      <c r="V546" s="96">
        <f t="shared" si="311"/>
        <v>0</v>
      </c>
    </row>
    <row r="547" spans="1:22" x14ac:dyDescent="0.2">
      <c r="A547" s="35">
        <v>1</v>
      </c>
      <c r="B547" s="6">
        <v>717</v>
      </c>
      <c r="C547" s="6">
        <v>346</v>
      </c>
      <c r="D547" s="43" t="s">
        <v>84</v>
      </c>
      <c r="E547" s="43" t="s">
        <v>85</v>
      </c>
      <c r="F547" s="44">
        <v>1</v>
      </c>
      <c r="G547" s="44">
        <v>1</v>
      </c>
      <c r="H547" s="44">
        <v>1</v>
      </c>
      <c r="I547" s="44">
        <v>1</v>
      </c>
      <c r="J547" s="44">
        <v>1</v>
      </c>
      <c r="K547" s="16" t="s">
        <v>37</v>
      </c>
      <c r="L547" s="46" t="s">
        <v>341</v>
      </c>
      <c r="M547" s="17">
        <f t="shared" si="304"/>
        <v>0.248082</v>
      </c>
      <c r="N547" s="18">
        <f t="shared" si="305"/>
        <v>2.1259999999999999</v>
      </c>
      <c r="O547" s="19">
        <f>IF(E547="HERRAJE",IFERROR(_xlfn.XLOOKUP(D547,'⚙️ Configuración Costos'!$A$11:$A$20,'⚙️ Configuración Costos'!$B$11:$B$20),""),IFERROR(_xlfn.XLOOKUP(E547,'⚙️ Configuración Costos'!$A$5:$A$6,'⚙️ Configuración Costos'!$B$5:$B$6),""))</f>
        <v>332.85245901639348</v>
      </c>
      <c r="P547" s="19">
        <f t="shared" si="306"/>
        <v>82.574703737704922</v>
      </c>
      <c r="Q547" s="19">
        <f>IF(E547="HERRAJE",0,IFERROR(_xlfn.XLOOKUP(E547,'⚙️ Configuración Costos'!$E$5:$E$6,'⚙️ Configuración Costos'!$F$5:$F$6),""))</f>
        <v>9.5</v>
      </c>
      <c r="R547" s="19">
        <f t="shared" si="307"/>
        <v>20.196999999999999</v>
      </c>
      <c r="S547" s="37">
        <f t="shared" si="308"/>
        <v>102.77170373770493</v>
      </c>
      <c r="T547" s="94" t="str">
        <f t="shared" si="309"/>
        <v>OK</v>
      </c>
      <c r="U547" s="95" t="str">
        <f t="shared" si="310"/>
        <v/>
      </c>
      <c r="V547" s="96">
        <f t="shared" si="311"/>
        <v>0</v>
      </c>
    </row>
    <row r="548" spans="1:22" x14ac:dyDescent="0.2">
      <c r="A548" s="35">
        <v>1</v>
      </c>
      <c r="B548" s="6">
        <v>717</v>
      </c>
      <c r="C548" s="6">
        <v>346</v>
      </c>
      <c r="D548" s="43" t="s">
        <v>84</v>
      </c>
      <c r="E548" s="43" t="s">
        <v>85</v>
      </c>
      <c r="F548" s="44">
        <v>1</v>
      </c>
      <c r="G548" s="44">
        <v>1</v>
      </c>
      <c r="H548" s="44">
        <v>1</v>
      </c>
      <c r="I548" s="44">
        <v>1</v>
      </c>
      <c r="J548" s="44">
        <v>1</v>
      </c>
      <c r="K548" s="16" t="s">
        <v>37</v>
      </c>
      <c r="L548" s="46" t="s">
        <v>342</v>
      </c>
      <c r="M548" s="17">
        <f t="shared" si="304"/>
        <v>0.248082</v>
      </c>
      <c r="N548" s="18">
        <f t="shared" si="305"/>
        <v>2.1259999999999999</v>
      </c>
      <c r="O548" s="19">
        <f>IF(E548="HERRAJE",IFERROR(_xlfn.XLOOKUP(D548,'⚙️ Configuración Costos'!$A$11:$A$20,'⚙️ Configuración Costos'!$B$11:$B$20),""),IFERROR(_xlfn.XLOOKUP(E548,'⚙️ Configuración Costos'!$A$5:$A$6,'⚙️ Configuración Costos'!$B$5:$B$6),""))</f>
        <v>332.85245901639348</v>
      </c>
      <c r="P548" s="19">
        <f t="shared" si="306"/>
        <v>82.574703737704922</v>
      </c>
      <c r="Q548" s="19">
        <f>IF(E548="HERRAJE",0,IFERROR(_xlfn.XLOOKUP(E548,'⚙️ Configuración Costos'!$E$5:$E$6,'⚙️ Configuración Costos'!$F$5:$F$6),""))</f>
        <v>9.5</v>
      </c>
      <c r="R548" s="19">
        <f t="shared" si="307"/>
        <v>20.196999999999999</v>
      </c>
      <c r="S548" s="37">
        <f t="shared" si="308"/>
        <v>102.77170373770493</v>
      </c>
      <c r="T548" s="94" t="str">
        <f t="shared" si="309"/>
        <v>OK</v>
      </c>
      <c r="U548" s="95" t="str">
        <f t="shared" si="310"/>
        <v/>
      </c>
      <c r="V548" s="96">
        <f t="shared" si="311"/>
        <v>0</v>
      </c>
    </row>
    <row r="549" spans="1:22" x14ac:dyDescent="0.2">
      <c r="A549" s="35">
        <v>1</v>
      </c>
      <c r="B549" s="6">
        <v>566</v>
      </c>
      <c r="C549" s="6">
        <v>346</v>
      </c>
      <c r="D549" s="43" t="s">
        <v>84</v>
      </c>
      <c r="E549" s="43" t="s">
        <v>85</v>
      </c>
      <c r="F549" s="44">
        <v>1</v>
      </c>
      <c r="G549" s="44">
        <v>1</v>
      </c>
      <c r="H549" s="44">
        <v>1</v>
      </c>
      <c r="I549" s="44">
        <v>1</v>
      </c>
      <c r="J549" s="44">
        <v>1</v>
      </c>
      <c r="K549" s="16" t="s">
        <v>37</v>
      </c>
      <c r="L549" s="46" t="s">
        <v>343</v>
      </c>
      <c r="M549" s="17">
        <f t="shared" si="304"/>
        <v>0.19583600000000001</v>
      </c>
      <c r="N549" s="18">
        <f t="shared" si="305"/>
        <v>1.8240000000000001</v>
      </c>
      <c r="O549" s="19">
        <f>IF(E549="HERRAJE",IFERROR(_xlfn.XLOOKUP(D549,'⚙️ Configuración Costos'!$A$11:$A$20,'⚙️ Configuración Costos'!$B$11:$B$20),""),IFERROR(_xlfn.XLOOKUP(E549,'⚙️ Configuración Costos'!$A$5:$A$6,'⚙️ Configuración Costos'!$B$5:$B$6),""))</f>
        <v>332.85245901639348</v>
      </c>
      <c r="P549" s="19">
        <f t="shared" si="306"/>
        <v>65.184494163934431</v>
      </c>
      <c r="Q549" s="19">
        <f>IF(E549="HERRAJE",0,IFERROR(_xlfn.XLOOKUP(E549,'⚙️ Configuración Costos'!$E$5:$E$6,'⚙️ Configuración Costos'!$F$5:$F$6),""))</f>
        <v>9.5</v>
      </c>
      <c r="R549" s="19">
        <f t="shared" si="307"/>
        <v>17.327999999999999</v>
      </c>
      <c r="S549" s="37">
        <f t="shared" si="308"/>
        <v>82.512494163934434</v>
      </c>
      <c r="T549" s="94" t="str">
        <f t="shared" si="309"/>
        <v>OK</v>
      </c>
      <c r="U549" s="95" t="str">
        <f t="shared" si="310"/>
        <v/>
      </c>
      <c r="V549" s="96">
        <f t="shared" si="311"/>
        <v>0</v>
      </c>
    </row>
    <row r="550" spans="1:22" x14ac:dyDescent="0.2">
      <c r="A550" s="35">
        <v>1</v>
      </c>
      <c r="B550" s="6">
        <v>566</v>
      </c>
      <c r="C550" s="6">
        <v>346</v>
      </c>
      <c r="D550" s="43" t="s">
        <v>84</v>
      </c>
      <c r="E550" s="43" t="s">
        <v>85</v>
      </c>
      <c r="F550" s="44">
        <v>1</v>
      </c>
      <c r="G550" s="44">
        <v>1</v>
      </c>
      <c r="H550" s="44">
        <v>1</v>
      </c>
      <c r="I550" s="44">
        <v>1</v>
      </c>
      <c r="J550" s="44">
        <v>1</v>
      </c>
      <c r="K550" s="16" t="s">
        <v>37</v>
      </c>
      <c r="L550" s="46" t="s">
        <v>344</v>
      </c>
      <c r="M550" s="17">
        <f t="shared" si="304"/>
        <v>0.19583600000000001</v>
      </c>
      <c r="N550" s="18">
        <f t="shared" si="305"/>
        <v>1.8240000000000001</v>
      </c>
      <c r="O550" s="19">
        <f>IF(E550="HERRAJE",IFERROR(_xlfn.XLOOKUP(D550,'⚙️ Configuración Costos'!$A$11:$A$20,'⚙️ Configuración Costos'!$B$11:$B$20),""),IFERROR(_xlfn.XLOOKUP(E550,'⚙️ Configuración Costos'!$A$5:$A$6,'⚙️ Configuración Costos'!$B$5:$B$6),""))</f>
        <v>332.85245901639348</v>
      </c>
      <c r="P550" s="19">
        <f t="shared" si="306"/>
        <v>65.184494163934431</v>
      </c>
      <c r="Q550" s="19">
        <f>IF(E550="HERRAJE",0,IFERROR(_xlfn.XLOOKUP(E550,'⚙️ Configuración Costos'!$E$5:$E$6,'⚙️ Configuración Costos'!$F$5:$F$6),""))</f>
        <v>9.5</v>
      </c>
      <c r="R550" s="19">
        <f t="shared" si="307"/>
        <v>17.327999999999999</v>
      </c>
      <c r="S550" s="37">
        <f t="shared" si="308"/>
        <v>82.512494163934434</v>
      </c>
      <c r="T550" s="94" t="str">
        <f t="shared" si="309"/>
        <v>OK</v>
      </c>
      <c r="U550" s="95" t="str">
        <f t="shared" si="310"/>
        <v/>
      </c>
      <c r="V550" s="96">
        <f t="shared" si="311"/>
        <v>0</v>
      </c>
    </row>
    <row r="551" spans="1:22" x14ac:dyDescent="0.2">
      <c r="A551" s="35">
        <v>8</v>
      </c>
      <c r="B551" s="6">
        <v>0</v>
      </c>
      <c r="C551" s="6">
        <v>0</v>
      </c>
      <c r="D551" s="7" t="s">
        <v>90</v>
      </c>
      <c r="E551" s="7" t="s">
        <v>91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16" t="s">
        <v>37</v>
      </c>
      <c r="L551" s="47" t="s">
        <v>92</v>
      </c>
      <c r="M551" s="17">
        <f t="shared" si="304"/>
        <v>0</v>
      </c>
      <c r="N551" s="18">
        <f t="shared" si="305"/>
        <v>0</v>
      </c>
      <c r="O551" s="19">
        <f>IF(E551="HERRAJE",IFERROR(_xlfn.XLOOKUP(D551,'⚙️ Configuración Costos'!$A$11:$A$20,'⚙️ Configuración Costos'!$B$11:$B$20),""),IFERROR(_xlfn.XLOOKUP(E551,'⚙️ Configuración Costos'!$A$5:$A$6,'⚙️ Configuración Costos'!$B$5:$B$6),""))</f>
        <v>20</v>
      </c>
      <c r="P551" s="19">
        <f t="shared" si="306"/>
        <v>160</v>
      </c>
      <c r="Q551" s="19">
        <f>IF(E551="HERRAJE",0,IFERROR(_xlfn.XLOOKUP(E551,'⚙️ Configuración Costos'!$E$5:$E$6,'⚙️ Configuración Costos'!$F$5:$F$6),""))</f>
        <v>0</v>
      </c>
      <c r="R551" s="19">
        <f t="shared" si="307"/>
        <v>0</v>
      </c>
      <c r="S551" s="37">
        <f t="shared" si="308"/>
        <v>160</v>
      </c>
      <c r="T551" s="94" t="str">
        <f t="shared" si="309"/>
        <v>OK</v>
      </c>
      <c r="U551" s="95" t="str">
        <f t="shared" si="310"/>
        <v/>
      </c>
      <c r="V551" s="96">
        <f t="shared" si="311"/>
        <v>0</v>
      </c>
    </row>
    <row r="552" spans="1:22" x14ac:dyDescent="0.2">
      <c r="A552" s="35">
        <v>4</v>
      </c>
      <c r="B552" s="6">
        <v>0</v>
      </c>
      <c r="C552" s="6">
        <v>0</v>
      </c>
      <c r="D552" s="7" t="s">
        <v>93</v>
      </c>
      <c r="E552" s="7" t="s">
        <v>91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16" t="s">
        <v>37</v>
      </c>
      <c r="L552" s="47" t="s">
        <v>94</v>
      </c>
      <c r="M552" s="17">
        <f t="shared" si="304"/>
        <v>0</v>
      </c>
      <c r="N552" s="18">
        <f t="shared" si="305"/>
        <v>0</v>
      </c>
      <c r="O552" s="19">
        <f>IF(E552="HERRAJE",IFERROR(_xlfn.XLOOKUP(D552,'⚙️ Configuración Costos'!$A$11:$A$20,'⚙️ Configuración Costos'!$B$11:$B$20),""),IFERROR(_xlfn.XLOOKUP(E552,'⚙️ Configuración Costos'!$A$5:$A$6,'⚙️ Configuración Costos'!$B$5:$B$6),""))</f>
        <v>15</v>
      </c>
      <c r="P552" s="19">
        <f t="shared" si="306"/>
        <v>60</v>
      </c>
      <c r="Q552" s="19">
        <f>IF(E552="HERRAJE",0,IFERROR(_xlfn.XLOOKUP(E552,'⚙️ Configuración Costos'!$E$5:$E$6,'⚙️ Configuración Costos'!$F$5:$F$6),""))</f>
        <v>0</v>
      </c>
      <c r="R552" s="19">
        <f t="shared" si="307"/>
        <v>0</v>
      </c>
      <c r="S552" s="37">
        <f t="shared" si="308"/>
        <v>60</v>
      </c>
      <c r="T552" s="94" t="str">
        <f t="shared" si="309"/>
        <v>OK</v>
      </c>
      <c r="U552" s="95" t="str">
        <f t="shared" si="310"/>
        <v/>
      </c>
      <c r="V552" s="96">
        <f t="shared" si="311"/>
        <v>0</v>
      </c>
    </row>
    <row r="553" spans="1:22" x14ac:dyDescent="0.2">
      <c r="A553" s="35">
        <v>6</v>
      </c>
      <c r="B553" s="6">
        <v>0</v>
      </c>
      <c r="C553" s="6">
        <v>0</v>
      </c>
      <c r="D553" s="7" t="s">
        <v>186</v>
      </c>
      <c r="E553" s="7" t="s">
        <v>91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16" t="s">
        <v>37</v>
      </c>
      <c r="L553" s="47" t="s">
        <v>187</v>
      </c>
      <c r="M553" s="17">
        <f t="shared" si="304"/>
        <v>0</v>
      </c>
      <c r="N553" s="18">
        <f t="shared" si="305"/>
        <v>0</v>
      </c>
      <c r="O553" s="19">
        <f>IF(E553="HERRAJE",IFERROR(_xlfn.XLOOKUP(D553,'⚙️ Configuración Costos'!$A$11:$A$20,'⚙️ Configuración Costos'!$B$11:$B$20),""),IFERROR(_xlfn.XLOOKUP(E553,'⚙️ Configuración Costos'!$A$5:$A$6,'⚙️ Configuración Costos'!$B$5:$B$6),""))</f>
        <v>15</v>
      </c>
      <c r="P553" s="19">
        <f t="shared" si="306"/>
        <v>90</v>
      </c>
      <c r="Q553" s="19">
        <f>IF(E553="HERRAJE",0,IFERROR(_xlfn.XLOOKUP(E553,'⚙️ Configuración Costos'!$E$5:$E$6,'⚙️ Configuración Costos'!$F$5:$F$6),""))</f>
        <v>0</v>
      </c>
      <c r="R553" s="19">
        <f t="shared" si="307"/>
        <v>0</v>
      </c>
      <c r="S553" s="37">
        <f t="shared" si="308"/>
        <v>90</v>
      </c>
      <c r="T553" s="94" t="str">
        <f t="shared" si="309"/>
        <v>OK</v>
      </c>
      <c r="U553" s="95" t="str">
        <f t="shared" si="310"/>
        <v/>
      </c>
      <c r="V553" s="96">
        <f t="shared" si="311"/>
        <v>0</v>
      </c>
    </row>
    <row r="554" spans="1:22" x14ac:dyDescent="0.2">
      <c r="A554" s="35">
        <v>4</v>
      </c>
      <c r="B554" s="6">
        <v>0</v>
      </c>
      <c r="C554" s="6">
        <v>0</v>
      </c>
      <c r="D554" s="7" t="s">
        <v>95</v>
      </c>
      <c r="E554" s="7" t="s">
        <v>91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16" t="s">
        <v>37</v>
      </c>
      <c r="L554" s="47" t="s">
        <v>96</v>
      </c>
      <c r="M554" s="17">
        <f t="shared" si="304"/>
        <v>0</v>
      </c>
      <c r="N554" s="18">
        <f t="shared" si="305"/>
        <v>0</v>
      </c>
      <c r="O554" s="19">
        <f>IF(E554="HERRAJE",IFERROR(_xlfn.XLOOKUP(D554,'⚙️ Configuración Costos'!$A$11:$A$20,'⚙️ Configuración Costos'!$B$11:$B$20),""),IFERROR(_xlfn.XLOOKUP(E554,'⚙️ Configuración Costos'!$A$5:$A$6,'⚙️ Configuración Costos'!$B$5:$B$6),""))</f>
        <v>2</v>
      </c>
      <c r="P554" s="19">
        <f t="shared" si="306"/>
        <v>8</v>
      </c>
      <c r="Q554" s="19">
        <f>IF(E554="HERRAJE",0,IFERROR(_xlfn.XLOOKUP(E554,'⚙️ Configuración Costos'!$E$5:$E$6,'⚙️ Configuración Costos'!$F$5:$F$6),""))</f>
        <v>0</v>
      </c>
      <c r="R554" s="19">
        <f t="shared" si="307"/>
        <v>0</v>
      </c>
      <c r="S554" s="37">
        <f t="shared" si="308"/>
        <v>8</v>
      </c>
      <c r="T554" s="94" t="str">
        <f t="shared" si="309"/>
        <v>OK</v>
      </c>
      <c r="U554" s="95" t="str">
        <f t="shared" si="310"/>
        <v/>
      </c>
      <c r="V554" s="96">
        <f t="shared" si="311"/>
        <v>0</v>
      </c>
    </row>
    <row r="555" spans="1:22" ht="16" thickBot="1" x14ac:dyDescent="0.25">
      <c r="A555" s="36">
        <v>50</v>
      </c>
      <c r="B555" s="20">
        <v>0</v>
      </c>
      <c r="C555" s="20">
        <v>0</v>
      </c>
      <c r="D555" s="21" t="s">
        <v>97</v>
      </c>
      <c r="E555" s="21" t="s">
        <v>91</v>
      </c>
      <c r="F555" s="22">
        <v>0</v>
      </c>
      <c r="G555" s="22">
        <v>0</v>
      </c>
      <c r="H555" s="22">
        <v>0</v>
      </c>
      <c r="I555" s="22">
        <v>0</v>
      </c>
      <c r="J555" s="22">
        <v>0</v>
      </c>
      <c r="K555" s="16" t="s">
        <v>37</v>
      </c>
      <c r="L555" s="48" t="s">
        <v>98</v>
      </c>
      <c r="M555" s="17">
        <f t="shared" si="304"/>
        <v>0</v>
      </c>
      <c r="N555" s="18">
        <f t="shared" si="305"/>
        <v>0</v>
      </c>
      <c r="O555" s="19">
        <f>IF(E555="HERRAJE",IFERROR(_xlfn.XLOOKUP(D555,'⚙️ Configuración Costos'!$A$11:$A$20,'⚙️ Configuración Costos'!$B$11:$B$20),""),IFERROR(_xlfn.XLOOKUP(E555,'⚙️ Configuración Costos'!$A$5:$A$6,'⚙️ Configuración Costos'!$B$5:$B$6),""))</f>
        <v>1.5</v>
      </c>
      <c r="P555" s="19">
        <f t="shared" si="306"/>
        <v>75</v>
      </c>
      <c r="Q555" s="19">
        <f>IF(E555="HERRAJE",0,IFERROR(_xlfn.XLOOKUP(E555,'⚙️ Configuración Costos'!$E$5:$E$6,'⚙️ Configuración Costos'!$F$5:$F$6),""))</f>
        <v>0</v>
      </c>
      <c r="R555" s="19">
        <f t="shared" si="307"/>
        <v>0</v>
      </c>
      <c r="S555" s="37">
        <f t="shared" si="308"/>
        <v>75</v>
      </c>
      <c r="T555" s="94" t="str">
        <f t="shared" si="309"/>
        <v>OK</v>
      </c>
      <c r="U555" s="95" t="str">
        <f t="shared" si="310"/>
        <v/>
      </c>
      <c r="V555" s="96">
        <f t="shared" si="311"/>
        <v>0</v>
      </c>
    </row>
    <row r="556" spans="1:22" ht="16" thickTop="1" x14ac:dyDescent="0.2">
      <c r="A556" s="27" t="s">
        <v>99</v>
      </c>
      <c r="B556" s="27"/>
      <c r="C556" s="27"/>
      <c r="D556" s="28"/>
      <c r="E556" s="28"/>
      <c r="F556" s="29"/>
      <c r="G556" s="29"/>
      <c r="H556" s="29"/>
      <c r="I556" s="29"/>
      <c r="J556" s="29"/>
      <c r="K556" s="30"/>
      <c r="L556" s="49" t="s">
        <v>188</v>
      </c>
      <c r="M556" s="33">
        <f>SUM(M536:M555)</f>
        <v>6.5179765000000005</v>
      </c>
      <c r="N556" s="33">
        <f>SUM(N536:N555)</f>
        <v>26.64800000000001</v>
      </c>
      <c r="O556" s="33"/>
      <c r="P556" s="33">
        <f>SUM(P536:P555)</f>
        <v>2562.5245058360656</v>
      </c>
      <c r="Q556" s="33"/>
      <c r="R556" s="33">
        <f>SUM(R536:R555)</f>
        <v>253.15600000000006</v>
      </c>
      <c r="S556" s="33">
        <f>SUM(S536:S555)</f>
        <v>2815.680505836066</v>
      </c>
      <c r="T556" s="97"/>
      <c r="U556" s="98"/>
      <c r="V556" s="99"/>
    </row>
    <row r="557" spans="1:22" x14ac:dyDescent="0.2">
      <c r="A557" s="186" t="s">
        <v>639</v>
      </c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8"/>
      <c r="T557" s="97"/>
      <c r="U557" s="98"/>
      <c r="V557" s="99"/>
    </row>
    <row r="558" spans="1:22" x14ac:dyDescent="0.2">
      <c r="A558" s="35">
        <v>1</v>
      </c>
      <c r="B558" s="6">
        <v>2100</v>
      </c>
      <c r="C558" s="6">
        <v>580</v>
      </c>
      <c r="D558" s="43" t="s">
        <v>63</v>
      </c>
      <c r="E558" s="43" t="s">
        <v>85</v>
      </c>
      <c r="F558" s="44">
        <v>1</v>
      </c>
      <c r="G558" s="44">
        <v>1</v>
      </c>
      <c r="H558" s="44">
        <v>1</v>
      </c>
      <c r="I558" s="44">
        <v>1</v>
      </c>
      <c r="J558" s="44">
        <v>1</v>
      </c>
      <c r="K558" s="16" t="s">
        <v>640</v>
      </c>
      <c r="L558" s="46" t="s">
        <v>296</v>
      </c>
      <c r="M558" s="17">
        <f t="shared" ref="M558:M573" si="312">IF(AND(ISNUMBER(B558),ISNUMBER(C558),B558&gt;0,C558&gt;0),A558*(B558*C558/1000000),0)</f>
        <v>1.218</v>
      </c>
      <c r="N558" s="18">
        <f t="shared" ref="N558:N573" si="313">IF(AND(ISNUMBER(B558),B558&gt;0),A558*(((G558+H558)*B558+(I558+J558)*C558)/1000),0)</f>
        <v>5.36</v>
      </c>
      <c r="O558" s="19">
        <f>IF(E558="HERRAJE",IFERROR(_xlfn.XLOOKUP(D558,'⚙️ Configuración Costos'!$A$11:$A$20,'⚙️ Configuración Costos'!$B$11:$B$20),""),IFERROR(_xlfn.XLOOKUP(E558,'⚙️ Configuración Costos'!$A$5:$A$6,'⚙️ Configuración Costos'!$B$5:$B$6),""))</f>
        <v>332.85245901639348</v>
      </c>
      <c r="P558" s="19">
        <f t="shared" ref="P558:P573" si="314">IF(E558="HERRAJE",A558*O558,M558*O558)</f>
        <v>405.41429508196723</v>
      </c>
      <c r="Q558" s="19">
        <f>IF(E558="HERRAJE",0,IFERROR(_xlfn.XLOOKUP(E558,'⚙️ Configuración Costos'!$E$5:$E$6,'⚙️ Configuración Costos'!$F$5:$F$6),""))</f>
        <v>9.5</v>
      </c>
      <c r="R558" s="19">
        <f t="shared" ref="R558:R573" si="315">N558*Q558</f>
        <v>50.92</v>
      </c>
      <c r="S558" s="37">
        <f t="shared" ref="S558:S573" si="316">P558+R558</f>
        <v>456.33429508196724</v>
      </c>
      <c r="T558" s="94" t="str">
        <f t="shared" ref="T558:T573" si="317">IF(K558="","SIN ID MÓDULO",IF(E558="HERRAJE",IF(OR(O558="",O558&lt;=0),"SIN PRECIO HERRAJE","OK"),IF(OR(O558="",O558&lt;=0),"SIN PRECIO MATERIAL",IF(AND(N558&gt;0,OR(Q558="",Q558&lt;=0)),"SIN PRECIO CINTILLA","OK"))))</f>
        <v>OK</v>
      </c>
      <c r="U558" s="95" t="str">
        <f t="shared" ref="U558:U573" si="318">IF(T558="OK","",IF(T558="SIN PRECIO HERRAJE","Capturar precio: "&amp;D558,IF(T558="SIN PRECIO MATERIAL","Configurar material: "&amp;E558,IF(T558="SIN PRECIO CINTILLA","Configurar cintilla: "&amp;E558,IF(T558="SIN ID MÓDULO","Revisar ID del módulo","")))))</f>
        <v/>
      </c>
      <c r="V558" s="96">
        <f t="shared" ref="V558:V573" si="319">IF(T558="OK",0,IF(T558="",0,1))</f>
        <v>0</v>
      </c>
    </row>
    <row r="559" spans="1:22" x14ac:dyDescent="0.2">
      <c r="A559" s="35">
        <v>1</v>
      </c>
      <c r="B559" s="6">
        <v>2100</v>
      </c>
      <c r="C559" s="6">
        <v>580</v>
      </c>
      <c r="D559" s="43" t="s">
        <v>66</v>
      </c>
      <c r="E559" s="43" t="s">
        <v>85</v>
      </c>
      <c r="F559" s="44">
        <v>1</v>
      </c>
      <c r="G559" s="44">
        <v>1</v>
      </c>
      <c r="H559" s="44">
        <v>1</v>
      </c>
      <c r="I559" s="44">
        <v>1</v>
      </c>
      <c r="J559" s="44">
        <v>1</v>
      </c>
      <c r="K559" s="16" t="s">
        <v>640</v>
      </c>
      <c r="L559" s="46" t="s">
        <v>297</v>
      </c>
      <c r="M559" s="17">
        <f t="shared" si="312"/>
        <v>1.218</v>
      </c>
      <c r="N559" s="18">
        <f t="shared" si="313"/>
        <v>5.36</v>
      </c>
      <c r="O559" s="19">
        <f>IF(E559="HERRAJE",IFERROR(_xlfn.XLOOKUP(D559,'⚙️ Configuración Costos'!$A$11:$A$20,'⚙️ Configuración Costos'!$B$11:$B$20),""),IFERROR(_xlfn.XLOOKUP(E559,'⚙️ Configuración Costos'!$A$5:$A$6,'⚙️ Configuración Costos'!$B$5:$B$6),""))</f>
        <v>332.85245901639348</v>
      </c>
      <c r="P559" s="19">
        <f t="shared" si="314"/>
        <v>405.41429508196723</v>
      </c>
      <c r="Q559" s="19">
        <f>IF(E559="HERRAJE",0,IFERROR(_xlfn.XLOOKUP(E559,'⚙️ Configuración Costos'!$E$5:$E$6,'⚙️ Configuración Costos'!$F$5:$F$6),""))</f>
        <v>9.5</v>
      </c>
      <c r="R559" s="19">
        <f t="shared" si="315"/>
        <v>50.92</v>
      </c>
      <c r="S559" s="37">
        <f t="shared" si="316"/>
        <v>456.33429508196724</v>
      </c>
      <c r="T559" s="94" t="str">
        <f t="shared" si="317"/>
        <v>OK</v>
      </c>
      <c r="U559" s="95" t="str">
        <f t="shared" si="318"/>
        <v/>
      </c>
      <c r="V559" s="96">
        <f t="shared" si="319"/>
        <v>0</v>
      </c>
    </row>
    <row r="560" spans="1:22" x14ac:dyDescent="0.2">
      <c r="A560" s="35">
        <v>1</v>
      </c>
      <c r="B560" s="6">
        <v>689</v>
      </c>
      <c r="C560" s="6">
        <v>569</v>
      </c>
      <c r="D560" s="43" t="s">
        <v>298</v>
      </c>
      <c r="E560" s="43" t="s">
        <v>85</v>
      </c>
      <c r="F560" s="44">
        <v>1</v>
      </c>
      <c r="G560" s="44">
        <v>0</v>
      </c>
      <c r="H560" s="44">
        <v>0</v>
      </c>
      <c r="I560" s="44">
        <v>0</v>
      </c>
      <c r="J560" s="44">
        <v>0</v>
      </c>
      <c r="K560" s="16" t="s">
        <v>640</v>
      </c>
      <c r="L560" s="46" t="s">
        <v>324</v>
      </c>
      <c r="M560" s="17">
        <f t="shared" si="312"/>
        <v>0.39204099999999997</v>
      </c>
      <c r="N560" s="18">
        <f t="shared" si="313"/>
        <v>0</v>
      </c>
      <c r="O560" s="19">
        <f>IF(E560="HERRAJE",IFERROR(_xlfn.XLOOKUP(D560,'⚙️ Configuración Costos'!$A$11:$A$20,'⚙️ Configuración Costos'!$B$11:$B$20),""),IFERROR(_xlfn.XLOOKUP(E560,'⚙️ Configuración Costos'!$A$5:$A$6,'⚙️ Configuración Costos'!$B$5:$B$6),""))</f>
        <v>332.85245901639348</v>
      </c>
      <c r="P560" s="19">
        <f t="shared" si="314"/>
        <v>130.49181088524591</v>
      </c>
      <c r="Q560" s="19">
        <f>IF(E560="HERRAJE",0,IFERROR(_xlfn.XLOOKUP(E560,'⚙️ Configuración Costos'!$E$5:$E$6,'⚙️ Configuración Costos'!$F$5:$F$6),""))</f>
        <v>9.5</v>
      </c>
      <c r="R560" s="19">
        <f t="shared" si="315"/>
        <v>0</v>
      </c>
      <c r="S560" s="37">
        <f t="shared" si="316"/>
        <v>130.49181088524591</v>
      </c>
      <c r="T560" s="94" t="str">
        <f t="shared" si="317"/>
        <v>OK</v>
      </c>
      <c r="U560" s="95" t="str">
        <f t="shared" si="318"/>
        <v/>
      </c>
      <c r="V560" s="96">
        <f t="shared" si="319"/>
        <v>0</v>
      </c>
    </row>
    <row r="561" spans="1:22" x14ac:dyDescent="0.2">
      <c r="A561" s="35">
        <v>1</v>
      </c>
      <c r="B561" s="6">
        <v>569</v>
      </c>
      <c r="C561" s="6">
        <v>580</v>
      </c>
      <c r="D561" s="43" t="s">
        <v>300</v>
      </c>
      <c r="E561" s="43" t="s">
        <v>85</v>
      </c>
      <c r="F561" s="44">
        <v>1</v>
      </c>
      <c r="G561" s="44">
        <v>1</v>
      </c>
      <c r="H561" s="44">
        <v>1</v>
      </c>
      <c r="I561" s="44">
        <v>0</v>
      </c>
      <c r="J561" s="44">
        <v>0</v>
      </c>
      <c r="K561" s="16" t="s">
        <v>640</v>
      </c>
      <c r="L561" s="46" t="s">
        <v>310</v>
      </c>
      <c r="M561" s="17">
        <f t="shared" si="312"/>
        <v>0.33001999999999998</v>
      </c>
      <c r="N561" s="18">
        <f t="shared" si="313"/>
        <v>1.1379999999999999</v>
      </c>
      <c r="O561" s="19">
        <f>IF(E561="HERRAJE",IFERROR(_xlfn.XLOOKUP(D561,'⚙️ Configuración Costos'!$A$11:$A$20,'⚙️ Configuración Costos'!$B$11:$B$20),""),IFERROR(_xlfn.XLOOKUP(E561,'⚙️ Configuración Costos'!$A$5:$A$6,'⚙️ Configuración Costos'!$B$5:$B$6),""))</f>
        <v>332.85245901639348</v>
      </c>
      <c r="P561" s="19">
        <f t="shared" si="314"/>
        <v>109.84796852459017</v>
      </c>
      <c r="Q561" s="19">
        <f>IF(E561="HERRAJE",0,IFERROR(_xlfn.XLOOKUP(E561,'⚙️ Configuración Costos'!$E$5:$E$6,'⚙️ Configuración Costos'!$F$5:$F$6),""))</f>
        <v>9.5</v>
      </c>
      <c r="R561" s="19">
        <f t="shared" si="315"/>
        <v>10.811</v>
      </c>
      <c r="S561" s="37">
        <f t="shared" si="316"/>
        <v>120.65896852459016</v>
      </c>
      <c r="T561" s="94" t="str">
        <f t="shared" si="317"/>
        <v>OK</v>
      </c>
      <c r="U561" s="95" t="str">
        <f t="shared" si="318"/>
        <v/>
      </c>
      <c r="V561" s="96">
        <f t="shared" si="319"/>
        <v>0</v>
      </c>
    </row>
    <row r="562" spans="1:22" x14ac:dyDescent="0.2">
      <c r="A562" s="35">
        <v>1</v>
      </c>
      <c r="B562" s="6">
        <v>569</v>
      </c>
      <c r="C562" s="6">
        <v>580</v>
      </c>
      <c r="D562" s="43" t="s">
        <v>300</v>
      </c>
      <c r="E562" s="43" t="s">
        <v>85</v>
      </c>
      <c r="F562" s="44">
        <v>1</v>
      </c>
      <c r="G562" s="44">
        <v>1</v>
      </c>
      <c r="H562" s="44">
        <v>1</v>
      </c>
      <c r="I562" s="44">
        <v>0</v>
      </c>
      <c r="J562" s="44">
        <v>0</v>
      </c>
      <c r="K562" s="16" t="s">
        <v>640</v>
      </c>
      <c r="L562" s="46" t="s">
        <v>310</v>
      </c>
      <c r="M562" s="17">
        <f t="shared" si="312"/>
        <v>0.33001999999999998</v>
      </c>
      <c r="N562" s="18">
        <f t="shared" si="313"/>
        <v>1.1379999999999999</v>
      </c>
      <c r="O562" s="19">
        <f>IF(E562="HERRAJE",IFERROR(_xlfn.XLOOKUP(D562,'⚙️ Configuración Costos'!$A$11:$A$20,'⚙️ Configuración Costos'!$B$11:$B$20),""),IFERROR(_xlfn.XLOOKUP(E562,'⚙️ Configuración Costos'!$A$5:$A$6,'⚙️ Configuración Costos'!$B$5:$B$6),""))</f>
        <v>332.85245901639348</v>
      </c>
      <c r="P562" s="19">
        <f t="shared" si="314"/>
        <v>109.84796852459017</v>
      </c>
      <c r="Q562" s="19">
        <f>IF(E562="HERRAJE",0,IFERROR(_xlfn.XLOOKUP(E562,'⚙️ Configuración Costos'!$E$5:$E$6,'⚙️ Configuración Costos'!$F$5:$F$6),""))</f>
        <v>9.5</v>
      </c>
      <c r="R562" s="19">
        <f t="shared" si="315"/>
        <v>10.811</v>
      </c>
      <c r="S562" s="37">
        <f t="shared" si="316"/>
        <v>120.65896852459016</v>
      </c>
      <c r="T562" s="94" t="str">
        <f t="shared" si="317"/>
        <v>OK</v>
      </c>
      <c r="U562" s="95" t="str">
        <f t="shared" si="318"/>
        <v/>
      </c>
      <c r="V562" s="96">
        <f t="shared" si="319"/>
        <v>0</v>
      </c>
    </row>
    <row r="563" spans="1:22" x14ac:dyDescent="0.2">
      <c r="A563" s="35">
        <v>1</v>
      </c>
      <c r="B563" s="6">
        <v>569</v>
      </c>
      <c r="C563" s="6">
        <v>490</v>
      </c>
      <c r="D563" s="43" t="s">
        <v>488</v>
      </c>
      <c r="E563" s="43" t="s">
        <v>85</v>
      </c>
      <c r="F563" s="44">
        <v>1</v>
      </c>
      <c r="G563" s="44">
        <v>1</v>
      </c>
      <c r="H563" s="44">
        <v>1</v>
      </c>
      <c r="I563" s="44">
        <v>0</v>
      </c>
      <c r="J563" s="44">
        <v>0</v>
      </c>
      <c r="K563" s="16" t="s">
        <v>640</v>
      </c>
      <c r="L563" s="46" t="s">
        <v>641</v>
      </c>
      <c r="M563" s="17">
        <f t="shared" si="312"/>
        <v>0.27881</v>
      </c>
      <c r="N563" s="18">
        <f t="shared" si="313"/>
        <v>1.1379999999999999</v>
      </c>
      <c r="O563" s="19">
        <f>IF(E563="HERRAJE",IFERROR(_xlfn.XLOOKUP(D563,'⚙️ Configuración Costos'!$A$11:$A$20,'⚙️ Configuración Costos'!$B$11:$B$20),""),IFERROR(_xlfn.XLOOKUP(E563,'⚙️ Configuración Costos'!$A$5:$A$6,'⚙️ Configuración Costos'!$B$5:$B$6),""))</f>
        <v>332.85245901639348</v>
      </c>
      <c r="P563" s="19">
        <f t="shared" si="314"/>
        <v>92.802594098360672</v>
      </c>
      <c r="Q563" s="19">
        <f>IF(E563="HERRAJE",0,IFERROR(_xlfn.XLOOKUP(E563,'⚙️ Configuración Costos'!$E$5:$E$6,'⚙️ Configuración Costos'!$F$5:$F$6),""))</f>
        <v>9.5</v>
      </c>
      <c r="R563" s="19">
        <f t="shared" si="315"/>
        <v>10.811</v>
      </c>
      <c r="S563" s="37">
        <f t="shared" si="316"/>
        <v>103.61359409836066</v>
      </c>
      <c r="T563" s="94" t="str">
        <f t="shared" si="317"/>
        <v>OK</v>
      </c>
      <c r="U563" s="95" t="str">
        <f t="shared" si="318"/>
        <v/>
      </c>
      <c r="V563" s="96">
        <f t="shared" si="319"/>
        <v>0</v>
      </c>
    </row>
    <row r="564" spans="1:22" x14ac:dyDescent="0.2">
      <c r="A564" s="35">
        <v>1</v>
      </c>
      <c r="B564" s="6">
        <v>569</v>
      </c>
      <c r="C564" s="6">
        <v>580</v>
      </c>
      <c r="D564" s="43" t="s">
        <v>302</v>
      </c>
      <c r="E564" s="43" t="s">
        <v>85</v>
      </c>
      <c r="F564" s="44">
        <v>1</v>
      </c>
      <c r="G564" s="44">
        <v>1</v>
      </c>
      <c r="H564" s="44">
        <v>1</v>
      </c>
      <c r="I564" s="44">
        <v>0</v>
      </c>
      <c r="J564" s="44">
        <v>0</v>
      </c>
      <c r="K564" s="16" t="s">
        <v>640</v>
      </c>
      <c r="L564" s="46" t="s">
        <v>311</v>
      </c>
      <c r="M564" s="17">
        <f t="shared" si="312"/>
        <v>0.33001999999999998</v>
      </c>
      <c r="N564" s="18">
        <f t="shared" si="313"/>
        <v>1.1379999999999999</v>
      </c>
      <c r="O564" s="19">
        <f>IF(E564="HERRAJE",IFERROR(_xlfn.XLOOKUP(D564,'⚙️ Configuración Costos'!$A$11:$A$20,'⚙️ Configuración Costos'!$B$11:$B$20),""),IFERROR(_xlfn.XLOOKUP(E564,'⚙️ Configuración Costos'!$A$5:$A$6,'⚙️ Configuración Costos'!$B$5:$B$6),""))</f>
        <v>332.85245901639348</v>
      </c>
      <c r="P564" s="19">
        <f t="shared" si="314"/>
        <v>109.84796852459017</v>
      </c>
      <c r="Q564" s="19">
        <f>IF(E564="HERRAJE",0,IFERROR(_xlfn.XLOOKUP(E564,'⚙️ Configuración Costos'!$E$5:$E$6,'⚙️ Configuración Costos'!$F$5:$F$6),""))</f>
        <v>9.5</v>
      </c>
      <c r="R564" s="19">
        <f t="shared" si="315"/>
        <v>10.811</v>
      </c>
      <c r="S564" s="37">
        <f t="shared" si="316"/>
        <v>120.65896852459016</v>
      </c>
      <c r="T564" s="94" t="str">
        <f t="shared" si="317"/>
        <v>OK</v>
      </c>
      <c r="U564" s="95" t="str">
        <f t="shared" si="318"/>
        <v/>
      </c>
      <c r="V564" s="96">
        <f t="shared" si="319"/>
        <v>0</v>
      </c>
    </row>
    <row r="565" spans="1:22" x14ac:dyDescent="0.2">
      <c r="A565" s="35">
        <v>1</v>
      </c>
      <c r="B565" s="6">
        <v>569</v>
      </c>
      <c r="C565" s="6">
        <v>580</v>
      </c>
      <c r="D565" s="43" t="s">
        <v>302</v>
      </c>
      <c r="E565" s="43" t="s">
        <v>85</v>
      </c>
      <c r="F565" s="44">
        <v>1</v>
      </c>
      <c r="G565" s="44">
        <v>1</v>
      </c>
      <c r="H565" s="44">
        <v>1</v>
      </c>
      <c r="I565" s="44">
        <v>0</v>
      </c>
      <c r="J565" s="44">
        <v>0</v>
      </c>
      <c r="K565" s="16" t="s">
        <v>640</v>
      </c>
      <c r="L565" s="46" t="s">
        <v>311</v>
      </c>
      <c r="M565" s="17">
        <f t="shared" si="312"/>
        <v>0.33001999999999998</v>
      </c>
      <c r="N565" s="18">
        <f t="shared" si="313"/>
        <v>1.1379999999999999</v>
      </c>
      <c r="O565" s="19">
        <f>IF(E565="HERRAJE",IFERROR(_xlfn.XLOOKUP(D565,'⚙️ Configuración Costos'!$A$11:$A$20,'⚙️ Configuración Costos'!$B$11:$B$20),""),IFERROR(_xlfn.XLOOKUP(E565,'⚙️ Configuración Costos'!$A$5:$A$6,'⚙️ Configuración Costos'!$B$5:$B$6),""))</f>
        <v>332.85245901639348</v>
      </c>
      <c r="P565" s="19">
        <f t="shared" si="314"/>
        <v>109.84796852459017</v>
      </c>
      <c r="Q565" s="19">
        <f>IF(E565="HERRAJE",0,IFERROR(_xlfn.XLOOKUP(E565,'⚙️ Configuración Costos'!$E$5:$E$6,'⚙️ Configuración Costos'!$F$5:$F$6),""))</f>
        <v>9.5</v>
      </c>
      <c r="R565" s="19">
        <f t="shared" si="315"/>
        <v>10.811</v>
      </c>
      <c r="S565" s="37">
        <f t="shared" si="316"/>
        <v>120.65896852459016</v>
      </c>
      <c r="T565" s="94" t="str">
        <f t="shared" si="317"/>
        <v>OK</v>
      </c>
      <c r="U565" s="95" t="str">
        <f t="shared" si="318"/>
        <v/>
      </c>
      <c r="V565" s="96">
        <f t="shared" si="319"/>
        <v>0</v>
      </c>
    </row>
    <row r="566" spans="1:22" x14ac:dyDescent="0.2">
      <c r="A566" s="35">
        <v>1</v>
      </c>
      <c r="B566" s="6">
        <v>569</v>
      </c>
      <c r="C566" s="6">
        <v>539</v>
      </c>
      <c r="D566" s="43" t="s">
        <v>491</v>
      </c>
      <c r="E566" s="43" t="s">
        <v>85</v>
      </c>
      <c r="F566" s="44">
        <v>1</v>
      </c>
      <c r="G566" s="44">
        <v>0</v>
      </c>
      <c r="H566" s="44">
        <v>0</v>
      </c>
      <c r="I566" s="44">
        <v>0</v>
      </c>
      <c r="J566" s="44">
        <v>0</v>
      </c>
      <c r="K566" s="16" t="s">
        <v>640</v>
      </c>
      <c r="L566" s="46" t="s">
        <v>642</v>
      </c>
      <c r="M566" s="17">
        <f t="shared" si="312"/>
        <v>0.30669099999999999</v>
      </c>
      <c r="N566" s="18">
        <f t="shared" si="313"/>
        <v>0</v>
      </c>
      <c r="O566" s="19">
        <f>IF(E566="HERRAJE",IFERROR(_xlfn.XLOOKUP(D566,'⚙️ Configuración Costos'!$A$11:$A$20,'⚙️ Configuración Costos'!$B$11:$B$20),""),IFERROR(_xlfn.XLOOKUP(E566,'⚙️ Configuración Costos'!$A$5:$A$6,'⚙️ Configuración Costos'!$B$5:$B$6),""))</f>
        <v>332.85245901639348</v>
      </c>
      <c r="P566" s="19">
        <f t="shared" si="314"/>
        <v>102.08285350819673</v>
      </c>
      <c r="Q566" s="19">
        <f>IF(E566="HERRAJE",0,IFERROR(_xlfn.XLOOKUP(E566,'⚙️ Configuración Costos'!$E$5:$E$6,'⚙️ Configuración Costos'!$F$5:$F$6),""))</f>
        <v>9.5</v>
      </c>
      <c r="R566" s="19">
        <f t="shared" si="315"/>
        <v>0</v>
      </c>
      <c r="S566" s="37">
        <f t="shared" si="316"/>
        <v>102.08285350819673</v>
      </c>
      <c r="T566" s="94" t="str">
        <f t="shared" si="317"/>
        <v>OK</v>
      </c>
      <c r="U566" s="95" t="str">
        <f t="shared" si="318"/>
        <v/>
      </c>
      <c r="V566" s="96">
        <f t="shared" si="319"/>
        <v>0</v>
      </c>
    </row>
    <row r="567" spans="1:22" x14ac:dyDescent="0.2">
      <c r="A567" s="35">
        <v>1</v>
      </c>
      <c r="B567" s="6">
        <v>569</v>
      </c>
      <c r="C567" s="6">
        <v>490</v>
      </c>
      <c r="D567" s="43" t="s">
        <v>488</v>
      </c>
      <c r="E567" s="43" t="s">
        <v>85</v>
      </c>
      <c r="F567" s="44">
        <v>1</v>
      </c>
      <c r="G567" s="44">
        <v>1</v>
      </c>
      <c r="H567" s="44">
        <v>0</v>
      </c>
      <c r="I567" s="44">
        <v>0</v>
      </c>
      <c r="J567" s="44">
        <v>0</v>
      </c>
      <c r="K567" s="16" t="s">
        <v>640</v>
      </c>
      <c r="L567" s="46" t="s">
        <v>326</v>
      </c>
      <c r="M567" s="17">
        <f t="shared" si="312"/>
        <v>0.27881</v>
      </c>
      <c r="N567" s="18">
        <f t="shared" si="313"/>
        <v>0.56899999999999995</v>
      </c>
      <c r="O567" s="19">
        <f>IF(E567="HERRAJE",IFERROR(_xlfn.XLOOKUP(D567,'⚙️ Configuración Costos'!$A$11:$A$20,'⚙️ Configuración Costos'!$B$11:$B$20),""),IFERROR(_xlfn.XLOOKUP(E567,'⚙️ Configuración Costos'!$A$5:$A$6,'⚙️ Configuración Costos'!$B$5:$B$6),""))</f>
        <v>332.85245901639348</v>
      </c>
      <c r="P567" s="19">
        <f t="shared" si="314"/>
        <v>92.802594098360672</v>
      </c>
      <c r="Q567" s="19">
        <f>IF(E567="HERRAJE",0,IFERROR(_xlfn.XLOOKUP(E567,'⚙️ Configuración Costos'!$E$5:$E$6,'⚙️ Configuración Costos'!$F$5:$F$6),""))</f>
        <v>9.5</v>
      </c>
      <c r="R567" s="19">
        <f t="shared" si="315"/>
        <v>5.4055</v>
      </c>
      <c r="S567" s="37">
        <f t="shared" si="316"/>
        <v>98.208094098360675</v>
      </c>
      <c r="T567" s="94" t="str">
        <f t="shared" si="317"/>
        <v>OK</v>
      </c>
      <c r="U567" s="95" t="str">
        <f t="shared" si="318"/>
        <v/>
      </c>
      <c r="V567" s="96">
        <f t="shared" si="319"/>
        <v>0</v>
      </c>
    </row>
    <row r="568" spans="1:22" x14ac:dyDescent="0.2">
      <c r="A568" s="35">
        <v>1</v>
      </c>
      <c r="B568" s="6">
        <v>569</v>
      </c>
      <c r="C568" s="6">
        <v>120</v>
      </c>
      <c r="D568" s="43" t="s">
        <v>492</v>
      </c>
      <c r="E568" s="43" t="s">
        <v>85</v>
      </c>
      <c r="F568" s="44">
        <v>1</v>
      </c>
      <c r="G568" s="44">
        <v>0</v>
      </c>
      <c r="H568" s="44">
        <v>1</v>
      </c>
      <c r="I568" s="44">
        <v>0</v>
      </c>
      <c r="J568" s="44">
        <v>0</v>
      </c>
      <c r="K568" s="16" t="s">
        <v>640</v>
      </c>
      <c r="L568" s="46" t="s">
        <v>328</v>
      </c>
      <c r="M568" s="17">
        <f t="shared" si="312"/>
        <v>6.8279999999999993E-2</v>
      </c>
      <c r="N568" s="18">
        <f t="shared" si="313"/>
        <v>0.56899999999999995</v>
      </c>
      <c r="O568" s="19">
        <f>IF(E568="HERRAJE",IFERROR(_xlfn.XLOOKUP(D568,'⚙️ Configuración Costos'!$A$11:$A$20,'⚙️ Configuración Costos'!$B$11:$B$20),""),IFERROR(_xlfn.XLOOKUP(E568,'⚙️ Configuración Costos'!$A$5:$A$6,'⚙️ Configuración Costos'!$B$5:$B$6),""))</f>
        <v>332.85245901639348</v>
      </c>
      <c r="P568" s="19">
        <f t="shared" si="314"/>
        <v>22.727165901639346</v>
      </c>
      <c r="Q568" s="19">
        <f>IF(E568="HERRAJE",0,IFERROR(_xlfn.XLOOKUP(E568,'⚙️ Configuración Costos'!$E$5:$E$6,'⚙️ Configuración Costos'!$F$5:$F$6),""))</f>
        <v>9.5</v>
      </c>
      <c r="R568" s="19">
        <f t="shared" si="315"/>
        <v>5.4055</v>
      </c>
      <c r="S568" s="37">
        <f t="shared" si="316"/>
        <v>28.132665901639346</v>
      </c>
      <c r="T568" s="94" t="str">
        <f t="shared" si="317"/>
        <v>OK</v>
      </c>
      <c r="U568" s="95" t="str">
        <f t="shared" si="318"/>
        <v/>
      </c>
      <c r="V568" s="96">
        <f t="shared" si="319"/>
        <v>0</v>
      </c>
    </row>
    <row r="569" spans="1:22" x14ac:dyDescent="0.2">
      <c r="A569" s="35">
        <v>3</v>
      </c>
      <c r="B569" s="6">
        <v>512</v>
      </c>
      <c r="C569" s="6">
        <v>469</v>
      </c>
      <c r="D569" s="7" t="s">
        <v>485</v>
      </c>
      <c r="E569" s="7" t="s">
        <v>64</v>
      </c>
      <c r="F569" s="8">
        <v>1</v>
      </c>
      <c r="G569" s="8">
        <v>0</v>
      </c>
      <c r="H569" s="8">
        <v>0</v>
      </c>
      <c r="I569" s="8">
        <v>0</v>
      </c>
      <c r="J569" s="8">
        <v>0</v>
      </c>
      <c r="K569" s="23" t="s">
        <v>640</v>
      </c>
      <c r="L569" s="47" t="s">
        <v>269</v>
      </c>
      <c r="M569" s="17">
        <f t="shared" si="312"/>
        <v>0.72038400000000002</v>
      </c>
      <c r="N569" s="18">
        <f t="shared" si="313"/>
        <v>0</v>
      </c>
      <c r="O569" s="19">
        <f>IF(E569="HERRAJE",IFERROR(_xlfn.XLOOKUP(D569,'⚙️ Configuración Costos'!$A$11:$A$20,'⚙️ Configuración Costos'!$B$11:$B$20),""),IFERROR(_xlfn.XLOOKUP(E569,'⚙️ Configuración Costos'!$A$5:$A$6,'⚙️ Configuración Costos'!$B$5:$B$6),""))</f>
        <v>239.8426229508197</v>
      </c>
      <c r="P569" s="19">
        <f t="shared" si="314"/>
        <v>172.77878809180331</v>
      </c>
      <c r="Q569" s="19">
        <f>IF(E569="HERRAJE",0,IFERROR(_xlfn.XLOOKUP(E569,'⚙️ Configuración Costos'!$E$5:$E$6,'⚙️ Configuración Costos'!$F$5:$F$6),""))</f>
        <v>6</v>
      </c>
      <c r="R569" s="19">
        <f t="shared" si="315"/>
        <v>0</v>
      </c>
      <c r="S569" s="37">
        <f t="shared" si="316"/>
        <v>172.77878809180331</v>
      </c>
      <c r="T569" s="94" t="str">
        <f t="shared" si="317"/>
        <v>OK</v>
      </c>
      <c r="U569" s="95" t="str">
        <f t="shared" si="318"/>
        <v/>
      </c>
      <c r="V569" s="96">
        <f t="shared" si="319"/>
        <v>0</v>
      </c>
    </row>
    <row r="570" spans="1:22" x14ac:dyDescent="0.2">
      <c r="A570" s="35">
        <v>2</v>
      </c>
      <c r="B570" s="6">
        <v>512</v>
      </c>
      <c r="C570" s="6">
        <v>230</v>
      </c>
      <c r="D570" s="7" t="s">
        <v>486</v>
      </c>
      <c r="E570" s="7" t="s">
        <v>64</v>
      </c>
      <c r="F570" s="8">
        <v>1</v>
      </c>
      <c r="G570" s="8">
        <v>1</v>
      </c>
      <c r="H570" s="8">
        <v>1</v>
      </c>
      <c r="I570" s="8">
        <v>0</v>
      </c>
      <c r="J570" s="8">
        <v>0</v>
      </c>
      <c r="K570" s="23" t="s">
        <v>640</v>
      </c>
      <c r="L570" s="47" t="s">
        <v>270</v>
      </c>
      <c r="M570" s="17">
        <f t="shared" si="312"/>
        <v>0.23552000000000001</v>
      </c>
      <c r="N570" s="18">
        <f t="shared" si="313"/>
        <v>2.048</v>
      </c>
      <c r="O570" s="19">
        <f>IF(E570="HERRAJE",IFERROR(_xlfn.XLOOKUP(D570,'⚙️ Configuración Costos'!$A$11:$A$20,'⚙️ Configuración Costos'!$B$11:$B$20),""),IFERROR(_xlfn.XLOOKUP(E570,'⚙️ Configuración Costos'!$A$5:$A$6,'⚙️ Configuración Costos'!$B$5:$B$6),""))</f>
        <v>239.8426229508197</v>
      </c>
      <c r="P570" s="19">
        <f t="shared" si="314"/>
        <v>56.48773455737706</v>
      </c>
      <c r="Q570" s="19">
        <f>IF(E570="HERRAJE",0,IFERROR(_xlfn.XLOOKUP(E570,'⚙️ Configuración Costos'!$E$5:$E$6,'⚙️ Configuración Costos'!$F$5:$F$6),""))</f>
        <v>6</v>
      </c>
      <c r="R570" s="19">
        <f t="shared" si="315"/>
        <v>12.288</v>
      </c>
      <c r="S570" s="37">
        <f t="shared" si="316"/>
        <v>68.775734557377064</v>
      </c>
      <c r="T570" s="94" t="str">
        <f t="shared" si="317"/>
        <v>OK</v>
      </c>
      <c r="U570" s="95" t="str">
        <f t="shared" si="318"/>
        <v/>
      </c>
      <c r="V570" s="96">
        <f t="shared" si="319"/>
        <v>0</v>
      </c>
    </row>
    <row r="571" spans="1:22" x14ac:dyDescent="0.2">
      <c r="A571" s="35">
        <v>4</v>
      </c>
      <c r="B571" s="6">
        <v>512</v>
      </c>
      <c r="C571" s="6">
        <v>100</v>
      </c>
      <c r="D571" s="7" t="s">
        <v>486</v>
      </c>
      <c r="E571" s="7" t="s">
        <v>64</v>
      </c>
      <c r="F571" s="8">
        <v>1</v>
      </c>
      <c r="G571" s="8">
        <v>1</v>
      </c>
      <c r="H571" s="8">
        <v>1</v>
      </c>
      <c r="I571" s="8">
        <v>0</v>
      </c>
      <c r="J571" s="8">
        <v>0</v>
      </c>
      <c r="K571" s="23" t="s">
        <v>640</v>
      </c>
      <c r="L571" s="47" t="s">
        <v>271</v>
      </c>
      <c r="M571" s="17">
        <f t="shared" si="312"/>
        <v>0.20480000000000001</v>
      </c>
      <c r="N571" s="18">
        <f t="shared" si="313"/>
        <v>4.0960000000000001</v>
      </c>
      <c r="O571" s="19">
        <f>IF(E571="HERRAJE",IFERROR(_xlfn.XLOOKUP(D571,'⚙️ Configuración Costos'!$A$11:$A$20,'⚙️ Configuración Costos'!$B$11:$B$20),""),IFERROR(_xlfn.XLOOKUP(E571,'⚙️ Configuración Costos'!$A$5:$A$6,'⚙️ Configuración Costos'!$B$5:$B$6),""))</f>
        <v>239.8426229508197</v>
      </c>
      <c r="P571" s="19">
        <f t="shared" si="314"/>
        <v>49.119769180327879</v>
      </c>
      <c r="Q571" s="19">
        <f>IF(E571="HERRAJE",0,IFERROR(_xlfn.XLOOKUP(E571,'⚙️ Configuración Costos'!$E$5:$E$6,'⚙️ Configuración Costos'!$F$5:$F$6),""))</f>
        <v>6</v>
      </c>
      <c r="R571" s="19">
        <f t="shared" si="315"/>
        <v>24.576000000000001</v>
      </c>
      <c r="S571" s="37">
        <f t="shared" si="316"/>
        <v>73.695769180327886</v>
      </c>
      <c r="T571" s="94" t="str">
        <f t="shared" si="317"/>
        <v>OK</v>
      </c>
      <c r="U571" s="95" t="str">
        <f t="shared" si="318"/>
        <v/>
      </c>
      <c r="V571" s="96">
        <f t="shared" si="319"/>
        <v>0</v>
      </c>
    </row>
    <row r="572" spans="1:22" x14ac:dyDescent="0.2">
      <c r="A572" s="35">
        <v>2</v>
      </c>
      <c r="B572" s="6">
        <v>500</v>
      </c>
      <c r="C572" s="6">
        <v>230</v>
      </c>
      <c r="D572" s="7" t="s">
        <v>484</v>
      </c>
      <c r="E572" s="7" t="s">
        <v>64</v>
      </c>
      <c r="F572" s="8">
        <v>1</v>
      </c>
      <c r="G572" s="8">
        <v>1</v>
      </c>
      <c r="H572" s="8">
        <v>1</v>
      </c>
      <c r="I572" s="8">
        <v>1</v>
      </c>
      <c r="J572" s="8">
        <v>1</v>
      </c>
      <c r="K572" s="23" t="s">
        <v>640</v>
      </c>
      <c r="L572" s="47" t="s">
        <v>243</v>
      </c>
      <c r="M572" s="17">
        <f t="shared" si="312"/>
        <v>0.23</v>
      </c>
      <c r="N572" s="18">
        <f t="shared" si="313"/>
        <v>2.92</v>
      </c>
      <c r="O572" s="19">
        <f>IF(E572="HERRAJE",IFERROR(_xlfn.XLOOKUP(D572,'⚙️ Configuración Costos'!$A$11:$A$20,'⚙️ Configuración Costos'!$B$11:$B$20),""),IFERROR(_xlfn.XLOOKUP(E572,'⚙️ Configuración Costos'!$A$5:$A$6,'⚙️ Configuración Costos'!$B$5:$B$6),""))</f>
        <v>239.8426229508197</v>
      </c>
      <c r="P572" s="19">
        <f t="shared" si="314"/>
        <v>55.163803278688533</v>
      </c>
      <c r="Q572" s="19">
        <f>IF(E572="HERRAJE",0,IFERROR(_xlfn.XLOOKUP(E572,'⚙️ Configuración Costos'!$E$5:$E$6,'⚙️ Configuración Costos'!$F$5:$F$6),""))</f>
        <v>6</v>
      </c>
      <c r="R572" s="19">
        <f t="shared" si="315"/>
        <v>17.52</v>
      </c>
      <c r="S572" s="37">
        <f t="shared" si="316"/>
        <v>72.683803278688529</v>
      </c>
      <c r="T572" s="94" t="str">
        <f t="shared" si="317"/>
        <v>OK</v>
      </c>
      <c r="U572" s="95" t="str">
        <f t="shared" si="318"/>
        <v/>
      </c>
      <c r="V572" s="96">
        <f t="shared" si="319"/>
        <v>0</v>
      </c>
    </row>
    <row r="573" spans="1:22" x14ac:dyDescent="0.2">
      <c r="A573" s="35">
        <v>4</v>
      </c>
      <c r="B573" s="6">
        <v>500</v>
      </c>
      <c r="C573" s="6">
        <v>100</v>
      </c>
      <c r="D573" s="7" t="s">
        <v>484</v>
      </c>
      <c r="E573" s="7" t="s">
        <v>64</v>
      </c>
      <c r="F573" s="8">
        <v>1</v>
      </c>
      <c r="G573" s="8">
        <v>1</v>
      </c>
      <c r="H573" s="8">
        <v>1</v>
      </c>
      <c r="I573" s="8">
        <v>1</v>
      </c>
      <c r="J573" s="8">
        <v>1</v>
      </c>
      <c r="K573" s="23" t="s">
        <v>640</v>
      </c>
      <c r="L573" s="47" t="s">
        <v>244</v>
      </c>
      <c r="M573" s="17">
        <f t="shared" si="312"/>
        <v>0.2</v>
      </c>
      <c r="N573" s="18">
        <f t="shared" si="313"/>
        <v>4.8</v>
      </c>
      <c r="O573" s="19">
        <f>IF(E573="HERRAJE",IFERROR(_xlfn.XLOOKUP(D573,'⚙️ Configuración Costos'!$A$11:$A$20,'⚙️ Configuración Costos'!$B$11:$B$20),""),IFERROR(_xlfn.XLOOKUP(E573,'⚙️ Configuración Costos'!$A$5:$A$6,'⚙️ Configuración Costos'!$B$5:$B$6),""))</f>
        <v>239.8426229508197</v>
      </c>
      <c r="P573" s="19">
        <f t="shared" si="314"/>
        <v>47.968524590163945</v>
      </c>
      <c r="Q573" s="19">
        <f>IF(E573="HERRAJE",0,IFERROR(_xlfn.XLOOKUP(E573,'⚙️ Configuración Costos'!$E$5:$E$6,'⚙️ Configuración Costos'!$F$5:$F$6),""))</f>
        <v>6</v>
      </c>
      <c r="R573" s="19">
        <f t="shared" si="315"/>
        <v>28.799999999999997</v>
      </c>
      <c r="S573" s="37">
        <f t="shared" si="316"/>
        <v>76.768524590163935</v>
      </c>
      <c r="T573" s="94" t="str">
        <f t="shared" si="317"/>
        <v>OK</v>
      </c>
      <c r="U573" s="95" t="str">
        <f t="shared" si="318"/>
        <v/>
      </c>
      <c r="V573" s="96">
        <f t="shared" si="319"/>
        <v>0</v>
      </c>
    </row>
    <row r="574" spans="1:22" x14ac:dyDescent="0.2">
      <c r="A574" s="35">
        <v>1</v>
      </c>
      <c r="B574" s="6">
        <v>566</v>
      </c>
      <c r="C574" s="6">
        <v>596</v>
      </c>
      <c r="D574" s="43" t="s">
        <v>84</v>
      </c>
      <c r="E574" s="43" t="s">
        <v>85</v>
      </c>
      <c r="F574" s="44">
        <v>1</v>
      </c>
      <c r="G574" s="44">
        <v>1</v>
      </c>
      <c r="H574" s="44">
        <v>1</v>
      </c>
      <c r="I574" s="44">
        <v>1</v>
      </c>
      <c r="J574" s="44">
        <v>1</v>
      </c>
      <c r="K574" s="16" t="s">
        <v>640</v>
      </c>
      <c r="L574" s="46" t="s">
        <v>643</v>
      </c>
      <c r="M574" s="17">
        <f>IF(AND(ISNUMBER(B574),ISNUMBER(C574),B574&gt;0,C574&gt;0),A574*(B574*C574/1000000),0)</f>
        <v>0.33733600000000002</v>
      </c>
      <c r="N574" s="18">
        <f>IF(AND(ISNUMBER(B574),B574&gt;0),A574*(((G574+H574)*B574+(I574+J574)*C574)/1000),0)</f>
        <v>2.3239999999999998</v>
      </c>
      <c r="O574" s="19">
        <f>IF(E574="HERRAJE",IFERROR(_xlfn.XLOOKUP(D574,'⚙️ Configuración Costos'!$A$11:$A$20,'⚙️ Configuración Costos'!$B$11:$B$20),""),IFERROR(_xlfn.XLOOKUP(E574,'⚙️ Configuración Costos'!$A$5:$A$6,'⚙️ Configuración Costos'!$B$5:$B$6),""))</f>
        <v>332.85245901639348</v>
      </c>
      <c r="P574" s="19">
        <f>IF(E574="HERRAJE",A574*O574,M574*O574)</f>
        <v>112.28311711475412</v>
      </c>
      <c r="Q574" s="19">
        <f>IF(E574="HERRAJE",0,IFERROR(_xlfn.XLOOKUP(E574,'⚙️ Configuración Costos'!$E$5:$E$6,'⚙️ Configuración Costos'!$F$5:$F$6),""))</f>
        <v>9.5</v>
      </c>
      <c r="R574" s="19">
        <f>N574*Q574</f>
        <v>22.077999999999999</v>
      </c>
      <c r="S574" s="37">
        <f>P574+R574</f>
        <v>134.36111711475411</v>
      </c>
      <c r="T574" s="94" t="str">
        <f>IF(K574="","SIN ID MÓDULO",IF(E574="HERRAJE",IF(OR(O574="",O574&lt;=0),"SIN PRECIO HERRAJE","OK"),IF(OR(O574="",O574&lt;=0),"SIN PRECIO MATERIAL",IF(AND(N574&gt;0,OR(Q574="",Q574&lt;=0)),"SIN PRECIO CINTILLA","OK"))))</f>
        <v>OK</v>
      </c>
      <c r="U574" s="95" t="str">
        <f>IF(T574="OK","",IF(T574="SIN PRECIO HERRAJE","Capturar precio: "&amp;D574,IF(T574="SIN PRECIO MATERIAL","Configurar material: "&amp;E574,IF(T574="SIN PRECIO CINTILLA","Configurar cintilla: "&amp;E574,IF(T574="SIN ID MÓDULO","Revisar ID del módulo","")))))</f>
        <v/>
      </c>
      <c r="V574" s="96">
        <f>IF(T574="OK",0,IF(T574="",0,1))</f>
        <v>0</v>
      </c>
    </row>
    <row r="575" spans="1:22" x14ac:dyDescent="0.2">
      <c r="A575" s="35">
        <v>1</v>
      </c>
      <c r="B575" s="6">
        <v>596</v>
      </c>
      <c r="C575" s="6">
        <v>356</v>
      </c>
      <c r="D575" s="7" t="s">
        <v>250</v>
      </c>
      <c r="E575" s="7" t="s">
        <v>85</v>
      </c>
      <c r="F575" s="8">
        <v>1</v>
      </c>
      <c r="G575" s="8">
        <v>1</v>
      </c>
      <c r="H575" s="8">
        <v>1</v>
      </c>
      <c r="I575" s="8">
        <v>1</v>
      </c>
      <c r="J575" s="8">
        <v>1</v>
      </c>
      <c r="K575" s="23" t="s">
        <v>640</v>
      </c>
      <c r="L575" s="47" t="s">
        <v>272</v>
      </c>
      <c r="M575" s="17">
        <f t="shared" ref="M575:M578" si="320">IF(AND(ISNUMBER(B575),ISNUMBER(C575),B575&gt;0,C575&gt;0),A575*(B575*C575/1000000),0)</f>
        <v>0.212176</v>
      </c>
      <c r="N575" s="18">
        <f t="shared" ref="N575:N578" si="321">IF(AND(ISNUMBER(B575),B575&gt;0),A575*(((G575+H575)*B575+(I575+J575)*C575)/1000),0)</f>
        <v>1.9039999999999999</v>
      </c>
      <c r="O575" s="19">
        <f>IF(E575="HERRAJE",IFERROR(_xlfn.XLOOKUP(D575,'⚙️ Configuración Costos'!$A$11:$A$20,'⚙️ Configuración Costos'!$B$11:$B$20),""),IFERROR(_xlfn.XLOOKUP(E575,'⚙️ Configuración Costos'!$A$5:$A$6,'⚙️ Configuración Costos'!$B$5:$B$6),""))</f>
        <v>332.85245901639348</v>
      </c>
      <c r="P575" s="19">
        <f t="shared" ref="P575:P578" si="322">IF(E575="HERRAJE",A575*O575,M575*O575)</f>
        <v>70.623303344262311</v>
      </c>
      <c r="Q575" s="19">
        <f>IF(E575="HERRAJE",0,IFERROR(_xlfn.XLOOKUP(E575,'⚙️ Configuración Costos'!$E$5:$E$6,'⚙️ Configuración Costos'!$F$5:$F$6),""))</f>
        <v>9.5</v>
      </c>
      <c r="R575" s="19">
        <f t="shared" ref="R575:R578" si="323">N575*Q575</f>
        <v>18.088000000000001</v>
      </c>
      <c r="S575" s="37">
        <f t="shared" ref="S575:S578" si="324">P575+R575</f>
        <v>88.711303344262319</v>
      </c>
      <c r="T575" s="94" t="str">
        <f t="shared" ref="T575:T578" si="325">IF(K575="","SIN ID MÓDULO",IF(E575="HERRAJE",IF(OR(O575="",O575&lt;=0),"SIN PRECIO HERRAJE","OK"),IF(OR(O575="",O575&lt;=0),"SIN PRECIO MATERIAL",IF(AND(N575&gt;0,OR(Q575="",Q575&lt;=0)),"SIN PRECIO CINTILLA","OK"))))</f>
        <v>OK</v>
      </c>
      <c r="U575" s="95" t="str">
        <f t="shared" ref="U575:U578" si="326">IF(T575="OK","",IF(T575="SIN PRECIO HERRAJE","Capturar precio: "&amp;D575,IF(T575="SIN PRECIO MATERIAL","Configurar material: "&amp;E575,IF(T575="SIN PRECIO CINTILLA","Configurar cintilla: "&amp;E575,IF(T575="SIN ID MÓDULO","Revisar ID del módulo","")))))</f>
        <v/>
      </c>
      <c r="V575" s="96">
        <f t="shared" ref="V575:V578" si="327">IF(T575="OK",0,IF(T575="",0,1))</f>
        <v>0</v>
      </c>
    </row>
    <row r="576" spans="1:22" x14ac:dyDescent="0.2">
      <c r="A576" s="35">
        <v>1</v>
      </c>
      <c r="B576" s="6">
        <v>596</v>
      </c>
      <c r="C576" s="6">
        <v>176</v>
      </c>
      <c r="D576" s="7" t="s">
        <v>252</v>
      </c>
      <c r="E576" s="7" t="s">
        <v>85</v>
      </c>
      <c r="F576" s="8">
        <v>1</v>
      </c>
      <c r="G576" s="8">
        <v>1</v>
      </c>
      <c r="H576" s="8">
        <v>1</v>
      </c>
      <c r="I576" s="8">
        <v>1</v>
      </c>
      <c r="J576" s="8">
        <v>1</v>
      </c>
      <c r="K576" s="23" t="s">
        <v>640</v>
      </c>
      <c r="L576" s="47" t="s">
        <v>273</v>
      </c>
      <c r="M576" s="17">
        <f t="shared" si="320"/>
        <v>0.104896</v>
      </c>
      <c r="N576" s="18">
        <f t="shared" si="321"/>
        <v>1.544</v>
      </c>
      <c r="O576" s="19">
        <f>IF(E576="HERRAJE",IFERROR(_xlfn.XLOOKUP(D576,'⚙️ Configuración Costos'!$A$11:$A$20,'⚙️ Configuración Costos'!$B$11:$B$20),""),IFERROR(_xlfn.XLOOKUP(E576,'⚙️ Configuración Costos'!$A$5:$A$6,'⚙️ Configuración Costos'!$B$5:$B$6),""))</f>
        <v>332.85245901639348</v>
      </c>
      <c r="P576" s="19">
        <f t="shared" si="322"/>
        <v>34.914891540983611</v>
      </c>
      <c r="Q576" s="19">
        <f>IF(E576="HERRAJE",0,IFERROR(_xlfn.XLOOKUP(E576,'⚙️ Configuración Costos'!$E$5:$E$6,'⚙️ Configuración Costos'!$F$5:$F$6),""))</f>
        <v>9.5</v>
      </c>
      <c r="R576" s="19">
        <f t="shared" si="323"/>
        <v>14.668000000000001</v>
      </c>
      <c r="S576" s="37">
        <f t="shared" si="324"/>
        <v>49.58289154098361</v>
      </c>
      <c r="T576" s="94" t="str">
        <f t="shared" si="325"/>
        <v>OK</v>
      </c>
      <c r="U576" s="95" t="str">
        <f t="shared" si="326"/>
        <v/>
      </c>
      <c r="V576" s="96">
        <f t="shared" si="327"/>
        <v>0</v>
      </c>
    </row>
    <row r="577" spans="1:22" x14ac:dyDescent="0.2">
      <c r="A577" s="35">
        <v>1</v>
      </c>
      <c r="B577" s="6">
        <v>596</v>
      </c>
      <c r="C577" s="6">
        <v>176</v>
      </c>
      <c r="D577" s="7" t="s">
        <v>254</v>
      </c>
      <c r="E577" s="7" t="s">
        <v>85</v>
      </c>
      <c r="F577" s="8">
        <v>1</v>
      </c>
      <c r="G577" s="8">
        <v>1</v>
      </c>
      <c r="H577" s="8">
        <v>1</v>
      </c>
      <c r="I577" s="8">
        <v>1</v>
      </c>
      <c r="J577" s="8">
        <v>1</v>
      </c>
      <c r="K577" s="23" t="s">
        <v>640</v>
      </c>
      <c r="L577" s="47" t="s">
        <v>274</v>
      </c>
      <c r="M577" s="17">
        <f t="shared" si="320"/>
        <v>0.104896</v>
      </c>
      <c r="N577" s="18">
        <f t="shared" si="321"/>
        <v>1.544</v>
      </c>
      <c r="O577" s="19">
        <f>IF(E577="HERRAJE",IFERROR(_xlfn.XLOOKUP(D577,'⚙️ Configuración Costos'!$A$11:$A$20,'⚙️ Configuración Costos'!$B$11:$B$20),""),IFERROR(_xlfn.XLOOKUP(E577,'⚙️ Configuración Costos'!$A$5:$A$6,'⚙️ Configuración Costos'!$B$5:$B$6),""))</f>
        <v>332.85245901639348</v>
      </c>
      <c r="P577" s="19">
        <f t="shared" si="322"/>
        <v>34.914891540983611</v>
      </c>
      <c r="Q577" s="19">
        <f>IF(E577="HERRAJE",0,IFERROR(_xlfn.XLOOKUP(E577,'⚙️ Configuración Costos'!$E$5:$E$6,'⚙️ Configuración Costos'!$F$5:$F$6),""))</f>
        <v>9.5</v>
      </c>
      <c r="R577" s="19">
        <f t="shared" si="323"/>
        <v>14.668000000000001</v>
      </c>
      <c r="S577" s="37">
        <f t="shared" si="324"/>
        <v>49.58289154098361</v>
      </c>
      <c r="T577" s="94" t="str">
        <f t="shared" si="325"/>
        <v>OK</v>
      </c>
      <c r="U577" s="95" t="str">
        <f t="shared" si="326"/>
        <v/>
      </c>
      <c r="V577" s="96">
        <f t="shared" si="327"/>
        <v>0</v>
      </c>
    </row>
    <row r="578" spans="1:22" x14ac:dyDescent="0.2">
      <c r="A578" s="35">
        <v>3</v>
      </c>
      <c r="B578" s="6">
        <v>0</v>
      </c>
      <c r="C578" s="6">
        <v>0</v>
      </c>
      <c r="D578" s="7" t="s">
        <v>256</v>
      </c>
      <c r="E578" s="7" t="s">
        <v>91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23" t="s">
        <v>640</v>
      </c>
      <c r="L578" s="47" t="s">
        <v>257</v>
      </c>
      <c r="M578" s="17">
        <f t="shared" si="320"/>
        <v>0</v>
      </c>
      <c r="N578" s="18">
        <f t="shared" si="321"/>
        <v>0</v>
      </c>
      <c r="O578" s="19">
        <f>IF(E578="HERRAJE",IFERROR(_xlfn.XLOOKUP(D578,'⚙️ Configuración Costos'!$A$11:$A$20,'⚙️ Configuración Costos'!$B$11:$B$20),""),IFERROR(_xlfn.XLOOKUP(E578,'⚙️ Configuración Costos'!$A$5:$A$6,'⚙️ Configuración Costos'!$B$5:$B$6),""))</f>
        <v>125</v>
      </c>
      <c r="P578" s="19">
        <f t="shared" si="322"/>
        <v>375</v>
      </c>
      <c r="Q578" s="19">
        <f>IF(E578="HERRAJE",0,IFERROR(_xlfn.XLOOKUP(E578,'⚙️ Configuración Costos'!$E$5:$E$6,'⚙️ Configuración Costos'!$F$5:$F$6),""))</f>
        <v>0</v>
      </c>
      <c r="R578" s="19">
        <f t="shared" si="323"/>
        <v>0</v>
      </c>
      <c r="S578" s="37">
        <f t="shared" si="324"/>
        <v>375</v>
      </c>
      <c r="T578" s="94" t="str">
        <f t="shared" si="325"/>
        <v>OK</v>
      </c>
      <c r="U578" s="95" t="str">
        <f t="shared" si="326"/>
        <v/>
      </c>
      <c r="V578" s="96">
        <f t="shared" si="327"/>
        <v>0</v>
      </c>
    </row>
    <row r="579" spans="1:22" x14ac:dyDescent="0.2">
      <c r="A579" s="35">
        <v>2</v>
      </c>
      <c r="B579" s="6">
        <v>0</v>
      </c>
      <c r="C579" s="6">
        <v>0</v>
      </c>
      <c r="D579" s="7" t="s">
        <v>90</v>
      </c>
      <c r="E579" s="7" t="s">
        <v>91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16" t="s">
        <v>640</v>
      </c>
      <c r="L579" s="47" t="s">
        <v>92</v>
      </c>
      <c r="M579" s="17">
        <f>IF(AND(ISNUMBER(B579),ISNUMBER(C579),B579&gt;0,C579&gt;0),A579*(B579*C579/1000000),0)</f>
        <v>0</v>
      </c>
      <c r="N579" s="18">
        <f>IF(AND(ISNUMBER(B579),B579&gt;0),A579*(((G579+H579)*B579+(I579+J579)*C579)/1000),0)</f>
        <v>0</v>
      </c>
      <c r="O579" s="19">
        <f>IF(E579="HERRAJE",IFERROR(_xlfn.XLOOKUP(D579,'⚙️ Configuración Costos'!$A$11:$A$20,'⚙️ Configuración Costos'!$B$11:$B$20),""),IFERROR(_xlfn.XLOOKUP(E579,'⚙️ Configuración Costos'!$A$5:$A$6,'⚙️ Configuración Costos'!$B$5:$B$6),""))</f>
        <v>20</v>
      </c>
      <c r="P579" s="19">
        <f>IF(E579="HERRAJE",A579*O579,M579*O579)</f>
        <v>40</v>
      </c>
      <c r="Q579" s="19">
        <f>IF(E579="HERRAJE",0,IFERROR(_xlfn.XLOOKUP(E579,'⚙️ Configuración Costos'!$E$5:$E$6,'⚙️ Configuración Costos'!$F$5:$F$6),""))</f>
        <v>0</v>
      </c>
      <c r="R579" s="19">
        <f>N579*Q579</f>
        <v>0</v>
      </c>
      <c r="S579" s="37">
        <f>P579+R579</f>
        <v>40</v>
      </c>
      <c r="T579" s="94" t="str">
        <f>IF(K579="","SIN ID MÓDULO",IF(E579="HERRAJE",IF(OR(O579="",O579&lt;=0),"SIN PRECIO HERRAJE","OK"),IF(OR(O579="",O579&lt;=0),"SIN PRECIO MATERIAL",IF(AND(N579&gt;0,OR(Q579="",Q579&lt;=0)),"SIN PRECIO CINTILLA","OK"))))</f>
        <v>OK</v>
      </c>
      <c r="U579" s="95" t="str">
        <f>IF(T579="OK","",IF(T579="SIN PRECIO HERRAJE","Capturar precio: "&amp;D579,IF(T579="SIN PRECIO MATERIAL","Configurar material: "&amp;E579,IF(T579="SIN PRECIO CINTILLA","Configurar cintilla: "&amp;E579,IF(T579="SIN ID MÓDULO","Revisar ID del módulo","")))))</f>
        <v/>
      </c>
      <c r="V579" s="96">
        <f>IF(T579="OK",0,IF(T579="",0,1))</f>
        <v>0</v>
      </c>
    </row>
    <row r="580" spans="1:22" x14ac:dyDescent="0.2">
      <c r="A580" s="35">
        <v>4</v>
      </c>
      <c r="B580" s="6">
        <v>0</v>
      </c>
      <c r="C580" s="6">
        <v>0</v>
      </c>
      <c r="D580" s="7" t="s">
        <v>93</v>
      </c>
      <c r="E580" s="7" t="s">
        <v>91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16" t="s">
        <v>640</v>
      </c>
      <c r="L580" s="47" t="s">
        <v>94</v>
      </c>
      <c r="M580" s="17">
        <f>IF(AND(ISNUMBER(B580),ISNUMBER(C580),B580&gt;0,C580&gt;0),A580*(B580*C580/1000000),0)</f>
        <v>0</v>
      </c>
      <c r="N580" s="18">
        <f>IF(AND(ISNUMBER(B580),B580&gt;0),A580*(((G580+H580)*B580+(I580+J580)*C580)/1000),0)</f>
        <v>0</v>
      </c>
      <c r="O580" s="19">
        <f>IF(E580="HERRAJE",IFERROR(_xlfn.XLOOKUP(D580,'⚙️ Configuración Costos'!$A$11:$A$20,'⚙️ Configuración Costos'!$B$11:$B$20),""),IFERROR(_xlfn.XLOOKUP(E580,'⚙️ Configuración Costos'!$A$5:$A$6,'⚙️ Configuración Costos'!$B$5:$B$6),""))</f>
        <v>15</v>
      </c>
      <c r="P580" s="19">
        <f>IF(E580="HERRAJE",A580*O580,M580*O580)</f>
        <v>60</v>
      </c>
      <c r="Q580" s="19">
        <f>IF(E580="HERRAJE",0,IFERROR(_xlfn.XLOOKUP(E580,'⚙️ Configuración Costos'!$E$5:$E$6,'⚙️ Configuración Costos'!$F$5:$F$6),""))</f>
        <v>0</v>
      </c>
      <c r="R580" s="19">
        <f>N580*Q580</f>
        <v>0</v>
      </c>
      <c r="S580" s="37">
        <f>P580+R580</f>
        <v>60</v>
      </c>
      <c r="T580" s="94" t="str">
        <f>IF(K580="","SIN ID MÓDULO",IF(E580="HERRAJE",IF(OR(O580="",O580&lt;=0),"SIN PRECIO HERRAJE","OK"),IF(OR(O580="",O580&lt;=0),"SIN PRECIO MATERIAL",IF(AND(N580&gt;0,OR(Q580="",Q580&lt;=0)),"SIN PRECIO CINTILLA","OK"))))</f>
        <v>OK</v>
      </c>
      <c r="U580" s="95" t="str">
        <f>IF(T580="OK","",IF(T580="SIN PRECIO HERRAJE","Capturar precio: "&amp;D580,IF(T580="SIN PRECIO MATERIAL","Configurar material: "&amp;E580,IF(T580="SIN PRECIO CINTILLA","Configurar cintilla: "&amp;E580,IF(T580="SIN ID MÓDULO","Revisar ID del módulo","")))))</f>
        <v/>
      </c>
      <c r="V580" s="96">
        <f>IF(T580="OK",0,IF(T580="",0,1))</f>
        <v>0</v>
      </c>
    </row>
    <row r="581" spans="1:22" x14ac:dyDescent="0.2">
      <c r="A581" s="35">
        <v>6</v>
      </c>
      <c r="B581" s="6">
        <v>0</v>
      </c>
      <c r="C581" s="6">
        <v>0</v>
      </c>
      <c r="D581" s="7" t="s">
        <v>186</v>
      </c>
      <c r="E581" s="7" t="s">
        <v>91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16" t="s">
        <v>640</v>
      </c>
      <c r="L581" s="47" t="s">
        <v>187</v>
      </c>
      <c r="M581" s="17">
        <f>IF(AND(ISNUMBER(B581),ISNUMBER(C581),B581&gt;0,C581&gt;0),A581*(B581*C581/1000000),0)</f>
        <v>0</v>
      </c>
      <c r="N581" s="18">
        <f>IF(AND(ISNUMBER(B581),B581&gt;0),A581*(((G581+H581)*B581+(I581+J581)*C581)/1000),0)</f>
        <v>0</v>
      </c>
      <c r="O581" s="19">
        <f>IF(E581="HERRAJE",IFERROR(_xlfn.XLOOKUP(D581,'⚙️ Configuración Costos'!$A$11:$A$20,'⚙️ Configuración Costos'!$B$11:$B$20),""),IFERROR(_xlfn.XLOOKUP(E581,'⚙️ Configuración Costos'!$A$5:$A$6,'⚙️ Configuración Costos'!$B$5:$B$6),""))</f>
        <v>15</v>
      </c>
      <c r="P581" s="19">
        <f>IF(E581="HERRAJE",A581*O581,M581*O581)</f>
        <v>90</v>
      </c>
      <c r="Q581" s="19">
        <f>IF(E581="HERRAJE",0,IFERROR(_xlfn.XLOOKUP(E581,'⚙️ Configuración Costos'!$E$5:$E$6,'⚙️ Configuración Costos'!$F$5:$F$6),""))</f>
        <v>0</v>
      </c>
      <c r="R581" s="19">
        <f>N581*Q581</f>
        <v>0</v>
      </c>
      <c r="S581" s="37">
        <f>P581+R581</f>
        <v>90</v>
      </c>
      <c r="T581" s="94" t="str">
        <f>IF(K581="","SIN ID MÓDULO",IF(E581="HERRAJE",IF(OR(O581="",O581&lt;=0),"SIN PRECIO HERRAJE","OK"),IF(OR(O581="",O581&lt;=0),"SIN PRECIO MATERIAL",IF(AND(N581&gt;0,OR(Q581="",Q581&lt;=0)),"SIN PRECIO CINTILLA","OK"))))</f>
        <v>OK</v>
      </c>
      <c r="U581" s="95" t="str">
        <f>IF(T581="OK","",IF(T581="SIN PRECIO HERRAJE","Capturar precio: "&amp;D581,IF(T581="SIN PRECIO MATERIAL","Configurar material: "&amp;E581,IF(T581="SIN PRECIO CINTILLA","Configurar cintilla: "&amp;E581,IF(T581="SIN ID MÓDULO","Revisar ID del módulo","")))))</f>
        <v/>
      </c>
      <c r="V581" s="96">
        <f>IF(T581="OK",0,IF(T581="",0,1))</f>
        <v>0</v>
      </c>
    </row>
    <row r="582" spans="1:22" x14ac:dyDescent="0.2">
      <c r="A582" s="35">
        <v>4</v>
      </c>
      <c r="B582" s="6">
        <v>0</v>
      </c>
      <c r="C582" s="6">
        <v>0</v>
      </c>
      <c r="D582" s="7" t="s">
        <v>95</v>
      </c>
      <c r="E582" s="7" t="s">
        <v>91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16" t="s">
        <v>640</v>
      </c>
      <c r="L582" s="47" t="s">
        <v>96</v>
      </c>
      <c r="M582" s="17">
        <f>IF(AND(ISNUMBER(B582),ISNUMBER(C582),B582&gt;0,C582&gt;0),A582*(B582*C582/1000000),0)</f>
        <v>0</v>
      </c>
      <c r="N582" s="18">
        <f>IF(AND(ISNUMBER(B582),B582&gt;0),A582*(((G582+H582)*B582+(I582+J582)*C582)/1000),0)</f>
        <v>0</v>
      </c>
      <c r="O582" s="19">
        <f>IF(E582="HERRAJE",IFERROR(_xlfn.XLOOKUP(D582,'⚙️ Configuración Costos'!$A$11:$A$20,'⚙️ Configuración Costos'!$B$11:$B$20),""),IFERROR(_xlfn.XLOOKUP(E582,'⚙️ Configuración Costos'!$A$5:$A$6,'⚙️ Configuración Costos'!$B$5:$B$6),""))</f>
        <v>2</v>
      </c>
      <c r="P582" s="19">
        <f>IF(E582="HERRAJE",A582*O582,M582*O582)</f>
        <v>8</v>
      </c>
      <c r="Q582" s="19">
        <f>IF(E582="HERRAJE",0,IFERROR(_xlfn.XLOOKUP(E582,'⚙️ Configuración Costos'!$E$5:$E$6,'⚙️ Configuración Costos'!$F$5:$F$6),""))</f>
        <v>0</v>
      </c>
      <c r="R582" s="19">
        <f>N582*Q582</f>
        <v>0</v>
      </c>
      <c r="S582" s="37">
        <f>P582+R582</f>
        <v>8</v>
      </c>
      <c r="T582" s="94" t="str">
        <f>IF(K582="","SIN ID MÓDULO",IF(E582="HERRAJE",IF(OR(O582="",O582&lt;=0),"SIN PRECIO HERRAJE","OK"),IF(OR(O582="",O582&lt;=0),"SIN PRECIO MATERIAL",IF(AND(N582&gt;0,OR(Q582="",Q582&lt;=0)),"SIN PRECIO CINTILLA","OK"))))</f>
        <v>OK</v>
      </c>
      <c r="U582" s="95" t="str">
        <f>IF(T582="OK","",IF(T582="SIN PRECIO HERRAJE","Capturar precio: "&amp;D582,IF(T582="SIN PRECIO MATERIAL","Configurar material: "&amp;E582,IF(T582="SIN PRECIO CINTILLA","Configurar cintilla: "&amp;E582,IF(T582="SIN ID MÓDULO","Revisar ID del módulo","")))))</f>
        <v/>
      </c>
      <c r="V582" s="96">
        <f>IF(T582="OK",0,IF(T582="",0,1))</f>
        <v>0</v>
      </c>
    </row>
    <row r="583" spans="1:22" ht="16" thickBot="1" x14ac:dyDescent="0.25">
      <c r="A583" s="36">
        <v>50</v>
      </c>
      <c r="B583" s="20">
        <v>0</v>
      </c>
      <c r="C583" s="20">
        <v>0</v>
      </c>
      <c r="D583" s="21" t="s">
        <v>97</v>
      </c>
      <c r="E583" s="21" t="s">
        <v>91</v>
      </c>
      <c r="F583" s="22">
        <v>0</v>
      </c>
      <c r="G583" s="22">
        <v>0</v>
      </c>
      <c r="H583" s="22">
        <v>0</v>
      </c>
      <c r="I583" s="22">
        <v>0</v>
      </c>
      <c r="J583" s="22">
        <v>0</v>
      </c>
      <c r="K583" s="16" t="s">
        <v>640</v>
      </c>
      <c r="L583" s="48" t="s">
        <v>98</v>
      </c>
      <c r="M583" s="10">
        <f t="shared" ref="M583" si="328">IF(AND(ISNUMBER(B583),ISNUMBER(C583),B583&gt;0,C583&gt;0),A583*(B583*C583/1000000),0)</f>
        <v>0</v>
      </c>
      <c r="N583" s="11">
        <f t="shared" ref="N583" si="329">IF(AND(ISNUMBER(B583),B583&gt;0),A583*(((G583+H583)*B583+(I583+J583)*C583)/1000),0)</f>
        <v>0</v>
      </c>
      <c r="O583" s="12">
        <f>IF(E583="HERRAJE",IFERROR(_xlfn.XLOOKUP(D583,'⚙️ Configuración Costos'!$A$11:$A$20,'⚙️ Configuración Costos'!$B$11:$B$20),""),IFERROR(_xlfn.XLOOKUP(E583,'⚙️ Configuración Costos'!$A$5:$A$6,'⚙️ Configuración Costos'!$B$5:$B$6),""))</f>
        <v>1.5</v>
      </c>
      <c r="P583" s="12">
        <f t="shared" ref="P583" si="330">IF(E583="HERRAJE",A583*O583,M583*O583)</f>
        <v>75</v>
      </c>
      <c r="Q583" s="19">
        <f>IF(E583="HERRAJE",0,IFERROR(_xlfn.XLOOKUP(E583,'⚙️ Configuración Costos'!$E$5:$E$6,'⚙️ Configuración Costos'!$F$5:$F$6),""))</f>
        <v>0</v>
      </c>
      <c r="R583" s="19">
        <f t="shared" ref="R583" si="331">N583*Q583</f>
        <v>0</v>
      </c>
      <c r="S583" s="39">
        <f t="shared" ref="S583" si="332">P583+R583</f>
        <v>75</v>
      </c>
      <c r="T583" s="94" t="str">
        <f t="shared" ref="T583" si="333">IF(K583="","SIN ID MÓDULO",IF(E583="HERRAJE",IF(OR(O583="",O583&lt;=0),"SIN PRECIO HERRAJE","OK"),IF(OR(O583="",O583&lt;=0),"SIN PRECIO MATERIAL",IF(AND(N583&gt;0,OR(Q583="",Q583&lt;=0)),"SIN PRECIO CINTILLA","OK"))))</f>
        <v>OK</v>
      </c>
      <c r="U583" s="95" t="str">
        <f t="shared" ref="U583" si="334">IF(T583="OK","",IF(T583="SIN PRECIO HERRAJE","Capturar precio: "&amp;D583,IF(T583="SIN PRECIO MATERIAL","Configurar material: "&amp;E583,IF(T583="SIN PRECIO CINTILLA","Configurar cintilla: "&amp;E583,IF(T583="SIN ID MÓDULO","Revisar ID del módulo","")))))</f>
        <v/>
      </c>
      <c r="V583" s="96">
        <f t="shared" ref="V583" si="335">IF(T583="OK",0,IF(T583="",0,1))</f>
        <v>0</v>
      </c>
    </row>
    <row r="584" spans="1:22" ht="16" thickTop="1" x14ac:dyDescent="0.2">
      <c r="A584" s="27" t="s">
        <v>99</v>
      </c>
      <c r="B584" s="27"/>
      <c r="C584" s="27"/>
      <c r="D584" s="28"/>
      <c r="E584" s="28"/>
      <c r="F584" s="29"/>
      <c r="G584" s="29"/>
      <c r="H584" s="29"/>
      <c r="I584" s="29"/>
      <c r="J584" s="29"/>
      <c r="K584" s="30"/>
      <c r="L584" s="49"/>
      <c r="M584" s="33">
        <f>SUM(M558:M583)</f>
        <v>7.4307200000000009</v>
      </c>
      <c r="N584" s="33">
        <f>SUM(N558:N583)</f>
        <v>38.727999999999994</v>
      </c>
      <c r="O584" s="33"/>
      <c r="P584" s="33">
        <f>SUM(P558:P583)</f>
        <v>2973.382305993443</v>
      </c>
      <c r="Q584" s="33"/>
      <c r="R584" s="33">
        <f>SUM(R558:R583)</f>
        <v>319.39200000000005</v>
      </c>
      <c r="S584" s="33">
        <f>SUM(S558:S583)</f>
        <v>3292.7743059934428</v>
      </c>
      <c r="T584" s="97"/>
      <c r="U584" s="98"/>
      <c r="V584" s="99"/>
    </row>
    <row r="585" spans="1:22" x14ac:dyDescent="0.2">
      <c r="A585" s="186" t="s">
        <v>637</v>
      </c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8"/>
      <c r="T585" s="97"/>
      <c r="U585" s="98"/>
      <c r="V585" s="99"/>
    </row>
    <row r="586" spans="1:22" x14ac:dyDescent="0.2">
      <c r="A586" s="35">
        <v>1</v>
      </c>
      <c r="B586" s="6">
        <v>2100</v>
      </c>
      <c r="C586" s="6">
        <v>580</v>
      </c>
      <c r="D586" s="43" t="s">
        <v>63</v>
      </c>
      <c r="E586" s="43" t="s">
        <v>85</v>
      </c>
      <c r="F586" s="44">
        <v>1</v>
      </c>
      <c r="G586" s="44">
        <v>1</v>
      </c>
      <c r="H586" s="44">
        <v>1</v>
      </c>
      <c r="I586" s="44">
        <v>1</v>
      </c>
      <c r="J586" s="44">
        <v>1</v>
      </c>
      <c r="K586" s="16" t="s">
        <v>638</v>
      </c>
      <c r="L586" s="46" t="s">
        <v>346</v>
      </c>
      <c r="M586" s="17">
        <f t="shared" ref="M586:M607" si="336">IF(AND(ISNUMBER(B586),ISNUMBER(C586),B586&gt;0,C586&gt;0),A586*(B586*C586/1000000),0)</f>
        <v>1.218</v>
      </c>
      <c r="N586" s="18">
        <f t="shared" ref="N586:N607" si="337">IF(AND(ISNUMBER(B586),B586&gt;0),A586*(((G586+H586)*B586+(I586+J586)*C586)/1000),0)</f>
        <v>5.36</v>
      </c>
      <c r="O586" s="19">
        <f>IF(E586="HERRAJE",IFERROR(_xlfn.XLOOKUP(D586,'⚙️ Configuración Costos'!$A$11:$A$20,'⚙️ Configuración Costos'!$B$11:$B$20),""),IFERROR(_xlfn.XLOOKUP(E586,'⚙️ Configuración Costos'!$A$5:$A$6,'⚙️ Configuración Costos'!$B$5:$B$6),""))</f>
        <v>332.85245901639348</v>
      </c>
      <c r="P586" s="19">
        <f t="shared" ref="P586:P607" si="338">IF(E586="HERRAJE",A586*O586,M586*O586)</f>
        <v>405.41429508196723</v>
      </c>
      <c r="Q586" s="19">
        <f>IF(E586="HERRAJE",0,IFERROR(_xlfn.XLOOKUP(E586,'⚙️ Configuración Costos'!$E$5:$E$6,'⚙️ Configuración Costos'!$F$5:$F$6),""))</f>
        <v>9.5</v>
      </c>
      <c r="R586" s="19">
        <f t="shared" ref="R586:R607" si="339">N586*Q586</f>
        <v>50.92</v>
      </c>
      <c r="S586" s="37">
        <f t="shared" ref="S586:S607" si="340">P586+R586</f>
        <v>456.33429508196724</v>
      </c>
      <c r="T586" s="94" t="str">
        <f t="shared" ref="T586:T607" si="341">IF(K586="","SIN ID MÓDULO",IF(E586="HERRAJE",IF(OR(O586="",O586&lt;=0),"SIN PRECIO HERRAJE","OK"),IF(OR(O586="",O586&lt;=0),"SIN PRECIO MATERIAL",IF(AND(N586&gt;0,OR(Q586="",Q586&lt;=0)),"SIN PRECIO CINTILLA","OK"))))</f>
        <v>OK</v>
      </c>
      <c r="U586" s="95" t="str">
        <f t="shared" ref="U586:U607" si="342">IF(T586="OK","",IF(T586="SIN PRECIO HERRAJE","Capturar precio: "&amp;D586,IF(T586="SIN PRECIO MATERIAL","Configurar material: "&amp;E586,IF(T586="SIN PRECIO CINTILLA","Configurar cintilla: "&amp;E586,IF(T586="SIN ID MÓDULO","Revisar ID del módulo","")))))</f>
        <v/>
      </c>
      <c r="V586" s="96">
        <f t="shared" ref="V586:V607" si="343">IF(T586="OK",0,IF(T586="",0,1))</f>
        <v>0</v>
      </c>
    </row>
    <row r="587" spans="1:22" x14ac:dyDescent="0.2">
      <c r="A587" s="35">
        <v>1</v>
      </c>
      <c r="B587" s="6">
        <v>2100</v>
      </c>
      <c r="C587" s="6">
        <v>580</v>
      </c>
      <c r="D587" s="43" t="s">
        <v>66</v>
      </c>
      <c r="E587" s="43" t="s">
        <v>85</v>
      </c>
      <c r="F587" s="44">
        <v>1</v>
      </c>
      <c r="G587" s="44">
        <v>1</v>
      </c>
      <c r="H587" s="44">
        <v>1</v>
      </c>
      <c r="I587" s="44">
        <v>1</v>
      </c>
      <c r="J587" s="44">
        <v>1</v>
      </c>
      <c r="K587" s="16" t="s">
        <v>638</v>
      </c>
      <c r="L587" s="46" t="s">
        <v>348</v>
      </c>
      <c r="M587" s="17">
        <f t="shared" si="336"/>
        <v>1.218</v>
      </c>
      <c r="N587" s="18">
        <f t="shared" si="337"/>
        <v>5.36</v>
      </c>
      <c r="O587" s="19">
        <f>IF(E587="HERRAJE",IFERROR(_xlfn.XLOOKUP(D587,'⚙️ Configuración Costos'!$A$11:$A$20,'⚙️ Configuración Costos'!$B$11:$B$20),""),IFERROR(_xlfn.XLOOKUP(E587,'⚙️ Configuración Costos'!$A$5:$A$6,'⚙️ Configuración Costos'!$B$5:$B$6),""))</f>
        <v>332.85245901639348</v>
      </c>
      <c r="P587" s="19">
        <f t="shared" si="338"/>
        <v>405.41429508196723</v>
      </c>
      <c r="Q587" s="19">
        <f>IF(E587="HERRAJE",0,IFERROR(_xlfn.XLOOKUP(E587,'⚙️ Configuración Costos'!$E$5:$E$6,'⚙️ Configuración Costos'!$F$5:$F$6),""))</f>
        <v>9.5</v>
      </c>
      <c r="R587" s="19">
        <f t="shared" si="339"/>
        <v>50.92</v>
      </c>
      <c r="S587" s="37">
        <f t="shared" si="340"/>
        <v>456.33429508196724</v>
      </c>
      <c r="T587" s="94" t="str">
        <f t="shared" si="341"/>
        <v>OK</v>
      </c>
      <c r="U587" s="95" t="str">
        <f t="shared" si="342"/>
        <v/>
      </c>
      <c r="V587" s="96">
        <f t="shared" si="343"/>
        <v>0</v>
      </c>
    </row>
    <row r="588" spans="1:22" x14ac:dyDescent="0.2">
      <c r="A588" s="35">
        <v>1</v>
      </c>
      <c r="B588" s="6">
        <v>689</v>
      </c>
      <c r="C588" s="6">
        <v>669</v>
      </c>
      <c r="D588" s="43" t="s">
        <v>298</v>
      </c>
      <c r="E588" s="43" t="s">
        <v>85</v>
      </c>
      <c r="F588" s="44">
        <v>1</v>
      </c>
      <c r="G588" s="44">
        <v>0</v>
      </c>
      <c r="H588" s="44">
        <v>0</v>
      </c>
      <c r="I588" s="44">
        <v>0</v>
      </c>
      <c r="J588" s="44">
        <v>0</v>
      </c>
      <c r="K588" s="16" t="s">
        <v>638</v>
      </c>
      <c r="L588" s="46" t="s">
        <v>333</v>
      </c>
      <c r="M588" s="17">
        <f t="shared" si="336"/>
        <v>0.46094099999999999</v>
      </c>
      <c r="N588" s="18">
        <f t="shared" si="337"/>
        <v>0</v>
      </c>
      <c r="O588" s="19">
        <f>IF(E588="HERRAJE",IFERROR(_xlfn.XLOOKUP(D588,'⚙️ Configuración Costos'!$A$11:$A$20,'⚙️ Configuración Costos'!$B$11:$B$20),""),IFERROR(_xlfn.XLOOKUP(E588,'⚙️ Configuración Costos'!$A$5:$A$6,'⚙️ Configuración Costos'!$B$5:$B$6),""))</f>
        <v>332.85245901639348</v>
      </c>
      <c r="P588" s="19">
        <f t="shared" si="338"/>
        <v>153.42534531147541</v>
      </c>
      <c r="Q588" s="19">
        <f>IF(E588="HERRAJE",0,IFERROR(_xlfn.XLOOKUP(E588,'⚙️ Configuración Costos'!$E$5:$E$6,'⚙️ Configuración Costos'!$F$5:$F$6),""))</f>
        <v>9.5</v>
      </c>
      <c r="R588" s="19">
        <f t="shared" si="339"/>
        <v>0</v>
      </c>
      <c r="S588" s="37">
        <f t="shared" si="340"/>
        <v>153.42534531147541</v>
      </c>
      <c r="T588" s="94" t="str">
        <f t="shared" si="341"/>
        <v>OK</v>
      </c>
      <c r="U588" s="95" t="str">
        <f t="shared" si="342"/>
        <v/>
      </c>
      <c r="V588" s="96">
        <f t="shared" si="343"/>
        <v>0</v>
      </c>
    </row>
    <row r="589" spans="1:22" x14ac:dyDescent="0.2">
      <c r="A589" s="35">
        <v>1</v>
      </c>
      <c r="B589" s="6">
        <v>669</v>
      </c>
      <c r="C589" s="6">
        <v>580</v>
      </c>
      <c r="D589" s="43" t="s">
        <v>300</v>
      </c>
      <c r="E589" s="43" t="s">
        <v>85</v>
      </c>
      <c r="F589" s="44">
        <v>1</v>
      </c>
      <c r="G589" s="44">
        <v>1</v>
      </c>
      <c r="H589" s="44">
        <v>1</v>
      </c>
      <c r="I589" s="44">
        <v>0</v>
      </c>
      <c r="J589" s="44">
        <v>0</v>
      </c>
      <c r="K589" s="16" t="s">
        <v>638</v>
      </c>
      <c r="L589" s="46" t="s">
        <v>380</v>
      </c>
      <c r="M589" s="17">
        <f t="shared" si="336"/>
        <v>0.38801999999999998</v>
      </c>
      <c r="N589" s="18">
        <f t="shared" si="337"/>
        <v>1.3380000000000001</v>
      </c>
      <c r="O589" s="19">
        <f>IF(E589="HERRAJE",IFERROR(_xlfn.XLOOKUP(D589,'⚙️ Configuración Costos'!$A$11:$A$20,'⚙️ Configuración Costos'!$B$11:$B$20),""),IFERROR(_xlfn.XLOOKUP(E589,'⚙️ Configuración Costos'!$A$5:$A$6,'⚙️ Configuración Costos'!$B$5:$B$6),""))</f>
        <v>332.85245901639348</v>
      </c>
      <c r="P589" s="19">
        <f t="shared" si="338"/>
        <v>129.15341114754099</v>
      </c>
      <c r="Q589" s="19">
        <f>IF(E589="HERRAJE",0,IFERROR(_xlfn.XLOOKUP(E589,'⚙️ Configuración Costos'!$E$5:$E$6,'⚙️ Configuración Costos'!$F$5:$F$6),""))</f>
        <v>9.5</v>
      </c>
      <c r="R589" s="19">
        <f t="shared" si="339"/>
        <v>12.711</v>
      </c>
      <c r="S589" s="37">
        <f t="shared" si="340"/>
        <v>141.86441114754101</v>
      </c>
      <c r="T589" s="94" t="str">
        <f t="shared" si="341"/>
        <v>OK</v>
      </c>
      <c r="U589" s="95" t="str">
        <f t="shared" si="342"/>
        <v/>
      </c>
      <c r="V589" s="96">
        <f t="shared" si="343"/>
        <v>0</v>
      </c>
    </row>
    <row r="590" spans="1:22" x14ac:dyDescent="0.2">
      <c r="A590" s="35">
        <v>1</v>
      </c>
      <c r="B590" s="6">
        <v>669</v>
      </c>
      <c r="C590" s="6">
        <v>580</v>
      </c>
      <c r="D590" s="43" t="s">
        <v>300</v>
      </c>
      <c r="E590" s="43" t="s">
        <v>85</v>
      </c>
      <c r="F590" s="44">
        <v>1</v>
      </c>
      <c r="G590" s="44">
        <v>1</v>
      </c>
      <c r="H590" s="44">
        <v>1</v>
      </c>
      <c r="I590" s="44">
        <v>0</v>
      </c>
      <c r="J590" s="44">
        <v>0</v>
      </c>
      <c r="K590" s="16" t="s">
        <v>638</v>
      </c>
      <c r="L590" s="46" t="s">
        <v>380</v>
      </c>
      <c r="M590" s="17">
        <f t="shared" si="336"/>
        <v>0.38801999999999998</v>
      </c>
      <c r="N590" s="18">
        <f t="shared" si="337"/>
        <v>1.3380000000000001</v>
      </c>
      <c r="O590" s="19">
        <f>IF(E590="HERRAJE",IFERROR(_xlfn.XLOOKUP(D590,'⚙️ Configuración Costos'!$A$11:$A$20,'⚙️ Configuración Costos'!$B$11:$B$20),""),IFERROR(_xlfn.XLOOKUP(E590,'⚙️ Configuración Costos'!$A$5:$A$6,'⚙️ Configuración Costos'!$B$5:$B$6),""))</f>
        <v>332.85245901639348</v>
      </c>
      <c r="P590" s="19">
        <f t="shared" si="338"/>
        <v>129.15341114754099</v>
      </c>
      <c r="Q590" s="19">
        <f>IF(E590="HERRAJE",0,IFERROR(_xlfn.XLOOKUP(E590,'⚙️ Configuración Costos'!$E$5:$E$6,'⚙️ Configuración Costos'!$F$5:$F$6),""))</f>
        <v>9.5</v>
      </c>
      <c r="R590" s="19">
        <f t="shared" si="339"/>
        <v>12.711</v>
      </c>
      <c r="S590" s="37">
        <f t="shared" si="340"/>
        <v>141.86441114754101</v>
      </c>
      <c r="T590" s="94" t="str">
        <f t="shared" si="341"/>
        <v>OK</v>
      </c>
      <c r="U590" s="95" t="str">
        <f t="shared" si="342"/>
        <v/>
      </c>
      <c r="V590" s="96">
        <f t="shared" si="343"/>
        <v>0</v>
      </c>
    </row>
    <row r="591" spans="1:22" x14ac:dyDescent="0.2">
      <c r="A591" s="35">
        <v>1</v>
      </c>
      <c r="B591" s="6">
        <v>669</v>
      </c>
      <c r="C591" s="6">
        <v>490</v>
      </c>
      <c r="D591" s="43" t="s">
        <v>488</v>
      </c>
      <c r="E591" s="43" t="s">
        <v>85</v>
      </c>
      <c r="F591" s="44">
        <v>1</v>
      </c>
      <c r="G591" s="44">
        <v>1</v>
      </c>
      <c r="H591" s="44">
        <v>1</v>
      </c>
      <c r="I591" s="44">
        <v>0</v>
      </c>
      <c r="J591" s="44">
        <v>0</v>
      </c>
      <c r="K591" s="16" t="s">
        <v>638</v>
      </c>
      <c r="L591" s="46" t="s">
        <v>381</v>
      </c>
      <c r="M591" s="17">
        <f t="shared" si="336"/>
        <v>0.32780999999999999</v>
      </c>
      <c r="N591" s="18">
        <f t="shared" si="337"/>
        <v>1.3380000000000001</v>
      </c>
      <c r="O591" s="19">
        <f>IF(E591="HERRAJE",IFERROR(_xlfn.XLOOKUP(D591,'⚙️ Configuración Costos'!$A$11:$A$20,'⚙️ Configuración Costos'!$B$11:$B$20),""),IFERROR(_xlfn.XLOOKUP(E591,'⚙️ Configuración Costos'!$A$5:$A$6,'⚙️ Configuración Costos'!$B$5:$B$6),""))</f>
        <v>332.85245901639348</v>
      </c>
      <c r="P591" s="19">
        <f t="shared" si="338"/>
        <v>109.11236459016395</v>
      </c>
      <c r="Q591" s="19">
        <f>IF(E591="HERRAJE",0,IFERROR(_xlfn.XLOOKUP(E591,'⚙️ Configuración Costos'!$E$5:$E$6,'⚙️ Configuración Costos'!$F$5:$F$6),""))</f>
        <v>9.5</v>
      </c>
      <c r="R591" s="19">
        <f t="shared" si="339"/>
        <v>12.711</v>
      </c>
      <c r="S591" s="37">
        <f t="shared" si="340"/>
        <v>121.82336459016395</v>
      </c>
      <c r="T591" s="94" t="str">
        <f t="shared" si="341"/>
        <v>OK</v>
      </c>
      <c r="U591" s="95" t="str">
        <f t="shared" si="342"/>
        <v/>
      </c>
      <c r="V591" s="96">
        <f t="shared" si="343"/>
        <v>0</v>
      </c>
    </row>
    <row r="592" spans="1:22" x14ac:dyDescent="0.2">
      <c r="A592" s="35">
        <v>1</v>
      </c>
      <c r="B592" s="6">
        <v>669</v>
      </c>
      <c r="C592" s="6">
        <v>580</v>
      </c>
      <c r="D592" s="43" t="s">
        <v>302</v>
      </c>
      <c r="E592" s="43" t="s">
        <v>85</v>
      </c>
      <c r="F592" s="44">
        <v>1</v>
      </c>
      <c r="G592" s="44">
        <v>1</v>
      </c>
      <c r="H592" s="44">
        <v>1</v>
      </c>
      <c r="I592" s="44">
        <v>0</v>
      </c>
      <c r="J592" s="44">
        <v>0</v>
      </c>
      <c r="K592" s="16" t="s">
        <v>638</v>
      </c>
      <c r="L592" s="46" t="s">
        <v>382</v>
      </c>
      <c r="M592" s="17">
        <f t="shared" si="336"/>
        <v>0.38801999999999998</v>
      </c>
      <c r="N592" s="18">
        <f t="shared" si="337"/>
        <v>1.3380000000000001</v>
      </c>
      <c r="O592" s="19">
        <f>IF(E592="HERRAJE",IFERROR(_xlfn.XLOOKUP(D592,'⚙️ Configuración Costos'!$A$11:$A$20,'⚙️ Configuración Costos'!$B$11:$B$20),""),IFERROR(_xlfn.XLOOKUP(E592,'⚙️ Configuración Costos'!$A$5:$A$6,'⚙️ Configuración Costos'!$B$5:$B$6),""))</f>
        <v>332.85245901639348</v>
      </c>
      <c r="P592" s="19">
        <f t="shared" si="338"/>
        <v>129.15341114754099</v>
      </c>
      <c r="Q592" s="19">
        <f>IF(E592="HERRAJE",0,IFERROR(_xlfn.XLOOKUP(E592,'⚙️ Configuración Costos'!$E$5:$E$6,'⚙️ Configuración Costos'!$F$5:$F$6),""))</f>
        <v>9.5</v>
      </c>
      <c r="R592" s="19">
        <f t="shared" si="339"/>
        <v>12.711</v>
      </c>
      <c r="S592" s="37">
        <f t="shared" si="340"/>
        <v>141.86441114754101</v>
      </c>
      <c r="T592" s="94" t="str">
        <f t="shared" si="341"/>
        <v>OK</v>
      </c>
      <c r="U592" s="95" t="str">
        <f t="shared" si="342"/>
        <v/>
      </c>
      <c r="V592" s="96">
        <f t="shared" si="343"/>
        <v>0</v>
      </c>
    </row>
    <row r="593" spans="1:22" x14ac:dyDescent="0.2">
      <c r="A593" s="35">
        <v>1</v>
      </c>
      <c r="B593" s="6">
        <v>669</v>
      </c>
      <c r="C593" s="6">
        <v>580</v>
      </c>
      <c r="D593" s="43" t="s">
        <v>302</v>
      </c>
      <c r="E593" s="43" t="s">
        <v>85</v>
      </c>
      <c r="F593" s="44">
        <v>1</v>
      </c>
      <c r="G593" s="44">
        <v>1</v>
      </c>
      <c r="H593" s="44">
        <v>1</v>
      </c>
      <c r="I593" s="44">
        <v>0</v>
      </c>
      <c r="J593" s="44">
        <v>0</v>
      </c>
      <c r="K593" s="16" t="s">
        <v>638</v>
      </c>
      <c r="L593" s="46" t="s">
        <v>382</v>
      </c>
      <c r="M593" s="17">
        <f t="shared" si="336"/>
        <v>0.38801999999999998</v>
      </c>
      <c r="N593" s="18">
        <f t="shared" si="337"/>
        <v>1.3380000000000001</v>
      </c>
      <c r="O593" s="19">
        <f>IF(E593="HERRAJE",IFERROR(_xlfn.XLOOKUP(D593,'⚙️ Configuración Costos'!$A$11:$A$20,'⚙️ Configuración Costos'!$B$11:$B$20),""),IFERROR(_xlfn.XLOOKUP(E593,'⚙️ Configuración Costos'!$A$5:$A$6,'⚙️ Configuración Costos'!$B$5:$B$6),""))</f>
        <v>332.85245901639348</v>
      </c>
      <c r="P593" s="19">
        <f t="shared" si="338"/>
        <v>129.15341114754099</v>
      </c>
      <c r="Q593" s="19">
        <f>IF(E593="HERRAJE",0,IFERROR(_xlfn.XLOOKUP(E593,'⚙️ Configuración Costos'!$E$5:$E$6,'⚙️ Configuración Costos'!$F$5:$F$6),""))</f>
        <v>9.5</v>
      </c>
      <c r="R593" s="19">
        <f t="shared" si="339"/>
        <v>12.711</v>
      </c>
      <c r="S593" s="37">
        <f t="shared" si="340"/>
        <v>141.86441114754101</v>
      </c>
      <c r="T593" s="94" t="str">
        <f t="shared" si="341"/>
        <v>OK</v>
      </c>
      <c r="U593" s="95" t="str">
        <f t="shared" si="342"/>
        <v/>
      </c>
      <c r="V593" s="96">
        <f t="shared" si="343"/>
        <v>0</v>
      </c>
    </row>
    <row r="594" spans="1:22" x14ac:dyDescent="0.2">
      <c r="A594" s="35">
        <v>1</v>
      </c>
      <c r="B594" s="6">
        <v>669</v>
      </c>
      <c r="C594" s="6">
        <v>539</v>
      </c>
      <c r="D594" s="43" t="s">
        <v>491</v>
      </c>
      <c r="E594" s="43" t="s">
        <v>85</v>
      </c>
      <c r="F594" s="44">
        <v>1</v>
      </c>
      <c r="G594" s="44">
        <v>0</v>
      </c>
      <c r="H594" s="44">
        <v>0</v>
      </c>
      <c r="I594" s="44">
        <v>0</v>
      </c>
      <c r="J594" s="44">
        <v>0</v>
      </c>
      <c r="K594" s="16" t="s">
        <v>638</v>
      </c>
      <c r="L594" s="46" t="s">
        <v>337</v>
      </c>
      <c r="M594" s="17">
        <f t="shared" si="336"/>
        <v>0.36059099999999999</v>
      </c>
      <c r="N594" s="18">
        <f t="shared" si="337"/>
        <v>0</v>
      </c>
      <c r="O594" s="19">
        <f>IF(E594="HERRAJE",IFERROR(_xlfn.XLOOKUP(D594,'⚙️ Configuración Costos'!$A$11:$A$20,'⚙️ Configuración Costos'!$B$11:$B$20),""),IFERROR(_xlfn.XLOOKUP(E594,'⚙️ Configuración Costos'!$A$5:$A$6,'⚙️ Configuración Costos'!$B$5:$B$6),""))</f>
        <v>332.85245901639348</v>
      </c>
      <c r="P594" s="19">
        <f t="shared" si="338"/>
        <v>120.02360104918034</v>
      </c>
      <c r="Q594" s="19">
        <f>IF(E594="HERRAJE",0,IFERROR(_xlfn.XLOOKUP(E594,'⚙️ Configuración Costos'!$E$5:$E$6,'⚙️ Configuración Costos'!$F$5:$F$6),""))</f>
        <v>9.5</v>
      </c>
      <c r="R594" s="19">
        <f t="shared" si="339"/>
        <v>0</v>
      </c>
      <c r="S594" s="37">
        <f t="shared" si="340"/>
        <v>120.02360104918034</v>
      </c>
      <c r="T594" s="94" t="str">
        <f t="shared" si="341"/>
        <v>OK</v>
      </c>
      <c r="U594" s="95" t="str">
        <f t="shared" si="342"/>
        <v/>
      </c>
      <c r="V594" s="96">
        <f t="shared" si="343"/>
        <v>0</v>
      </c>
    </row>
    <row r="595" spans="1:22" x14ac:dyDescent="0.2">
      <c r="A595" s="35">
        <v>1</v>
      </c>
      <c r="B595" s="6">
        <v>669</v>
      </c>
      <c r="C595" s="6">
        <v>490</v>
      </c>
      <c r="D595" s="43" t="s">
        <v>488</v>
      </c>
      <c r="E595" s="43" t="s">
        <v>85</v>
      </c>
      <c r="F595" s="44">
        <v>1</v>
      </c>
      <c r="G595" s="44">
        <v>1</v>
      </c>
      <c r="H595" s="44">
        <v>0</v>
      </c>
      <c r="I595" s="44">
        <v>0</v>
      </c>
      <c r="J595" s="44">
        <v>0</v>
      </c>
      <c r="K595" s="16" t="s">
        <v>638</v>
      </c>
      <c r="L595" s="46" t="s">
        <v>338</v>
      </c>
      <c r="M595" s="17">
        <f t="shared" si="336"/>
        <v>0.32780999999999999</v>
      </c>
      <c r="N595" s="18">
        <f t="shared" si="337"/>
        <v>0.66900000000000004</v>
      </c>
      <c r="O595" s="19">
        <f>IF(E595="HERRAJE",IFERROR(_xlfn.XLOOKUP(D595,'⚙️ Configuración Costos'!$A$11:$A$20,'⚙️ Configuración Costos'!$B$11:$B$20),""),IFERROR(_xlfn.XLOOKUP(E595,'⚙️ Configuración Costos'!$A$5:$A$6,'⚙️ Configuración Costos'!$B$5:$B$6),""))</f>
        <v>332.85245901639348</v>
      </c>
      <c r="P595" s="19">
        <f t="shared" si="338"/>
        <v>109.11236459016395</v>
      </c>
      <c r="Q595" s="19">
        <f>IF(E595="HERRAJE",0,IFERROR(_xlfn.XLOOKUP(E595,'⚙️ Configuración Costos'!$E$5:$E$6,'⚙️ Configuración Costos'!$F$5:$F$6),""))</f>
        <v>9.5</v>
      </c>
      <c r="R595" s="19">
        <f t="shared" si="339"/>
        <v>6.3555000000000001</v>
      </c>
      <c r="S595" s="37">
        <f t="shared" si="340"/>
        <v>115.46786459016396</v>
      </c>
      <c r="T595" s="94" t="str">
        <f t="shared" si="341"/>
        <v>OK</v>
      </c>
      <c r="U595" s="95" t="str">
        <f t="shared" si="342"/>
        <v/>
      </c>
      <c r="V595" s="96">
        <f t="shared" si="343"/>
        <v>0</v>
      </c>
    </row>
    <row r="596" spans="1:22" x14ac:dyDescent="0.2">
      <c r="A596" s="35">
        <v>1</v>
      </c>
      <c r="B596" s="6">
        <v>669</v>
      </c>
      <c r="C596" s="6">
        <v>120</v>
      </c>
      <c r="D596" s="43" t="s">
        <v>492</v>
      </c>
      <c r="E596" s="43" t="s">
        <v>85</v>
      </c>
      <c r="F596" s="44">
        <v>1</v>
      </c>
      <c r="G596" s="44">
        <v>0</v>
      </c>
      <c r="H596" s="44">
        <v>1</v>
      </c>
      <c r="I596" s="44">
        <v>0</v>
      </c>
      <c r="J596" s="44">
        <v>0</v>
      </c>
      <c r="K596" s="16" t="s">
        <v>638</v>
      </c>
      <c r="L596" s="46" t="s">
        <v>340</v>
      </c>
      <c r="M596" s="17">
        <f t="shared" si="336"/>
        <v>8.0280000000000004E-2</v>
      </c>
      <c r="N596" s="18">
        <f t="shared" si="337"/>
        <v>0.66900000000000004</v>
      </c>
      <c r="O596" s="19">
        <f>IF(E596="HERRAJE",IFERROR(_xlfn.XLOOKUP(D596,'⚙️ Configuración Costos'!$A$11:$A$20,'⚙️ Configuración Costos'!$B$11:$B$20),""),IFERROR(_xlfn.XLOOKUP(E596,'⚙️ Configuración Costos'!$A$5:$A$6,'⚙️ Configuración Costos'!$B$5:$B$6),""))</f>
        <v>332.85245901639348</v>
      </c>
      <c r="P596" s="19">
        <f t="shared" si="338"/>
        <v>26.72139540983607</v>
      </c>
      <c r="Q596" s="19">
        <f>IF(E596="HERRAJE",0,IFERROR(_xlfn.XLOOKUP(E596,'⚙️ Configuración Costos'!$E$5:$E$6,'⚙️ Configuración Costos'!$F$5:$F$6),""))</f>
        <v>9.5</v>
      </c>
      <c r="R596" s="19">
        <f t="shared" si="339"/>
        <v>6.3555000000000001</v>
      </c>
      <c r="S596" s="37">
        <f t="shared" si="340"/>
        <v>33.076895409836069</v>
      </c>
      <c r="T596" s="94" t="str">
        <f t="shared" si="341"/>
        <v>OK</v>
      </c>
      <c r="U596" s="95" t="str">
        <f t="shared" si="342"/>
        <v/>
      </c>
      <c r="V596" s="96">
        <f t="shared" si="343"/>
        <v>0</v>
      </c>
    </row>
    <row r="597" spans="1:22" x14ac:dyDescent="0.2">
      <c r="A597" s="35">
        <v>3</v>
      </c>
      <c r="B597" s="6">
        <v>612</v>
      </c>
      <c r="C597" s="6">
        <v>469</v>
      </c>
      <c r="D597" s="7" t="s">
        <v>485</v>
      </c>
      <c r="E597" s="7" t="s">
        <v>85</v>
      </c>
      <c r="F597" s="8">
        <v>1</v>
      </c>
      <c r="G597" s="8">
        <v>0</v>
      </c>
      <c r="H597" s="8">
        <v>0</v>
      </c>
      <c r="I597" s="8">
        <v>0</v>
      </c>
      <c r="J597" s="8">
        <v>0</v>
      </c>
      <c r="K597" s="23" t="s">
        <v>638</v>
      </c>
      <c r="L597" s="47" t="s">
        <v>269</v>
      </c>
      <c r="M597" s="17">
        <f t="shared" si="336"/>
        <v>0.86108399999999996</v>
      </c>
      <c r="N597" s="18">
        <f t="shared" si="337"/>
        <v>0</v>
      </c>
      <c r="O597" s="19">
        <f>IF(E597="HERRAJE",IFERROR(_xlfn.XLOOKUP(D597,'⚙️ Configuración Costos'!$A$11:$A$20,'⚙️ Configuración Costos'!$B$11:$B$20),""),IFERROR(_xlfn.XLOOKUP(E597,'⚙️ Configuración Costos'!$A$5:$A$6,'⚙️ Configuración Costos'!$B$5:$B$6),""))</f>
        <v>332.85245901639348</v>
      </c>
      <c r="P597" s="19">
        <f t="shared" si="338"/>
        <v>286.61392681967214</v>
      </c>
      <c r="Q597" s="19">
        <f>IF(E597="HERRAJE",0,IFERROR(_xlfn.XLOOKUP(E597,'⚙️ Configuración Costos'!$E$5:$E$6,'⚙️ Configuración Costos'!$F$5:$F$6),""))</f>
        <v>9.5</v>
      </c>
      <c r="R597" s="19">
        <f t="shared" si="339"/>
        <v>0</v>
      </c>
      <c r="S597" s="37">
        <f t="shared" si="340"/>
        <v>286.61392681967214</v>
      </c>
      <c r="T597" s="94" t="str">
        <f t="shared" si="341"/>
        <v>OK</v>
      </c>
      <c r="U597" s="95" t="str">
        <f t="shared" si="342"/>
        <v/>
      </c>
      <c r="V597" s="96">
        <f t="shared" si="343"/>
        <v>0</v>
      </c>
    </row>
    <row r="598" spans="1:22" x14ac:dyDescent="0.2">
      <c r="A598" s="35">
        <v>2</v>
      </c>
      <c r="B598" s="6">
        <v>612</v>
      </c>
      <c r="C598" s="6">
        <v>230</v>
      </c>
      <c r="D598" s="7" t="s">
        <v>486</v>
      </c>
      <c r="E598" s="7" t="s">
        <v>85</v>
      </c>
      <c r="F598" s="8">
        <v>1</v>
      </c>
      <c r="G598" s="8">
        <v>1</v>
      </c>
      <c r="H598" s="8">
        <v>1</v>
      </c>
      <c r="I598" s="8">
        <v>0</v>
      </c>
      <c r="J598" s="8">
        <v>0</v>
      </c>
      <c r="K598" s="23" t="s">
        <v>638</v>
      </c>
      <c r="L598" s="47" t="s">
        <v>270</v>
      </c>
      <c r="M598" s="17">
        <f t="shared" si="336"/>
        <v>0.28151999999999999</v>
      </c>
      <c r="N598" s="18">
        <f t="shared" si="337"/>
        <v>2.448</v>
      </c>
      <c r="O598" s="19">
        <f>IF(E598="HERRAJE",IFERROR(_xlfn.XLOOKUP(D598,'⚙️ Configuración Costos'!$A$11:$A$20,'⚙️ Configuración Costos'!$B$11:$B$20),""),IFERROR(_xlfn.XLOOKUP(E598,'⚙️ Configuración Costos'!$A$5:$A$6,'⚙️ Configuración Costos'!$B$5:$B$6),""))</f>
        <v>332.85245901639348</v>
      </c>
      <c r="P598" s="19">
        <f t="shared" si="338"/>
        <v>93.704624262295084</v>
      </c>
      <c r="Q598" s="19">
        <f>IF(E598="HERRAJE",0,IFERROR(_xlfn.XLOOKUP(E598,'⚙️ Configuración Costos'!$E$5:$E$6,'⚙️ Configuración Costos'!$F$5:$F$6),""))</f>
        <v>9.5</v>
      </c>
      <c r="R598" s="19">
        <f t="shared" si="339"/>
        <v>23.256</v>
      </c>
      <c r="S598" s="37">
        <f t="shared" si="340"/>
        <v>116.96062426229508</v>
      </c>
      <c r="T598" s="94" t="str">
        <f t="shared" si="341"/>
        <v>OK</v>
      </c>
      <c r="U598" s="95" t="str">
        <f t="shared" si="342"/>
        <v/>
      </c>
      <c r="V598" s="96">
        <f t="shared" si="343"/>
        <v>0</v>
      </c>
    </row>
    <row r="599" spans="1:22" x14ac:dyDescent="0.2">
      <c r="A599" s="35">
        <v>4</v>
      </c>
      <c r="B599" s="6">
        <v>612</v>
      </c>
      <c r="C599" s="6">
        <v>100</v>
      </c>
      <c r="D599" s="7" t="s">
        <v>486</v>
      </c>
      <c r="E599" s="7" t="s">
        <v>85</v>
      </c>
      <c r="F599" s="8">
        <v>1</v>
      </c>
      <c r="G599" s="8">
        <v>1</v>
      </c>
      <c r="H599" s="8">
        <v>1</v>
      </c>
      <c r="I599" s="8">
        <v>0</v>
      </c>
      <c r="J599" s="8">
        <v>0</v>
      </c>
      <c r="K599" s="23" t="s">
        <v>638</v>
      </c>
      <c r="L599" s="47" t="s">
        <v>271</v>
      </c>
      <c r="M599" s="17">
        <f t="shared" si="336"/>
        <v>0.24479999999999999</v>
      </c>
      <c r="N599" s="18">
        <f t="shared" si="337"/>
        <v>4.8959999999999999</v>
      </c>
      <c r="O599" s="19">
        <f>IF(E599="HERRAJE",IFERROR(_xlfn.XLOOKUP(D599,'⚙️ Configuración Costos'!$A$11:$A$20,'⚙️ Configuración Costos'!$B$11:$B$20),""),IFERROR(_xlfn.XLOOKUP(E599,'⚙️ Configuración Costos'!$A$5:$A$6,'⚙️ Configuración Costos'!$B$5:$B$6),""))</f>
        <v>332.85245901639348</v>
      </c>
      <c r="P599" s="19">
        <f t="shared" si="338"/>
        <v>81.482281967213126</v>
      </c>
      <c r="Q599" s="19">
        <f>IF(E599="HERRAJE",0,IFERROR(_xlfn.XLOOKUP(E599,'⚙️ Configuración Costos'!$E$5:$E$6,'⚙️ Configuración Costos'!$F$5:$F$6),""))</f>
        <v>9.5</v>
      </c>
      <c r="R599" s="19">
        <f t="shared" si="339"/>
        <v>46.512</v>
      </c>
      <c r="S599" s="37">
        <f t="shared" si="340"/>
        <v>127.99428196721313</v>
      </c>
      <c r="T599" s="94" t="str">
        <f t="shared" si="341"/>
        <v>OK</v>
      </c>
      <c r="U599" s="95" t="str">
        <f t="shared" si="342"/>
        <v/>
      </c>
      <c r="V599" s="96">
        <f t="shared" si="343"/>
        <v>0</v>
      </c>
    </row>
    <row r="600" spans="1:22" x14ac:dyDescent="0.2">
      <c r="A600" s="35">
        <v>2</v>
      </c>
      <c r="B600" s="6">
        <v>500</v>
      </c>
      <c r="C600" s="6">
        <v>230</v>
      </c>
      <c r="D600" s="7" t="s">
        <v>484</v>
      </c>
      <c r="E600" s="7" t="s">
        <v>85</v>
      </c>
      <c r="F600" s="8">
        <v>1</v>
      </c>
      <c r="G600" s="8">
        <v>1</v>
      </c>
      <c r="H600" s="8">
        <v>1</v>
      </c>
      <c r="I600" s="8">
        <v>1</v>
      </c>
      <c r="J600" s="8">
        <v>1</v>
      </c>
      <c r="K600" s="23" t="s">
        <v>638</v>
      </c>
      <c r="L600" s="47" t="s">
        <v>243</v>
      </c>
      <c r="M600" s="17">
        <f t="shared" si="336"/>
        <v>0.23</v>
      </c>
      <c r="N600" s="18">
        <f t="shared" si="337"/>
        <v>2.92</v>
      </c>
      <c r="O600" s="19">
        <f>IF(E600="HERRAJE",IFERROR(_xlfn.XLOOKUP(D600,'⚙️ Configuración Costos'!$A$11:$A$20,'⚙️ Configuración Costos'!$B$11:$B$20),""),IFERROR(_xlfn.XLOOKUP(E600,'⚙️ Configuración Costos'!$A$5:$A$6,'⚙️ Configuración Costos'!$B$5:$B$6),""))</f>
        <v>332.85245901639348</v>
      </c>
      <c r="P600" s="19">
        <f t="shared" si="338"/>
        <v>76.55606557377051</v>
      </c>
      <c r="Q600" s="19">
        <f>IF(E600="HERRAJE",0,IFERROR(_xlfn.XLOOKUP(E600,'⚙️ Configuración Costos'!$E$5:$E$6,'⚙️ Configuración Costos'!$F$5:$F$6),""))</f>
        <v>9.5</v>
      </c>
      <c r="R600" s="19">
        <f t="shared" si="339"/>
        <v>27.74</v>
      </c>
      <c r="S600" s="37">
        <f t="shared" si="340"/>
        <v>104.29606557377051</v>
      </c>
      <c r="T600" s="94" t="str">
        <f t="shared" si="341"/>
        <v>OK</v>
      </c>
      <c r="U600" s="95" t="str">
        <f t="shared" si="342"/>
        <v/>
      </c>
      <c r="V600" s="96">
        <f t="shared" si="343"/>
        <v>0</v>
      </c>
    </row>
    <row r="601" spans="1:22" x14ac:dyDescent="0.2">
      <c r="A601" s="35">
        <v>4</v>
      </c>
      <c r="B601" s="6">
        <v>500</v>
      </c>
      <c r="C601" s="6">
        <v>100</v>
      </c>
      <c r="D601" s="7" t="s">
        <v>484</v>
      </c>
      <c r="E601" s="7" t="s">
        <v>85</v>
      </c>
      <c r="F601" s="8">
        <v>1</v>
      </c>
      <c r="G601" s="8">
        <v>1</v>
      </c>
      <c r="H601" s="8">
        <v>1</v>
      </c>
      <c r="I601" s="8">
        <v>1</v>
      </c>
      <c r="J601" s="8">
        <v>1</v>
      </c>
      <c r="K601" s="23" t="s">
        <v>638</v>
      </c>
      <c r="L601" s="47" t="s">
        <v>244</v>
      </c>
      <c r="M601" s="17">
        <f t="shared" si="336"/>
        <v>0.2</v>
      </c>
      <c r="N601" s="18">
        <f t="shared" si="337"/>
        <v>4.8</v>
      </c>
      <c r="O601" s="19">
        <f>IF(E601="HERRAJE",IFERROR(_xlfn.XLOOKUP(D601,'⚙️ Configuración Costos'!$A$11:$A$20,'⚙️ Configuración Costos'!$B$11:$B$20),""),IFERROR(_xlfn.XLOOKUP(E601,'⚙️ Configuración Costos'!$A$5:$A$6,'⚙️ Configuración Costos'!$B$5:$B$6),""))</f>
        <v>332.85245901639348</v>
      </c>
      <c r="P601" s="19">
        <f t="shared" si="338"/>
        <v>66.570491803278699</v>
      </c>
      <c r="Q601" s="19">
        <f>IF(E601="HERRAJE",0,IFERROR(_xlfn.XLOOKUP(E601,'⚙️ Configuración Costos'!$E$5:$E$6,'⚙️ Configuración Costos'!$F$5:$F$6),""))</f>
        <v>9.5</v>
      </c>
      <c r="R601" s="19">
        <f t="shared" si="339"/>
        <v>45.6</v>
      </c>
      <c r="S601" s="37">
        <f t="shared" si="340"/>
        <v>112.17049180327871</v>
      </c>
      <c r="T601" s="94" t="str">
        <f t="shared" si="341"/>
        <v>OK</v>
      </c>
      <c r="U601" s="95" t="str">
        <f t="shared" si="342"/>
        <v/>
      </c>
      <c r="V601" s="96">
        <f t="shared" si="343"/>
        <v>0</v>
      </c>
    </row>
    <row r="602" spans="1:22" x14ac:dyDescent="0.2">
      <c r="A602" s="35">
        <v>1</v>
      </c>
      <c r="B602" s="6">
        <v>566</v>
      </c>
      <c r="C602" s="6">
        <v>346</v>
      </c>
      <c r="D602" s="43" t="s">
        <v>469</v>
      </c>
      <c r="E602" s="43" t="s">
        <v>85</v>
      </c>
      <c r="F602" s="44">
        <v>1</v>
      </c>
      <c r="G602" s="44">
        <v>1</v>
      </c>
      <c r="H602" s="44">
        <v>1</v>
      </c>
      <c r="I602" s="44">
        <v>1</v>
      </c>
      <c r="J602" s="44">
        <v>1</v>
      </c>
      <c r="K602" s="16" t="s">
        <v>638</v>
      </c>
      <c r="L602" s="46" t="s">
        <v>343</v>
      </c>
      <c r="M602" s="17">
        <f>IF(AND(ISNUMBER(B602),ISNUMBER(C602),B602&gt;0,C602&gt;0),A602*(B602*C602/1000000),0)</f>
        <v>0.19583600000000001</v>
      </c>
      <c r="N602" s="18">
        <f>IF(AND(ISNUMBER(B602),B602&gt;0),A602*(((G602+H602)*B602+(I602+J602)*C602)/1000),0)</f>
        <v>1.8240000000000001</v>
      </c>
      <c r="O602" s="19">
        <f>IF(E602="HERRAJE",IFERROR(_xlfn.XLOOKUP(D602,'⚙️ Configuración Costos'!$A$11:$A$20,'⚙️ Configuración Costos'!$B$11:$B$20),""),IFERROR(_xlfn.XLOOKUP(E602,'⚙️ Configuración Costos'!$A$5:$A$6,'⚙️ Configuración Costos'!$B$5:$B$6),""))</f>
        <v>332.85245901639348</v>
      </c>
      <c r="P602" s="19">
        <f>IF(E602="HERRAJE",A602*O602,M602*O602)</f>
        <v>65.184494163934431</v>
      </c>
      <c r="Q602" s="19">
        <f>IF(E602="HERRAJE",0,IFERROR(_xlfn.XLOOKUP(E602,'⚙️ Configuración Costos'!$E$5:$E$6,'⚙️ Configuración Costos'!$F$5:$F$6),""))</f>
        <v>9.5</v>
      </c>
      <c r="R602" s="19">
        <f>N602*Q602</f>
        <v>17.327999999999999</v>
      </c>
      <c r="S602" s="37">
        <f>P602+R602</f>
        <v>82.512494163934434</v>
      </c>
      <c r="T602" s="94" t="str">
        <f>IF(K602="","SIN ID MÓDULO",IF(E602="HERRAJE",IF(OR(O602="",O602&lt;=0),"SIN PRECIO HERRAJE","OK"),IF(OR(O602="",O602&lt;=0),"SIN PRECIO MATERIAL",IF(AND(N602&gt;0,OR(Q602="",Q602&lt;=0)),"SIN PRECIO CINTILLA","OK"))))</f>
        <v>OK</v>
      </c>
      <c r="U602" s="95" t="str">
        <f>IF(T602="OK","",IF(T602="SIN PRECIO HERRAJE","Capturar precio: "&amp;D602,IF(T602="SIN PRECIO MATERIAL","Configurar material: "&amp;E602,IF(T602="SIN PRECIO CINTILLA","Configurar cintilla: "&amp;E602,IF(T602="SIN ID MÓDULO","Revisar ID del módulo","")))))</f>
        <v/>
      </c>
      <c r="V602" s="96">
        <f>IF(T602="OK",0,IF(T602="",0,1))</f>
        <v>0</v>
      </c>
    </row>
    <row r="603" spans="1:22" x14ac:dyDescent="0.2">
      <c r="A603" s="35">
        <v>1</v>
      </c>
      <c r="B603" s="6">
        <v>566</v>
      </c>
      <c r="C603" s="6">
        <v>346</v>
      </c>
      <c r="D603" s="43" t="s">
        <v>470</v>
      </c>
      <c r="E603" s="43" t="s">
        <v>85</v>
      </c>
      <c r="F603" s="44">
        <v>1</v>
      </c>
      <c r="G603" s="44">
        <v>1</v>
      </c>
      <c r="H603" s="44">
        <v>1</v>
      </c>
      <c r="I603" s="44">
        <v>1</v>
      </c>
      <c r="J603" s="44">
        <v>1</v>
      </c>
      <c r="K603" s="16" t="s">
        <v>638</v>
      </c>
      <c r="L603" s="46" t="s">
        <v>344</v>
      </c>
      <c r="M603" s="17">
        <f>IF(AND(ISNUMBER(B603),ISNUMBER(C603),B603&gt;0,C603&gt;0),A603*(B603*C603/1000000),0)</f>
        <v>0.19583600000000001</v>
      </c>
      <c r="N603" s="18">
        <f>IF(AND(ISNUMBER(B603),B603&gt;0),A603*(((G603+H603)*B603+(I603+J603)*C603)/1000),0)</f>
        <v>1.8240000000000001</v>
      </c>
      <c r="O603" s="19">
        <f>IF(E603="HERRAJE",IFERROR(_xlfn.XLOOKUP(D603,'⚙️ Configuración Costos'!$A$11:$A$20,'⚙️ Configuración Costos'!$B$11:$B$20),""),IFERROR(_xlfn.XLOOKUP(E603,'⚙️ Configuración Costos'!$A$5:$A$6,'⚙️ Configuración Costos'!$B$5:$B$6),""))</f>
        <v>332.85245901639348</v>
      </c>
      <c r="P603" s="19">
        <f>IF(E603="HERRAJE",A603*O603,M603*O603)</f>
        <v>65.184494163934431</v>
      </c>
      <c r="Q603" s="19">
        <f>IF(E603="HERRAJE",0,IFERROR(_xlfn.XLOOKUP(E603,'⚙️ Configuración Costos'!$E$5:$E$6,'⚙️ Configuración Costos'!$F$5:$F$6),""))</f>
        <v>9.5</v>
      </c>
      <c r="R603" s="19">
        <f>N603*Q603</f>
        <v>17.327999999999999</v>
      </c>
      <c r="S603" s="37">
        <f>P603+R603</f>
        <v>82.512494163934434</v>
      </c>
      <c r="T603" s="94" t="str">
        <f>IF(K603="","SIN ID MÓDULO",IF(E603="HERRAJE",IF(OR(O603="",O603&lt;=0),"SIN PRECIO HERRAJE","OK"),IF(OR(O603="",O603&lt;=0),"SIN PRECIO MATERIAL",IF(AND(N603&gt;0,OR(Q603="",Q603&lt;=0)),"SIN PRECIO CINTILLA","OK"))))</f>
        <v>OK</v>
      </c>
      <c r="U603" s="95" t="str">
        <f>IF(T603="OK","",IF(T603="SIN PRECIO HERRAJE","Capturar precio: "&amp;D603,IF(T603="SIN PRECIO MATERIAL","Configurar material: "&amp;E603,IF(T603="SIN PRECIO CINTILLA","Configurar cintilla: "&amp;E603,IF(T603="SIN ID MÓDULO","Revisar ID del módulo","")))))</f>
        <v/>
      </c>
      <c r="V603" s="96">
        <f>IF(T603="OK",0,IF(T603="",0,1))</f>
        <v>0</v>
      </c>
    </row>
    <row r="604" spans="1:22" x14ac:dyDescent="0.2">
      <c r="A604" s="35">
        <v>1</v>
      </c>
      <c r="B604" s="6">
        <v>696</v>
      </c>
      <c r="C604" s="6">
        <v>356</v>
      </c>
      <c r="D604" s="7" t="s">
        <v>250</v>
      </c>
      <c r="E604" s="7" t="s">
        <v>85</v>
      </c>
      <c r="F604" s="8">
        <v>1</v>
      </c>
      <c r="G604" s="8">
        <v>1</v>
      </c>
      <c r="H604" s="8">
        <v>1</v>
      </c>
      <c r="I604" s="8">
        <v>1</v>
      </c>
      <c r="J604" s="8">
        <v>1</v>
      </c>
      <c r="K604" s="23" t="s">
        <v>638</v>
      </c>
      <c r="L604" s="47" t="s">
        <v>272</v>
      </c>
      <c r="M604" s="17">
        <f t="shared" si="336"/>
        <v>0.247776</v>
      </c>
      <c r="N604" s="18">
        <f t="shared" si="337"/>
        <v>2.1040000000000001</v>
      </c>
      <c r="O604" s="19">
        <f>IF(E604="HERRAJE",IFERROR(_xlfn.XLOOKUP(D604,'⚙️ Configuración Costos'!$A$11:$A$20,'⚙️ Configuración Costos'!$B$11:$B$20),""),IFERROR(_xlfn.XLOOKUP(E604,'⚙️ Configuración Costos'!$A$5:$A$6,'⚙️ Configuración Costos'!$B$5:$B$6),""))</f>
        <v>332.85245901639348</v>
      </c>
      <c r="P604" s="19">
        <f t="shared" si="338"/>
        <v>82.472850885245904</v>
      </c>
      <c r="Q604" s="19">
        <f>IF(E604="HERRAJE",0,IFERROR(_xlfn.XLOOKUP(E604,'⚙️ Configuración Costos'!$E$5:$E$6,'⚙️ Configuración Costos'!$F$5:$F$6),""))</f>
        <v>9.5</v>
      </c>
      <c r="R604" s="19">
        <f t="shared" si="339"/>
        <v>19.988</v>
      </c>
      <c r="S604" s="37">
        <f t="shared" si="340"/>
        <v>102.4608508852459</v>
      </c>
      <c r="T604" s="94" t="str">
        <f t="shared" si="341"/>
        <v>OK</v>
      </c>
      <c r="U604" s="95" t="str">
        <f t="shared" si="342"/>
        <v/>
      </c>
      <c r="V604" s="96">
        <f t="shared" si="343"/>
        <v>0</v>
      </c>
    </row>
    <row r="605" spans="1:22" x14ac:dyDescent="0.2">
      <c r="A605" s="35">
        <v>1</v>
      </c>
      <c r="B605" s="6">
        <v>696</v>
      </c>
      <c r="C605" s="6">
        <v>176</v>
      </c>
      <c r="D605" s="7" t="s">
        <v>252</v>
      </c>
      <c r="E605" s="7" t="s">
        <v>85</v>
      </c>
      <c r="F605" s="8">
        <v>1</v>
      </c>
      <c r="G605" s="8">
        <v>1</v>
      </c>
      <c r="H605" s="8">
        <v>1</v>
      </c>
      <c r="I605" s="8">
        <v>1</v>
      </c>
      <c r="J605" s="8">
        <v>1</v>
      </c>
      <c r="K605" s="23" t="s">
        <v>638</v>
      </c>
      <c r="L605" s="47" t="s">
        <v>273</v>
      </c>
      <c r="M605" s="17">
        <f t="shared" si="336"/>
        <v>0.12249599999999999</v>
      </c>
      <c r="N605" s="18">
        <f t="shared" si="337"/>
        <v>1.744</v>
      </c>
      <c r="O605" s="19">
        <f>IF(E605="HERRAJE",IFERROR(_xlfn.XLOOKUP(D605,'⚙️ Configuración Costos'!$A$11:$A$20,'⚙️ Configuración Costos'!$B$11:$B$20),""),IFERROR(_xlfn.XLOOKUP(E605,'⚙️ Configuración Costos'!$A$5:$A$6,'⚙️ Configuración Costos'!$B$5:$B$6),""))</f>
        <v>332.85245901639348</v>
      </c>
      <c r="P605" s="19">
        <f t="shared" si="338"/>
        <v>40.773094819672131</v>
      </c>
      <c r="Q605" s="19">
        <f>IF(E605="HERRAJE",0,IFERROR(_xlfn.XLOOKUP(E605,'⚙️ Configuración Costos'!$E$5:$E$6,'⚙️ Configuración Costos'!$F$5:$F$6),""))</f>
        <v>9.5</v>
      </c>
      <c r="R605" s="19">
        <f t="shared" si="339"/>
        <v>16.568000000000001</v>
      </c>
      <c r="S605" s="37">
        <f t="shared" si="340"/>
        <v>57.341094819672136</v>
      </c>
      <c r="T605" s="94" t="str">
        <f t="shared" si="341"/>
        <v>OK</v>
      </c>
      <c r="U605" s="95" t="str">
        <f t="shared" si="342"/>
        <v/>
      </c>
      <c r="V605" s="96">
        <f t="shared" si="343"/>
        <v>0</v>
      </c>
    </row>
    <row r="606" spans="1:22" x14ac:dyDescent="0.2">
      <c r="A606" s="35">
        <v>1</v>
      </c>
      <c r="B606" s="6">
        <v>696</v>
      </c>
      <c r="C606" s="6">
        <v>176</v>
      </c>
      <c r="D606" s="7" t="s">
        <v>254</v>
      </c>
      <c r="E606" s="7" t="s">
        <v>85</v>
      </c>
      <c r="F606" s="8">
        <v>1</v>
      </c>
      <c r="G606" s="8">
        <v>1</v>
      </c>
      <c r="H606" s="8">
        <v>1</v>
      </c>
      <c r="I606" s="8">
        <v>1</v>
      </c>
      <c r="J606" s="8">
        <v>1</v>
      </c>
      <c r="K606" s="23" t="s">
        <v>638</v>
      </c>
      <c r="L606" s="47" t="s">
        <v>274</v>
      </c>
      <c r="M606" s="17">
        <f t="shared" si="336"/>
        <v>0.12249599999999999</v>
      </c>
      <c r="N606" s="18">
        <f t="shared" si="337"/>
        <v>1.744</v>
      </c>
      <c r="O606" s="19">
        <f>IF(E606="HERRAJE",IFERROR(_xlfn.XLOOKUP(D606,'⚙️ Configuración Costos'!$A$11:$A$20,'⚙️ Configuración Costos'!$B$11:$B$20),""),IFERROR(_xlfn.XLOOKUP(E606,'⚙️ Configuración Costos'!$A$5:$A$6,'⚙️ Configuración Costos'!$B$5:$B$6),""))</f>
        <v>332.85245901639348</v>
      </c>
      <c r="P606" s="19">
        <f t="shared" si="338"/>
        <v>40.773094819672131</v>
      </c>
      <c r="Q606" s="19">
        <f>IF(E606="HERRAJE",0,IFERROR(_xlfn.XLOOKUP(E606,'⚙️ Configuración Costos'!$E$5:$E$6,'⚙️ Configuración Costos'!$F$5:$F$6),""))</f>
        <v>9.5</v>
      </c>
      <c r="R606" s="19">
        <f t="shared" si="339"/>
        <v>16.568000000000001</v>
      </c>
      <c r="S606" s="37">
        <f t="shared" si="340"/>
        <v>57.341094819672136</v>
      </c>
      <c r="T606" s="94" t="str">
        <f t="shared" si="341"/>
        <v>OK</v>
      </c>
      <c r="U606" s="95" t="str">
        <f t="shared" si="342"/>
        <v/>
      </c>
      <c r="V606" s="96">
        <f t="shared" si="343"/>
        <v>0</v>
      </c>
    </row>
    <row r="607" spans="1:22" x14ac:dyDescent="0.2">
      <c r="A607" s="35">
        <v>3</v>
      </c>
      <c r="B607" s="6">
        <v>0</v>
      </c>
      <c r="C607" s="6">
        <v>0</v>
      </c>
      <c r="D607" s="7" t="s">
        <v>256</v>
      </c>
      <c r="E607" s="7" t="s">
        <v>91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23" t="s">
        <v>638</v>
      </c>
      <c r="L607" s="47" t="s">
        <v>257</v>
      </c>
      <c r="M607" s="17">
        <f t="shared" si="336"/>
        <v>0</v>
      </c>
      <c r="N607" s="18">
        <f t="shared" si="337"/>
        <v>0</v>
      </c>
      <c r="O607" s="19">
        <f>IF(E607="HERRAJE",IFERROR(_xlfn.XLOOKUP(D607,'⚙️ Configuración Costos'!$A$11:$A$20,'⚙️ Configuración Costos'!$B$11:$B$20),""),IFERROR(_xlfn.XLOOKUP(E607,'⚙️ Configuración Costos'!$A$5:$A$6,'⚙️ Configuración Costos'!$B$5:$B$6),""))</f>
        <v>125</v>
      </c>
      <c r="P607" s="19">
        <f t="shared" si="338"/>
        <v>375</v>
      </c>
      <c r="Q607" s="19">
        <f>IF(E607="HERRAJE",0,IFERROR(_xlfn.XLOOKUP(E607,'⚙️ Configuración Costos'!$E$5:$E$6,'⚙️ Configuración Costos'!$F$5:$F$6),""))</f>
        <v>0</v>
      </c>
      <c r="R607" s="19">
        <f t="shared" si="339"/>
        <v>0</v>
      </c>
      <c r="S607" s="37">
        <f t="shared" si="340"/>
        <v>375</v>
      </c>
      <c r="T607" s="94" t="str">
        <f t="shared" si="341"/>
        <v>OK</v>
      </c>
      <c r="U607" s="95" t="str">
        <f t="shared" si="342"/>
        <v/>
      </c>
      <c r="V607" s="96">
        <f t="shared" si="343"/>
        <v>0</v>
      </c>
    </row>
    <row r="608" spans="1:22" x14ac:dyDescent="0.2">
      <c r="A608" s="35">
        <v>4</v>
      </c>
      <c r="B608" s="6">
        <v>0</v>
      </c>
      <c r="C608" s="6">
        <v>0</v>
      </c>
      <c r="D608" s="7" t="s">
        <v>90</v>
      </c>
      <c r="E608" s="7" t="s">
        <v>91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16" t="s">
        <v>638</v>
      </c>
      <c r="L608" s="47" t="s">
        <v>92</v>
      </c>
      <c r="M608" s="17">
        <f t="shared" ref="M608:M613" si="344">IF(AND(ISNUMBER(B608),ISNUMBER(C608),B608&gt;0,C608&gt;0),A608*(B608*C608/1000000),0)</f>
        <v>0</v>
      </c>
      <c r="N608" s="18">
        <f t="shared" ref="N608:N613" si="345">IF(AND(ISNUMBER(B608),B608&gt;0),A608*(((G608+H608)*B608+(I608+J608)*C608)/1000),0)</f>
        <v>0</v>
      </c>
      <c r="O608" s="19">
        <f>IF(E608="HERRAJE",IFERROR(_xlfn.XLOOKUP(D608,'⚙️ Configuración Costos'!$A$11:$A$20,'⚙️ Configuración Costos'!$B$11:$B$20),""),IFERROR(_xlfn.XLOOKUP(E608,'⚙️ Configuración Costos'!$A$5:$A$6,'⚙️ Configuración Costos'!$B$5:$B$6),""))</f>
        <v>20</v>
      </c>
      <c r="P608" s="19">
        <f t="shared" ref="P608:P613" si="346">IF(E608="HERRAJE",A608*O608,M608*O608)</f>
        <v>80</v>
      </c>
      <c r="Q608" s="19">
        <f>IF(E608="HERRAJE",0,IFERROR(_xlfn.XLOOKUP(E608,'⚙️ Configuración Costos'!$E$5:$E$6,'⚙️ Configuración Costos'!$F$5:$F$6),""))</f>
        <v>0</v>
      </c>
      <c r="R608" s="19">
        <f t="shared" ref="R608:R613" si="347">N608*Q608</f>
        <v>0</v>
      </c>
      <c r="S608" s="37">
        <f t="shared" ref="S608:S613" si="348">P608+R608</f>
        <v>80</v>
      </c>
      <c r="T608" s="94" t="str">
        <f t="shared" ref="T608:T613" si="349">IF(K608="","SIN ID MÓDULO",IF(E608="HERRAJE",IF(OR(O608="",O608&lt;=0),"SIN PRECIO HERRAJE","OK"),IF(OR(O608="",O608&lt;=0),"SIN PRECIO MATERIAL",IF(AND(N608&gt;0,OR(Q608="",Q608&lt;=0)),"SIN PRECIO CINTILLA","OK"))))</f>
        <v>OK</v>
      </c>
      <c r="U608" s="95" t="str">
        <f t="shared" ref="U608:U613" si="350">IF(T608="OK","",IF(T608="SIN PRECIO HERRAJE","Capturar precio: "&amp;D608,IF(T608="SIN PRECIO MATERIAL","Configurar material: "&amp;E608,IF(T608="SIN PRECIO CINTILLA","Configurar cintilla: "&amp;E608,IF(T608="SIN ID MÓDULO","Revisar ID del módulo","")))))</f>
        <v/>
      </c>
      <c r="V608" s="96">
        <f t="shared" ref="V608:V613" si="351">IF(T608="OK",0,IF(T608="",0,1))</f>
        <v>0</v>
      </c>
    </row>
    <row r="609" spans="1:22" x14ac:dyDescent="0.2">
      <c r="A609" s="35">
        <v>5</v>
      </c>
      <c r="B609" s="6">
        <v>0</v>
      </c>
      <c r="C609" s="6">
        <v>0</v>
      </c>
      <c r="D609" s="7" t="s">
        <v>93</v>
      </c>
      <c r="E609" s="7" t="s">
        <v>91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16" t="s">
        <v>638</v>
      </c>
      <c r="L609" s="47" t="s">
        <v>94</v>
      </c>
      <c r="M609" s="17">
        <f t="shared" si="344"/>
        <v>0</v>
      </c>
      <c r="N609" s="18">
        <f t="shared" si="345"/>
        <v>0</v>
      </c>
      <c r="O609" s="19">
        <f>IF(E609="HERRAJE",IFERROR(_xlfn.XLOOKUP(D609,'⚙️ Configuración Costos'!$A$11:$A$20,'⚙️ Configuración Costos'!$B$11:$B$20),""),IFERROR(_xlfn.XLOOKUP(E609,'⚙️ Configuración Costos'!$A$5:$A$6,'⚙️ Configuración Costos'!$B$5:$B$6),""))</f>
        <v>15</v>
      </c>
      <c r="P609" s="19">
        <f t="shared" si="346"/>
        <v>75</v>
      </c>
      <c r="Q609" s="19">
        <f>IF(E609="HERRAJE",0,IFERROR(_xlfn.XLOOKUP(E609,'⚙️ Configuración Costos'!$E$5:$E$6,'⚙️ Configuración Costos'!$F$5:$F$6),""))</f>
        <v>0</v>
      </c>
      <c r="R609" s="19">
        <f t="shared" si="347"/>
        <v>0</v>
      </c>
      <c r="S609" s="37">
        <f t="shared" si="348"/>
        <v>75</v>
      </c>
      <c r="T609" s="94" t="str">
        <f t="shared" si="349"/>
        <v>OK</v>
      </c>
      <c r="U609" s="95" t="str">
        <f t="shared" si="350"/>
        <v/>
      </c>
      <c r="V609" s="96">
        <f t="shared" si="351"/>
        <v>0</v>
      </c>
    </row>
    <row r="610" spans="1:22" x14ac:dyDescent="0.2">
      <c r="A610" s="35">
        <v>6</v>
      </c>
      <c r="B610" s="6">
        <v>0</v>
      </c>
      <c r="C610" s="6">
        <v>0</v>
      </c>
      <c r="D610" s="7" t="s">
        <v>186</v>
      </c>
      <c r="E610" s="7" t="s">
        <v>91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16" t="s">
        <v>638</v>
      </c>
      <c r="L610" s="47" t="s">
        <v>187</v>
      </c>
      <c r="M610" s="17">
        <f t="shared" si="344"/>
        <v>0</v>
      </c>
      <c r="N610" s="18">
        <f t="shared" si="345"/>
        <v>0</v>
      </c>
      <c r="O610" s="19">
        <f>IF(E610="HERRAJE",IFERROR(_xlfn.XLOOKUP(D610,'⚙️ Configuración Costos'!$A$11:$A$20,'⚙️ Configuración Costos'!$B$11:$B$20),""),IFERROR(_xlfn.XLOOKUP(E610,'⚙️ Configuración Costos'!$A$5:$A$6,'⚙️ Configuración Costos'!$B$5:$B$6),""))</f>
        <v>15</v>
      </c>
      <c r="P610" s="19">
        <f t="shared" si="346"/>
        <v>90</v>
      </c>
      <c r="Q610" s="19">
        <f>IF(E610="HERRAJE",0,IFERROR(_xlfn.XLOOKUP(E610,'⚙️ Configuración Costos'!$E$5:$E$6,'⚙️ Configuración Costos'!$F$5:$F$6),""))</f>
        <v>0</v>
      </c>
      <c r="R610" s="19">
        <f t="shared" si="347"/>
        <v>0</v>
      </c>
      <c r="S610" s="37">
        <f t="shared" si="348"/>
        <v>90</v>
      </c>
      <c r="T610" s="94" t="str">
        <f t="shared" si="349"/>
        <v>OK</v>
      </c>
      <c r="U610" s="95" t="str">
        <f t="shared" si="350"/>
        <v/>
      </c>
      <c r="V610" s="96">
        <f t="shared" si="351"/>
        <v>0</v>
      </c>
    </row>
    <row r="611" spans="1:22" x14ac:dyDescent="0.2">
      <c r="A611" s="35">
        <v>4</v>
      </c>
      <c r="B611" s="6">
        <v>0</v>
      </c>
      <c r="C611" s="6">
        <v>0</v>
      </c>
      <c r="D611" s="7" t="s">
        <v>95</v>
      </c>
      <c r="E611" s="7" t="s">
        <v>91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16" t="s">
        <v>638</v>
      </c>
      <c r="L611" s="47" t="s">
        <v>96</v>
      </c>
      <c r="M611" s="17">
        <f t="shared" si="344"/>
        <v>0</v>
      </c>
      <c r="N611" s="18">
        <f t="shared" si="345"/>
        <v>0</v>
      </c>
      <c r="O611" s="19">
        <f>IF(E611="HERRAJE",IFERROR(_xlfn.XLOOKUP(D611,'⚙️ Configuración Costos'!$A$11:$A$20,'⚙️ Configuración Costos'!$B$11:$B$20),""),IFERROR(_xlfn.XLOOKUP(E611,'⚙️ Configuración Costos'!$A$5:$A$6,'⚙️ Configuración Costos'!$B$5:$B$6),""))</f>
        <v>2</v>
      </c>
      <c r="P611" s="19">
        <f t="shared" si="346"/>
        <v>8</v>
      </c>
      <c r="Q611" s="19">
        <f>IF(E611="HERRAJE",0,IFERROR(_xlfn.XLOOKUP(E611,'⚙️ Configuración Costos'!$E$5:$E$6,'⚙️ Configuración Costos'!$F$5:$F$6),""))</f>
        <v>0</v>
      </c>
      <c r="R611" s="19">
        <f t="shared" si="347"/>
        <v>0</v>
      </c>
      <c r="S611" s="37">
        <f t="shared" si="348"/>
        <v>8</v>
      </c>
      <c r="T611" s="94" t="str">
        <f t="shared" si="349"/>
        <v>OK</v>
      </c>
      <c r="U611" s="95" t="str">
        <f t="shared" si="350"/>
        <v/>
      </c>
      <c r="V611" s="96">
        <f t="shared" si="351"/>
        <v>0</v>
      </c>
    </row>
    <row r="612" spans="1:22" x14ac:dyDescent="0.2">
      <c r="A612" s="36" cm="1">
        <f t="array" ref="A612">4*SUMPRODUCT(A586:A596,--(((LEFT(D586:D596,4)="Base")+(LEFT(D586:D596,4)="Piso")+(LEFT(D586:D596,5)="Techo"))&gt;0))+10*SUMPRODUCT(A586:A596,--(LEFT(D586:D596,8)="Respaldo"))+2*SUMPRODUCT(A586:A596,--(LEFT(D586:D596,8)="Manguete"))</f>
        <v>28</v>
      </c>
      <c r="B612" s="20">
        <v>0</v>
      </c>
      <c r="C612" s="20">
        <v>0</v>
      </c>
      <c r="D612" s="21" t="s">
        <v>400</v>
      </c>
      <c r="E612" s="21" t="s">
        <v>91</v>
      </c>
      <c r="F612" s="22">
        <v>0</v>
      </c>
      <c r="G612" s="22">
        <v>0</v>
      </c>
      <c r="H612" s="22">
        <v>0</v>
      </c>
      <c r="I612" s="22">
        <v>0</v>
      </c>
      <c r="J612" s="22">
        <v>0</v>
      </c>
      <c r="K612" s="16" t="s">
        <v>638</v>
      </c>
      <c r="L612" s="48" t="s">
        <v>360</v>
      </c>
      <c r="M612" s="17">
        <f t="shared" si="344"/>
        <v>0</v>
      </c>
      <c r="N612" s="18">
        <f t="shared" si="345"/>
        <v>0</v>
      </c>
      <c r="O612" s="19">
        <f>IF(E612="HERRAJE",IFERROR(_xlfn.XLOOKUP(D612,'⚙️ Configuración Costos'!$A$11:$A$20,'⚙️ Configuración Costos'!$B$11:$B$20),""),IFERROR(_xlfn.XLOOKUP(E612,'⚙️ Configuración Costos'!$A$5:$A$6,'⚙️ Configuración Costos'!$B$5:$B$6),""))</f>
        <v>3</v>
      </c>
      <c r="P612" s="19">
        <f t="shared" si="346"/>
        <v>84</v>
      </c>
      <c r="Q612" s="19">
        <f>IF(E612="HERRAJE",0,IFERROR(_xlfn.XLOOKUP(E612,'⚙️ Configuración Costos'!$E$5:$E$6,'⚙️ Configuración Costos'!$F$5:$F$6),""))</f>
        <v>0</v>
      </c>
      <c r="R612" s="19">
        <f t="shared" si="347"/>
        <v>0</v>
      </c>
      <c r="S612" s="37">
        <f t="shared" si="348"/>
        <v>84</v>
      </c>
      <c r="T612" s="94" t="str">
        <f t="shared" si="349"/>
        <v>OK</v>
      </c>
      <c r="U612" s="95" t="str">
        <f t="shared" si="350"/>
        <v/>
      </c>
      <c r="V612" s="96">
        <f t="shared" si="351"/>
        <v>0</v>
      </c>
    </row>
    <row r="613" spans="1:22" ht="16" thickBot="1" x14ac:dyDescent="0.25">
      <c r="A613" s="36" cm="1">
        <f t="array" ref="A613">6*SUMPRODUCT(A586:A596,--(((LEFT(D586:D596,4)="Base")+(LEFT(D586:D596,4)="Piso")+(LEFT(D586:D596,5)="Techo"))&gt;0))+10*SUMPRODUCT(A586:A596,--(LEFT(D586:D596,8)="Respaldo"))+4*SUMPRODUCT(A586:A596,--(LEFT(D586:D596,8)="Manguete"))</f>
        <v>38</v>
      </c>
      <c r="B613" s="20">
        <v>0</v>
      </c>
      <c r="C613" s="20">
        <v>0</v>
      </c>
      <c r="D613" s="21" t="s">
        <v>468</v>
      </c>
      <c r="E613" s="21" t="s">
        <v>91</v>
      </c>
      <c r="F613" s="22">
        <v>0</v>
      </c>
      <c r="G613" s="22">
        <v>0</v>
      </c>
      <c r="H613" s="22">
        <v>0</v>
      </c>
      <c r="I613" s="22">
        <v>0</v>
      </c>
      <c r="J613" s="22">
        <v>0</v>
      </c>
      <c r="K613" s="16" t="s">
        <v>638</v>
      </c>
      <c r="L613" s="48" t="s">
        <v>361</v>
      </c>
      <c r="M613" s="17">
        <f t="shared" si="344"/>
        <v>0</v>
      </c>
      <c r="N613" s="18">
        <f t="shared" si="345"/>
        <v>0</v>
      </c>
      <c r="O613" s="19">
        <f>IF(E613="HERRAJE",IFERROR(_xlfn.XLOOKUP(D613,'⚙️ Configuración Costos'!$A$11:$A$20,'⚙️ Configuración Costos'!$B$11:$B$20),""),IFERROR(_xlfn.XLOOKUP(E613,'⚙️ Configuración Costos'!$A$5:$A$6,'⚙️ Configuración Costos'!$B$5:$B$6),""))</f>
        <v>1</v>
      </c>
      <c r="P613" s="19">
        <f t="shared" si="346"/>
        <v>38</v>
      </c>
      <c r="Q613" s="19">
        <f>IF(E613="HERRAJE",0,IFERROR(_xlfn.XLOOKUP(E613,'⚙️ Configuración Costos'!$E$5:$E$6,'⚙️ Configuración Costos'!$F$5:$F$6),""))</f>
        <v>0</v>
      </c>
      <c r="R613" s="19">
        <f t="shared" si="347"/>
        <v>0</v>
      </c>
      <c r="S613" s="37">
        <f t="shared" si="348"/>
        <v>38</v>
      </c>
      <c r="T613" s="94" t="str">
        <f t="shared" si="349"/>
        <v>OK</v>
      </c>
      <c r="U613" s="95" t="str">
        <f t="shared" si="350"/>
        <v/>
      </c>
      <c r="V613" s="96">
        <f t="shared" si="351"/>
        <v>0</v>
      </c>
    </row>
    <row r="614" spans="1:22" ht="16" thickTop="1" x14ac:dyDescent="0.2">
      <c r="A614" s="27" t="s">
        <v>99</v>
      </c>
      <c r="B614" s="27"/>
      <c r="C614" s="27"/>
      <c r="D614" s="28"/>
      <c r="E614" s="28"/>
      <c r="F614" s="29"/>
      <c r="G614" s="29"/>
      <c r="H614" s="29"/>
      <c r="I614" s="29"/>
      <c r="J614" s="29"/>
      <c r="K614" s="30"/>
      <c r="L614" s="49"/>
      <c r="M614" s="33">
        <f>SUM(M586:M613)</f>
        <v>8.2473559999999999</v>
      </c>
      <c r="N614" s="33">
        <f>SUM(N586:N613)</f>
        <v>43.052</v>
      </c>
      <c r="O614" s="33"/>
      <c r="P614" s="33">
        <f>SUM(P586:P613)</f>
        <v>3495.1527249836063</v>
      </c>
      <c r="Q614" s="33"/>
      <c r="R614" s="33">
        <f>SUM(R586:R613)</f>
        <v>408.99399999999997</v>
      </c>
      <c r="S614" s="33">
        <f>SUM(S586:S613)</f>
        <v>3904.1467249836064</v>
      </c>
      <c r="T614" s="97"/>
      <c r="U614" s="98"/>
      <c r="V614" s="99"/>
    </row>
    <row r="615" spans="1:22" x14ac:dyDescent="0.2">
      <c r="A615" s="189" t="s">
        <v>345</v>
      </c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1"/>
      <c r="T615" s="97"/>
      <c r="U615" s="98"/>
      <c r="V615" s="99"/>
    </row>
    <row r="616" spans="1:22" x14ac:dyDescent="0.2">
      <c r="A616" s="35">
        <v>1</v>
      </c>
      <c r="B616" s="6">
        <v>2069</v>
      </c>
      <c r="C616" s="6">
        <v>369</v>
      </c>
      <c r="D616" s="43" t="s">
        <v>298</v>
      </c>
      <c r="E616" s="43" t="s">
        <v>85</v>
      </c>
      <c r="F616" s="8">
        <v>1</v>
      </c>
      <c r="G616" s="44">
        <v>0</v>
      </c>
      <c r="H616" s="44">
        <v>0</v>
      </c>
      <c r="I616" s="44">
        <v>0</v>
      </c>
      <c r="J616" s="44">
        <v>0</v>
      </c>
      <c r="K616" s="16" t="s">
        <v>38</v>
      </c>
      <c r="L616" s="46" t="s">
        <v>337</v>
      </c>
      <c r="M616" s="17">
        <f t="shared" ref="M616:M624" si="352">IF(AND(ISNUMBER(B616),ISNUMBER(C616),B616&gt;0,C616&gt;0),A616*(B616*C616/1000000),0)</f>
        <v>0.76346099999999995</v>
      </c>
      <c r="N616" s="18">
        <f t="shared" ref="N616:N624" si="353">IF(AND(ISNUMBER(B616),B616&gt;0),A616*(((G616+H616)*B616+(I616+J616)*C616)/1000),0)</f>
        <v>0</v>
      </c>
      <c r="O616" s="19">
        <f>IF(E616="HERRAJE",IFERROR(_xlfn.XLOOKUP(D616,'⚙️ Configuración Costos'!$A$11:$A$20,'⚙️ Configuración Costos'!$B$11:$B$20),""),IFERROR(_xlfn.XLOOKUP(E616,'⚙️ Configuración Costos'!$A$5:$A$6,'⚙️ Configuración Costos'!$B$5:$B$6),""))</f>
        <v>332.85245901639348</v>
      </c>
      <c r="P616" s="19">
        <f t="shared" ref="P616:P624" si="354">IF(E616="HERRAJE",A616*O616,M616*O616)</f>
        <v>254.11987121311478</v>
      </c>
      <c r="Q616" s="19">
        <f>IF(E616="HERRAJE",0,IFERROR(_xlfn.XLOOKUP(E616,'⚙️ Configuración Costos'!$E$5:$E$6,'⚙️ Configuración Costos'!$F$5:$F$6),""))</f>
        <v>9.5</v>
      </c>
      <c r="R616" s="19">
        <f t="shared" ref="R616:R624" si="355">N616*Q616</f>
        <v>0</v>
      </c>
      <c r="S616" s="37">
        <f t="shared" ref="S616:S624" si="356">P616+R616</f>
        <v>254.11987121311478</v>
      </c>
      <c r="T616" s="94" t="str">
        <f t="shared" ref="T616:T624" si="357">IF(K616="","SIN ID MÓDULO",IF(E616="HERRAJE",IF(OR(O616="",O616&lt;=0),"SIN PRECIO HERRAJE","OK"),IF(OR(O616="",O616&lt;=0),"SIN PRECIO MATERIAL",IF(AND(N616&gt;0,OR(Q616="",Q616&lt;=0)),"SIN PRECIO CINTILLA","OK"))))</f>
        <v>OK</v>
      </c>
      <c r="U616" s="95" t="str">
        <f t="shared" ref="U616:U624" si="358">IF(T616="OK","",IF(T616="SIN PRECIO HERRAJE","Capturar precio: "&amp;D616,IF(T616="SIN PRECIO MATERIAL","Configurar material: "&amp;E616,IF(T616="SIN PRECIO CINTILLA","Configurar cintilla: "&amp;E616,IF(T616="SIN ID MÓDULO","Revisar ID del módulo","")))))</f>
        <v/>
      </c>
      <c r="V616" s="96">
        <f t="shared" ref="V616:V624" si="359">IF(T616="OK",0,IF(T616="",0,1))</f>
        <v>0</v>
      </c>
    </row>
    <row r="617" spans="1:22" x14ac:dyDescent="0.2">
      <c r="A617" s="35">
        <v>1</v>
      </c>
      <c r="B617" s="6">
        <v>2100</v>
      </c>
      <c r="C617" s="6">
        <v>610</v>
      </c>
      <c r="D617" s="43" t="s">
        <v>276</v>
      </c>
      <c r="E617" s="43" t="s">
        <v>85</v>
      </c>
      <c r="F617" s="8">
        <v>1</v>
      </c>
      <c r="G617" s="44">
        <v>1</v>
      </c>
      <c r="H617" s="44">
        <v>1</v>
      </c>
      <c r="I617" s="44">
        <v>1</v>
      </c>
      <c r="J617" s="44">
        <v>1</v>
      </c>
      <c r="K617" s="16" t="s">
        <v>38</v>
      </c>
      <c r="L617" s="46" t="s">
        <v>346</v>
      </c>
      <c r="M617" s="17">
        <f t="shared" si="352"/>
        <v>1.2809999999999999</v>
      </c>
      <c r="N617" s="18">
        <f t="shared" si="353"/>
        <v>5.42</v>
      </c>
      <c r="O617" s="19">
        <f>IF(E617="HERRAJE",IFERROR(_xlfn.XLOOKUP(D617,'⚙️ Configuración Costos'!$A$11:$A$20,'⚙️ Configuración Costos'!$B$11:$B$20),""),IFERROR(_xlfn.XLOOKUP(E617,'⚙️ Configuración Costos'!$A$5:$A$6,'⚙️ Configuración Costos'!$B$5:$B$6),""))</f>
        <v>332.85245901639348</v>
      </c>
      <c r="P617" s="19">
        <f t="shared" si="354"/>
        <v>426.38400000000001</v>
      </c>
      <c r="Q617" s="19">
        <f>IF(E617="HERRAJE",0,IFERROR(_xlfn.XLOOKUP(E617,'⚙️ Configuración Costos'!$E$5:$E$6,'⚙️ Configuración Costos'!$F$5:$F$6),""))</f>
        <v>9.5</v>
      </c>
      <c r="R617" s="19">
        <f t="shared" si="355"/>
        <v>51.49</v>
      </c>
      <c r="S617" s="37">
        <f t="shared" si="356"/>
        <v>477.87400000000002</v>
      </c>
      <c r="T617" s="94" t="str">
        <f t="shared" si="357"/>
        <v>OK</v>
      </c>
      <c r="U617" s="95" t="str">
        <f t="shared" si="358"/>
        <v/>
      </c>
      <c r="V617" s="96">
        <f t="shared" si="359"/>
        <v>0</v>
      </c>
    </row>
    <row r="618" spans="1:22" x14ac:dyDescent="0.2">
      <c r="A618" s="35">
        <v>1</v>
      </c>
      <c r="B618" s="6">
        <v>2100</v>
      </c>
      <c r="C618" s="6">
        <v>610</v>
      </c>
      <c r="D618" s="43" t="s">
        <v>347</v>
      </c>
      <c r="E618" s="43" t="s">
        <v>85</v>
      </c>
      <c r="F618" s="8">
        <v>1</v>
      </c>
      <c r="G618" s="44">
        <v>1</v>
      </c>
      <c r="H618" s="44">
        <v>1</v>
      </c>
      <c r="I618" s="44">
        <v>1</v>
      </c>
      <c r="J618" s="44">
        <v>1</v>
      </c>
      <c r="K618" s="16" t="s">
        <v>38</v>
      </c>
      <c r="L618" s="46" t="s">
        <v>348</v>
      </c>
      <c r="M618" s="17">
        <f t="shared" si="352"/>
        <v>1.2809999999999999</v>
      </c>
      <c r="N618" s="18">
        <f t="shared" si="353"/>
        <v>5.42</v>
      </c>
      <c r="O618" s="19">
        <f>IF(E618="HERRAJE",IFERROR(_xlfn.XLOOKUP(D618,'⚙️ Configuración Costos'!$A$11:$A$20,'⚙️ Configuración Costos'!$B$11:$B$20),""),IFERROR(_xlfn.XLOOKUP(E618,'⚙️ Configuración Costos'!$A$5:$A$6,'⚙️ Configuración Costos'!$B$5:$B$6),""))</f>
        <v>332.85245901639348</v>
      </c>
      <c r="P618" s="19">
        <f t="shared" si="354"/>
        <v>426.38400000000001</v>
      </c>
      <c r="Q618" s="19">
        <f>IF(E618="HERRAJE",0,IFERROR(_xlfn.XLOOKUP(E618,'⚙️ Configuración Costos'!$E$5:$E$6,'⚙️ Configuración Costos'!$F$5:$F$6),""))</f>
        <v>9.5</v>
      </c>
      <c r="R618" s="19">
        <f t="shared" si="355"/>
        <v>51.49</v>
      </c>
      <c r="S618" s="37">
        <f t="shared" si="356"/>
        <v>477.87400000000002</v>
      </c>
      <c r="T618" s="94" t="str">
        <f t="shared" si="357"/>
        <v>OK</v>
      </c>
      <c r="U618" s="95" t="str">
        <f t="shared" si="358"/>
        <v/>
      </c>
      <c r="V618" s="96">
        <f t="shared" si="359"/>
        <v>0</v>
      </c>
    </row>
    <row r="619" spans="1:22" x14ac:dyDescent="0.2">
      <c r="A619" s="35">
        <v>1</v>
      </c>
      <c r="B619" s="6">
        <v>369</v>
      </c>
      <c r="C619" s="6">
        <v>610</v>
      </c>
      <c r="D619" s="43" t="s">
        <v>300</v>
      </c>
      <c r="E619" s="43" t="s">
        <v>85</v>
      </c>
      <c r="F619" s="8">
        <v>1</v>
      </c>
      <c r="G619" s="44">
        <v>0</v>
      </c>
      <c r="H619" s="44">
        <v>0</v>
      </c>
      <c r="I619" s="44">
        <v>1</v>
      </c>
      <c r="J619" s="44">
        <v>1</v>
      </c>
      <c r="K619" s="16" t="s">
        <v>38</v>
      </c>
      <c r="L619" s="47" t="s">
        <v>316</v>
      </c>
      <c r="M619" s="10">
        <f t="shared" si="352"/>
        <v>0.22509000000000001</v>
      </c>
      <c r="N619" s="11">
        <f t="shared" si="353"/>
        <v>1.22</v>
      </c>
      <c r="O619" s="12">
        <f>IF(E619="HERRAJE",IFERROR(_xlfn.XLOOKUP(D619,'⚙️ Configuración Costos'!$A$11:$A$20,'⚙️ Configuración Costos'!$B$11:$B$20),""),IFERROR(_xlfn.XLOOKUP(E619,'⚙️ Configuración Costos'!$A$5:$A$6,'⚙️ Configuración Costos'!$B$5:$B$6),""))</f>
        <v>332.85245901639348</v>
      </c>
      <c r="P619" s="12">
        <f t="shared" si="354"/>
        <v>74.921760000000006</v>
      </c>
      <c r="Q619" s="12">
        <f>IF(E619="HERRAJE",0,IFERROR(_xlfn.XLOOKUP(E619,'⚙️ Configuración Costos'!$E$5:$E$6,'⚙️ Configuración Costos'!$F$5:$F$6),""))</f>
        <v>9.5</v>
      </c>
      <c r="R619" s="12">
        <f t="shared" si="355"/>
        <v>11.59</v>
      </c>
      <c r="S619" s="38">
        <f t="shared" si="356"/>
        <v>86.51176000000001</v>
      </c>
      <c r="T619" s="94" t="str">
        <f t="shared" si="357"/>
        <v>OK</v>
      </c>
      <c r="U619" s="95" t="str">
        <f t="shared" si="358"/>
        <v/>
      </c>
      <c r="V619" s="96">
        <f t="shared" si="359"/>
        <v>0</v>
      </c>
    </row>
    <row r="620" spans="1:22" x14ac:dyDescent="0.2">
      <c r="A620" s="35">
        <v>1</v>
      </c>
      <c r="B620" s="6">
        <v>369</v>
      </c>
      <c r="C620" s="6">
        <v>610</v>
      </c>
      <c r="D620" s="43" t="s">
        <v>302</v>
      </c>
      <c r="E620" s="43" t="s">
        <v>85</v>
      </c>
      <c r="F620" s="8">
        <v>1</v>
      </c>
      <c r="G620" s="44">
        <v>0</v>
      </c>
      <c r="H620" s="44">
        <v>0</v>
      </c>
      <c r="I620" s="44">
        <v>1</v>
      </c>
      <c r="J620" s="44">
        <v>1</v>
      </c>
      <c r="K620" s="16" t="s">
        <v>38</v>
      </c>
      <c r="L620" s="47" t="s">
        <v>317</v>
      </c>
      <c r="M620" s="10">
        <f t="shared" si="352"/>
        <v>0.22509000000000001</v>
      </c>
      <c r="N620" s="11">
        <f t="shared" si="353"/>
        <v>1.22</v>
      </c>
      <c r="O620" s="12">
        <f>IF(E620="HERRAJE",IFERROR(_xlfn.XLOOKUP(D620,'⚙️ Configuración Costos'!$A$11:$A$20,'⚙️ Configuración Costos'!$B$11:$B$20),""),IFERROR(_xlfn.XLOOKUP(E620,'⚙️ Configuración Costos'!$A$5:$A$6,'⚙️ Configuración Costos'!$B$5:$B$6),""))</f>
        <v>332.85245901639348</v>
      </c>
      <c r="P620" s="12">
        <f t="shared" si="354"/>
        <v>74.921760000000006</v>
      </c>
      <c r="Q620" s="12">
        <f>IF(E620="HERRAJE",0,IFERROR(_xlfn.XLOOKUP(E620,'⚙️ Configuración Costos'!$E$5:$E$6,'⚙️ Configuración Costos'!$F$5:$F$6),""))</f>
        <v>9.5</v>
      </c>
      <c r="R620" s="12">
        <f t="shared" si="355"/>
        <v>11.59</v>
      </c>
      <c r="S620" s="38">
        <f t="shared" si="356"/>
        <v>86.51176000000001</v>
      </c>
      <c r="T620" s="94" t="str">
        <f t="shared" si="357"/>
        <v>OK</v>
      </c>
      <c r="U620" s="95" t="str">
        <f t="shared" si="358"/>
        <v/>
      </c>
      <c r="V620" s="96">
        <f t="shared" si="359"/>
        <v>0</v>
      </c>
    </row>
    <row r="621" spans="1:22" x14ac:dyDescent="0.2">
      <c r="A621" s="35">
        <v>3</v>
      </c>
      <c r="B621" s="6">
        <v>369</v>
      </c>
      <c r="C621" s="6">
        <v>550</v>
      </c>
      <c r="D621" s="43" t="s">
        <v>304</v>
      </c>
      <c r="E621" s="43" t="s">
        <v>85</v>
      </c>
      <c r="F621" s="8">
        <v>1</v>
      </c>
      <c r="G621" s="44">
        <v>1</v>
      </c>
      <c r="H621" s="44">
        <v>0</v>
      </c>
      <c r="I621" s="44">
        <v>0</v>
      </c>
      <c r="J621" s="44">
        <v>0</v>
      </c>
      <c r="K621" s="16" t="s">
        <v>38</v>
      </c>
      <c r="L621" s="47" t="s">
        <v>318</v>
      </c>
      <c r="M621" s="10">
        <f t="shared" si="352"/>
        <v>0.60885</v>
      </c>
      <c r="N621" s="11">
        <f t="shared" si="353"/>
        <v>1.107</v>
      </c>
      <c r="O621" s="12">
        <f>IF(E621="HERRAJE",IFERROR(_xlfn.XLOOKUP(D621,'⚙️ Configuración Costos'!$A$11:$A$20,'⚙️ Configuración Costos'!$B$11:$B$20),""),IFERROR(_xlfn.XLOOKUP(E621,'⚙️ Configuración Costos'!$A$5:$A$6,'⚙️ Configuración Costos'!$B$5:$B$6),""))</f>
        <v>332.85245901639348</v>
      </c>
      <c r="P621" s="12">
        <f t="shared" si="354"/>
        <v>202.65721967213116</v>
      </c>
      <c r="Q621" s="12">
        <f>IF(E621="HERRAJE",0,IFERROR(_xlfn.XLOOKUP(E621,'⚙️ Configuración Costos'!$E$5:$E$6,'⚙️ Configuración Costos'!$F$5:$F$6),""))</f>
        <v>9.5</v>
      </c>
      <c r="R621" s="12">
        <f t="shared" si="355"/>
        <v>10.516500000000001</v>
      </c>
      <c r="S621" s="38">
        <f t="shared" si="356"/>
        <v>213.17371967213117</v>
      </c>
      <c r="T621" s="94" t="str">
        <f t="shared" si="357"/>
        <v>OK</v>
      </c>
      <c r="U621" s="95" t="str">
        <f t="shared" si="358"/>
        <v/>
      </c>
      <c r="V621" s="96">
        <f t="shared" si="359"/>
        <v>0</v>
      </c>
    </row>
    <row r="622" spans="1:22" x14ac:dyDescent="0.2">
      <c r="A622" s="35">
        <v>6</v>
      </c>
      <c r="B622" s="6">
        <v>0</v>
      </c>
      <c r="C622" s="6">
        <v>0</v>
      </c>
      <c r="D622" s="7" t="s">
        <v>186</v>
      </c>
      <c r="E622" s="7" t="s">
        <v>91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16" t="s">
        <v>38</v>
      </c>
      <c r="L622" s="47" t="s">
        <v>187</v>
      </c>
      <c r="M622" s="17">
        <f t="shared" si="352"/>
        <v>0</v>
      </c>
      <c r="N622" s="18">
        <f t="shared" si="353"/>
        <v>0</v>
      </c>
      <c r="O622" s="19">
        <f>IF(E622="HERRAJE",IFERROR(_xlfn.XLOOKUP(D622,'⚙️ Configuración Costos'!$A$11:$A$20,'⚙️ Configuración Costos'!$B$11:$B$20),""),IFERROR(_xlfn.XLOOKUP(E622,'⚙️ Configuración Costos'!$A$5:$A$6,'⚙️ Configuración Costos'!$B$5:$B$6),""))</f>
        <v>15</v>
      </c>
      <c r="P622" s="19">
        <f t="shared" si="354"/>
        <v>90</v>
      </c>
      <c r="Q622" s="19">
        <f>IF(E622="HERRAJE",0,IFERROR(_xlfn.XLOOKUP(E622,'⚙️ Configuración Costos'!$E$5:$E$6,'⚙️ Configuración Costos'!$F$5:$F$6),""))</f>
        <v>0</v>
      </c>
      <c r="R622" s="19">
        <f t="shared" si="355"/>
        <v>0</v>
      </c>
      <c r="S622" s="37">
        <f t="shared" si="356"/>
        <v>90</v>
      </c>
      <c r="T622" s="94" t="str">
        <f t="shared" si="357"/>
        <v>OK</v>
      </c>
      <c r="U622" s="95" t="str">
        <f t="shared" si="358"/>
        <v/>
      </c>
      <c r="V622" s="96">
        <f t="shared" si="359"/>
        <v>0</v>
      </c>
    </row>
    <row r="623" spans="1:22" x14ac:dyDescent="0.2">
      <c r="A623" s="35">
        <v>4</v>
      </c>
      <c r="B623" s="6">
        <v>0</v>
      </c>
      <c r="C623" s="6">
        <v>0</v>
      </c>
      <c r="D623" s="7" t="s">
        <v>95</v>
      </c>
      <c r="E623" s="7" t="s">
        <v>91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16" t="s">
        <v>38</v>
      </c>
      <c r="L623" s="47" t="s">
        <v>96</v>
      </c>
      <c r="M623" s="17">
        <f t="shared" si="352"/>
        <v>0</v>
      </c>
      <c r="N623" s="18">
        <f t="shared" si="353"/>
        <v>0</v>
      </c>
      <c r="O623" s="19">
        <f>IF(E623="HERRAJE",IFERROR(_xlfn.XLOOKUP(D623,'⚙️ Configuración Costos'!$A$11:$A$20,'⚙️ Configuración Costos'!$B$11:$B$20),""),IFERROR(_xlfn.XLOOKUP(E623,'⚙️ Configuración Costos'!$A$5:$A$6,'⚙️ Configuración Costos'!$B$5:$B$6),""))</f>
        <v>2</v>
      </c>
      <c r="P623" s="19">
        <f t="shared" si="354"/>
        <v>8</v>
      </c>
      <c r="Q623" s="19">
        <f>IF(E623="HERRAJE",0,IFERROR(_xlfn.XLOOKUP(E623,'⚙️ Configuración Costos'!$E$5:$E$6,'⚙️ Configuración Costos'!$F$5:$F$6),""))</f>
        <v>0</v>
      </c>
      <c r="R623" s="19">
        <f t="shared" si="355"/>
        <v>0</v>
      </c>
      <c r="S623" s="37">
        <f t="shared" si="356"/>
        <v>8</v>
      </c>
      <c r="T623" s="94" t="str">
        <f t="shared" si="357"/>
        <v>OK</v>
      </c>
      <c r="U623" s="95" t="str">
        <f t="shared" si="358"/>
        <v/>
      </c>
      <c r="V623" s="96">
        <f t="shared" si="359"/>
        <v>0</v>
      </c>
    </row>
    <row r="624" spans="1:22" ht="16" thickBot="1" x14ac:dyDescent="0.25">
      <c r="A624" s="36">
        <v>50</v>
      </c>
      <c r="B624" s="6">
        <v>0</v>
      </c>
      <c r="C624" s="6">
        <v>0</v>
      </c>
      <c r="D624" s="21" t="s">
        <v>97</v>
      </c>
      <c r="E624" s="21" t="s">
        <v>91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16" t="s">
        <v>38</v>
      </c>
      <c r="L624" s="48" t="s">
        <v>98</v>
      </c>
      <c r="M624" s="17">
        <f t="shared" si="352"/>
        <v>0</v>
      </c>
      <c r="N624" s="18">
        <f t="shared" si="353"/>
        <v>0</v>
      </c>
      <c r="O624" s="19">
        <f>IF(E624="HERRAJE",IFERROR(_xlfn.XLOOKUP(D624,'⚙️ Configuración Costos'!$A$11:$A$20,'⚙️ Configuración Costos'!$B$11:$B$20),""),IFERROR(_xlfn.XLOOKUP(E624,'⚙️ Configuración Costos'!$A$5:$A$6,'⚙️ Configuración Costos'!$B$5:$B$6),""))</f>
        <v>1.5</v>
      </c>
      <c r="P624" s="19">
        <f t="shared" si="354"/>
        <v>75</v>
      </c>
      <c r="Q624" s="19">
        <f>IF(E624="HERRAJE",0,IFERROR(_xlfn.XLOOKUP(E624,'⚙️ Configuración Costos'!$E$5:$E$6,'⚙️ Configuración Costos'!$F$5:$F$6),""))</f>
        <v>0</v>
      </c>
      <c r="R624" s="19">
        <f t="shared" si="355"/>
        <v>0</v>
      </c>
      <c r="S624" s="37">
        <f t="shared" si="356"/>
        <v>75</v>
      </c>
      <c r="T624" s="94" t="str">
        <f t="shared" si="357"/>
        <v>OK</v>
      </c>
      <c r="U624" s="95" t="str">
        <f t="shared" si="358"/>
        <v/>
      </c>
      <c r="V624" s="96">
        <f t="shared" si="359"/>
        <v>0</v>
      </c>
    </row>
    <row r="625" spans="1:22" ht="16" thickTop="1" x14ac:dyDescent="0.2">
      <c r="A625" s="27" t="s">
        <v>99</v>
      </c>
      <c r="B625" s="27"/>
      <c r="C625" s="27"/>
      <c r="D625" s="28"/>
      <c r="E625" s="28"/>
      <c r="F625" s="29"/>
      <c r="G625" s="29"/>
      <c r="H625" s="29"/>
      <c r="I625" s="29"/>
      <c r="J625" s="29"/>
      <c r="K625" s="30"/>
      <c r="L625" s="49" t="s">
        <v>188</v>
      </c>
      <c r="M625" s="33">
        <f>SUM(M616:M624)</f>
        <v>4.3844909999999997</v>
      </c>
      <c r="N625" s="33">
        <f>SUM(N616:N624)</f>
        <v>14.387</v>
      </c>
      <c r="O625" s="33"/>
      <c r="P625" s="33">
        <f>SUM(P616:P624)</f>
        <v>1632.3886108852457</v>
      </c>
      <c r="Q625" s="33"/>
      <c r="R625" s="33">
        <f>SUM(R616:R624)</f>
        <v>136.6765</v>
      </c>
      <c r="S625" s="33">
        <f>SUM(S616:S624)</f>
        <v>1769.0651108852462</v>
      </c>
      <c r="T625" s="97"/>
      <c r="U625" s="98"/>
      <c r="V625" s="99"/>
    </row>
    <row r="626" spans="1:22" x14ac:dyDescent="0.2">
      <c r="A626" s="186" t="s">
        <v>349</v>
      </c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8"/>
      <c r="T626" s="97"/>
      <c r="U626" s="98"/>
      <c r="V626" s="99"/>
    </row>
    <row r="627" spans="1:22" ht="16" thickBot="1" x14ac:dyDescent="0.25">
      <c r="A627" s="35">
        <v>1</v>
      </c>
      <c r="B627" s="6">
        <v>340</v>
      </c>
      <c r="C627" s="6">
        <v>340</v>
      </c>
      <c r="D627" s="43" t="s">
        <v>350</v>
      </c>
      <c r="E627" s="43" t="s">
        <v>85</v>
      </c>
      <c r="F627" s="53">
        <v>1</v>
      </c>
      <c r="G627" s="44">
        <v>1</v>
      </c>
      <c r="H627" s="44">
        <v>1</v>
      </c>
      <c r="I627" s="44">
        <v>1</v>
      </c>
      <c r="J627" s="44">
        <v>1</v>
      </c>
      <c r="K627" s="16" t="s">
        <v>39</v>
      </c>
      <c r="L627" s="16" t="s">
        <v>39</v>
      </c>
      <c r="M627" s="10">
        <f>IF(AND(ISNUMBER(B627),ISNUMBER(C627),B627&gt;0,C627&gt;0),A627*(B627*C627/1000000),0)</f>
        <v>0.11559999999999999</v>
      </c>
      <c r="N627" s="11">
        <f>IF(AND(ISNUMBER(B627),B627&gt;0),A627*(((G627+H627)*B627+(I627+J627)*C627)/1000),0)</f>
        <v>1.36</v>
      </c>
      <c r="O627" s="12">
        <f>IF(E627="HERRAJE",IFERROR(_xlfn.XLOOKUP(D627,'⚙️ Configuración Costos'!$A$11:$A$20,'⚙️ Configuración Costos'!$B$11:$B$20),""),IFERROR(_xlfn.XLOOKUP(E627,'⚙️ Configuración Costos'!$A$5:$A$6,'⚙️ Configuración Costos'!$B$5:$B$6),""))</f>
        <v>332.85245901639348</v>
      </c>
      <c r="P627" s="12">
        <f>IF(E627="HERRAJE",A627*O627,M627*O627)</f>
        <v>38.477744262295083</v>
      </c>
      <c r="Q627" s="19">
        <f>IF(E627="HERRAJE",0,IFERROR(_xlfn.XLOOKUP(E627,'⚙️ Configuración Costos'!$E$5:$E$6,'⚙️ Configuración Costos'!$F$5:$F$6),""))</f>
        <v>9.5</v>
      </c>
      <c r="R627" s="19">
        <f>N627*Q627</f>
        <v>12.920000000000002</v>
      </c>
      <c r="S627" s="38">
        <f>P627+R627</f>
        <v>51.397744262295085</v>
      </c>
      <c r="T627" s="94" t="str">
        <f>IF(K627="","SIN ID MÓDULO",IF(E627="HERRAJE",IF(OR(O627="",O627&lt;=0),"SIN PRECIO HERRAJE","OK"),IF(OR(O627="",O627&lt;=0),"SIN PRECIO MATERIAL",IF(AND(N627&gt;0,OR(Q627="",Q627&lt;=0)),"SIN PRECIO CINTILLA","OK"))))</f>
        <v>OK</v>
      </c>
      <c r="U627" s="95" t="str">
        <f>IF(T627="OK","",IF(T627="SIN PRECIO HERRAJE","Capturar precio: "&amp;D627,IF(T627="SIN PRECIO MATERIAL","Configurar material: "&amp;E627,IF(T627="SIN PRECIO CINTILLA","Configurar cintilla: "&amp;E627,IF(T627="SIN ID MÓDULO","Revisar ID del módulo","")))))</f>
        <v/>
      </c>
      <c r="V627" s="96">
        <f>IF(T627="OK",0,IF(T627="",0,1))</f>
        <v>0</v>
      </c>
    </row>
    <row r="628" spans="1:22" ht="16" thickTop="1" x14ac:dyDescent="0.2">
      <c r="A628" s="27" t="s">
        <v>99</v>
      </c>
      <c r="B628" s="27"/>
      <c r="C628" s="27"/>
      <c r="D628" s="28"/>
      <c r="E628" s="28"/>
      <c r="F628" s="29"/>
      <c r="G628" s="29"/>
      <c r="H628" s="29"/>
      <c r="I628" s="29"/>
      <c r="J628" s="29"/>
      <c r="K628" s="30"/>
      <c r="L628" s="49" t="s">
        <v>188</v>
      </c>
      <c r="M628" s="33">
        <f>SUM(M627:M627)</f>
        <v>0.11559999999999999</v>
      </c>
      <c r="N628" s="33">
        <f>SUM(N627:N627)</f>
        <v>1.36</v>
      </c>
      <c r="O628" s="33"/>
      <c r="P628" s="33">
        <f>SUM(P627:P627)</f>
        <v>38.477744262295083</v>
      </c>
      <c r="Q628" s="33"/>
      <c r="R628" s="33">
        <f>SUM(R627:R627)</f>
        <v>12.920000000000002</v>
      </c>
      <c r="S628" s="33">
        <f>SUM(S627:S627)</f>
        <v>51.397744262295085</v>
      </c>
      <c r="T628" s="97"/>
      <c r="U628" s="98"/>
      <c r="V628" s="99"/>
    </row>
    <row r="629" spans="1:22" x14ac:dyDescent="0.2">
      <c r="A629" s="186" t="s">
        <v>351</v>
      </c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8"/>
      <c r="T629" s="97"/>
      <c r="U629" s="98"/>
      <c r="V629" s="99"/>
    </row>
    <row r="630" spans="1:22" ht="16" thickBot="1" x14ac:dyDescent="0.25">
      <c r="A630" s="35">
        <v>1</v>
      </c>
      <c r="B630" s="6">
        <v>680</v>
      </c>
      <c r="C630" s="6">
        <v>340</v>
      </c>
      <c r="D630" s="43" t="s">
        <v>350</v>
      </c>
      <c r="E630" s="43" t="s">
        <v>85</v>
      </c>
      <c r="F630" s="53">
        <v>1</v>
      </c>
      <c r="G630" s="44">
        <v>1</v>
      </c>
      <c r="H630" s="44">
        <v>1</v>
      </c>
      <c r="I630" s="44">
        <v>1</v>
      </c>
      <c r="J630" s="44">
        <v>1</v>
      </c>
      <c r="K630" s="16" t="s">
        <v>40</v>
      </c>
      <c r="L630" s="16" t="s">
        <v>40</v>
      </c>
      <c r="M630" s="10">
        <f>IF(AND(ISNUMBER(B630),ISNUMBER(C630),B630&gt;0,C630&gt;0),A630*(B630*C630/1000000),0)</f>
        <v>0.23119999999999999</v>
      </c>
      <c r="N630" s="11">
        <f>IF(AND(ISNUMBER(B630),B630&gt;0),A630*(((G630+H630)*B630+(I630+J630)*C630)/1000),0)</f>
        <v>2.04</v>
      </c>
      <c r="O630" s="12">
        <f>IF(E630="HERRAJE",IFERROR(_xlfn.XLOOKUP(D630,'⚙️ Configuración Costos'!$A$11:$A$20,'⚙️ Configuración Costos'!$B$11:$B$20),""),IFERROR(_xlfn.XLOOKUP(E630,'⚙️ Configuración Costos'!$A$5:$A$6,'⚙️ Configuración Costos'!$B$5:$B$6),""))</f>
        <v>332.85245901639348</v>
      </c>
      <c r="P630" s="12">
        <f>IF(E630="HERRAJE",A630*O630,M630*O630)</f>
        <v>76.955488524590166</v>
      </c>
      <c r="Q630" s="19">
        <f>IF(E630="HERRAJE",0,IFERROR(_xlfn.XLOOKUP(E630,'⚙️ Configuración Costos'!$E$5:$E$6,'⚙️ Configuración Costos'!$F$5:$F$6),""))</f>
        <v>9.5</v>
      </c>
      <c r="R630" s="19">
        <f>N630*Q630</f>
        <v>19.38</v>
      </c>
      <c r="S630" s="38">
        <f>P630+R630</f>
        <v>96.335488524590161</v>
      </c>
      <c r="T630" s="94" t="str">
        <f>IF(K630="","SIN ID MÓDULO",IF(E630="HERRAJE",IF(OR(O630="",O630&lt;=0),"SIN PRECIO HERRAJE","OK"),IF(OR(O630="",O630&lt;=0),"SIN PRECIO MATERIAL",IF(AND(N630&gt;0,OR(Q630="",Q630&lt;=0)),"SIN PRECIO CINTILLA","OK"))))</f>
        <v>OK</v>
      </c>
      <c r="U630" s="95" t="str">
        <f>IF(T630="OK","",IF(T630="SIN PRECIO HERRAJE","Capturar precio: "&amp;D630,IF(T630="SIN PRECIO MATERIAL","Configurar material: "&amp;E630,IF(T630="SIN PRECIO CINTILLA","Configurar cintilla: "&amp;E630,IF(T630="SIN ID MÓDULO","Revisar ID del módulo","")))))</f>
        <v/>
      </c>
      <c r="V630" s="96">
        <f>IF(T630="OK",0,IF(T630="",0,1))</f>
        <v>0</v>
      </c>
    </row>
    <row r="631" spans="1:22" ht="16" thickTop="1" x14ac:dyDescent="0.2">
      <c r="A631" s="27" t="s">
        <v>99</v>
      </c>
      <c r="B631" s="27"/>
      <c r="C631" s="27"/>
      <c r="D631" s="28"/>
      <c r="E631" s="28"/>
      <c r="F631" s="29"/>
      <c r="G631" s="29"/>
      <c r="H631" s="29"/>
      <c r="I631" s="29"/>
      <c r="J631" s="29"/>
      <c r="K631" s="30"/>
      <c r="L631" s="49" t="s">
        <v>188</v>
      </c>
      <c r="M631" s="33">
        <f>SUM(M630:M630)</f>
        <v>0.23119999999999999</v>
      </c>
      <c r="N631" s="33">
        <f>SUM(N630:N630)</f>
        <v>2.04</v>
      </c>
      <c r="O631" s="33"/>
      <c r="P631" s="33">
        <f>SUM(P630:P630)</f>
        <v>76.955488524590166</v>
      </c>
      <c r="Q631" s="33"/>
      <c r="R631" s="33">
        <f>SUM(R630:R630)</f>
        <v>19.38</v>
      </c>
      <c r="S631" s="33">
        <f>SUM(S630:S630)</f>
        <v>96.335488524590161</v>
      </c>
      <c r="T631" s="97"/>
      <c r="U631" s="98"/>
      <c r="V631" s="99"/>
    </row>
    <row r="632" spans="1:22" x14ac:dyDescent="0.2">
      <c r="A632" s="186" t="s">
        <v>352</v>
      </c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8"/>
      <c r="T632" s="97"/>
      <c r="U632" s="98"/>
      <c r="V632" s="99"/>
    </row>
    <row r="633" spans="1:22" ht="16" thickBot="1" x14ac:dyDescent="0.25">
      <c r="A633" s="35">
        <v>1</v>
      </c>
      <c r="B633" s="6">
        <v>720</v>
      </c>
      <c r="C633" s="6">
        <v>610</v>
      </c>
      <c r="D633" s="43" t="s">
        <v>353</v>
      </c>
      <c r="E633" s="43" t="s">
        <v>85</v>
      </c>
      <c r="F633" s="53">
        <v>1</v>
      </c>
      <c r="G633" s="44">
        <v>1</v>
      </c>
      <c r="H633" s="44">
        <v>1</v>
      </c>
      <c r="I633" s="44">
        <v>1</v>
      </c>
      <c r="J633" s="44">
        <v>1</v>
      </c>
      <c r="K633" s="16" t="s">
        <v>41</v>
      </c>
      <c r="L633" s="16" t="s">
        <v>41</v>
      </c>
      <c r="M633" s="10">
        <f>IF(AND(ISNUMBER(B633),ISNUMBER(C633),B633&gt;0,C633&gt;0),A633*(B633*C633/1000000),0)</f>
        <v>0.43919999999999998</v>
      </c>
      <c r="N633" s="11">
        <f>IF(AND(ISNUMBER(B633),B633&gt;0),A633*(((G633+H633)*B633+(I633+J633)*C633)/1000),0)</f>
        <v>2.66</v>
      </c>
      <c r="O633" s="12">
        <f>IF(E633="HERRAJE",IFERROR(_xlfn.XLOOKUP(D633,'⚙️ Configuración Costos'!$A$11:$A$20,'⚙️ Configuración Costos'!$B$11:$B$20),""),IFERROR(_xlfn.XLOOKUP(E633,'⚙️ Configuración Costos'!$A$5:$A$6,'⚙️ Configuración Costos'!$B$5:$B$6),""))</f>
        <v>332.85245901639348</v>
      </c>
      <c r="P633" s="12">
        <f>IF(E633="HERRAJE",A633*O633,M633*O633)</f>
        <v>146.18880000000001</v>
      </c>
      <c r="Q633" s="19">
        <f>IF(E633="HERRAJE",0,IFERROR(_xlfn.XLOOKUP(E633,'⚙️ Configuración Costos'!$E$5:$E$6,'⚙️ Configuración Costos'!$F$5:$F$6),""))</f>
        <v>9.5</v>
      </c>
      <c r="R633" s="19">
        <f>N633*Q633</f>
        <v>25.270000000000003</v>
      </c>
      <c r="S633" s="38">
        <f>P633+R633</f>
        <v>171.45880000000002</v>
      </c>
      <c r="T633" s="94" t="str">
        <f>IF(K633="","SIN ID MÓDULO",IF(E633="HERRAJE",IF(OR(O633="",O633&lt;=0),"SIN PRECIO HERRAJE","OK"),IF(OR(O633="",O633&lt;=0),"SIN PRECIO MATERIAL",IF(AND(N633&gt;0,OR(Q633="",Q633&lt;=0)),"SIN PRECIO CINTILLA","OK"))))</f>
        <v>OK</v>
      </c>
      <c r="U633" s="95" t="str">
        <f>IF(T633="OK","",IF(T633="SIN PRECIO HERRAJE","Capturar precio: "&amp;D633,IF(T633="SIN PRECIO MATERIAL","Configurar material: "&amp;E633,IF(T633="SIN PRECIO CINTILLA","Configurar cintilla: "&amp;E633,IF(T633="SIN ID MÓDULO","Revisar ID del módulo","")))))</f>
        <v/>
      </c>
      <c r="V633" s="96">
        <f>IF(T633="OK",0,IF(T633="",0,1))</f>
        <v>0</v>
      </c>
    </row>
    <row r="634" spans="1:22" ht="16" thickTop="1" x14ac:dyDescent="0.2">
      <c r="A634" s="27" t="s">
        <v>99</v>
      </c>
      <c r="B634" s="27"/>
      <c r="C634" s="27"/>
      <c r="D634" s="28"/>
      <c r="E634" s="28"/>
      <c r="F634" s="29"/>
      <c r="G634" s="29"/>
      <c r="H634" s="29"/>
      <c r="I634" s="29"/>
      <c r="J634" s="29"/>
      <c r="K634" s="30"/>
      <c r="L634" s="49" t="s">
        <v>188</v>
      </c>
      <c r="M634" s="33">
        <f>SUM(M633:M633)</f>
        <v>0.43919999999999998</v>
      </c>
      <c r="N634" s="33">
        <f>SUM(N633:N633)</f>
        <v>2.66</v>
      </c>
      <c r="O634" s="33"/>
      <c r="P634" s="33">
        <f>SUM(P633:P633)</f>
        <v>146.18880000000001</v>
      </c>
      <c r="Q634" s="33"/>
      <c r="R634" s="33">
        <f>SUM(R633:R633)</f>
        <v>25.270000000000003</v>
      </c>
      <c r="S634" s="33">
        <f>SUM(S633:S633)</f>
        <v>171.45880000000002</v>
      </c>
      <c r="T634" s="97"/>
      <c r="U634" s="98"/>
      <c r="V634" s="99"/>
    </row>
    <row r="635" spans="1:22" x14ac:dyDescent="0.2">
      <c r="A635" s="186" t="s">
        <v>354</v>
      </c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8"/>
      <c r="T635" s="97"/>
      <c r="U635" s="98"/>
      <c r="V635" s="99"/>
    </row>
    <row r="636" spans="1:22" ht="16" thickBot="1" x14ac:dyDescent="0.25">
      <c r="A636" s="35">
        <v>1</v>
      </c>
      <c r="B636" s="6">
        <v>2100</v>
      </c>
      <c r="C636" s="6">
        <v>610</v>
      </c>
      <c r="D636" s="43" t="s">
        <v>355</v>
      </c>
      <c r="E636" s="43" t="s">
        <v>85</v>
      </c>
      <c r="F636" s="53">
        <v>1</v>
      </c>
      <c r="G636" s="44">
        <v>1</v>
      </c>
      <c r="H636" s="44">
        <v>1</v>
      </c>
      <c r="I636" s="44">
        <v>1</v>
      </c>
      <c r="J636" s="44">
        <v>1</v>
      </c>
      <c r="K636" s="16" t="s">
        <v>42</v>
      </c>
      <c r="L636" s="16" t="s">
        <v>42</v>
      </c>
      <c r="M636" s="10">
        <f>IF(AND(ISNUMBER(B636),ISNUMBER(C636),B636&gt;0,C636&gt;0),A636*(B636*C636/1000000),0)</f>
        <v>1.2809999999999999</v>
      </c>
      <c r="N636" s="11">
        <f>IF(AND(ISNUMBER(B636),B636&gt;0),A636*(((G636+H636)*B636+(I636+J636)*C636)/1000),0)</f>
        <v>5.42</v>
      </c>
      <c r="O636" s="12">
        <f>IF(E636="HERRAJE",IFERROR(_xlfn.XLOOKUP(D636,'⚙️ Configuración Costos'!$A$11:$A$20,'⚙️ Configuración Costos'!$B$11:$B$20),""),IFERROR(_xlfn.XLOOKUP(E636,'⚙️ Configuración Costos'!$A$5:$A$6,'⚙️ Configuración Costos'!$B$5:$B$6),""))</f>
        <v>332.85245901639348</v>
      </c>
      <c r="P636" s="12">
        <f>IF(E636="HERRAJE",A636*O636,M636*O636)</f>
        <v>426.38400000000001</v>
      </c>
      <c r="Q636" s="19">
        <f>IF(E636="HERRAJE",0,IFERROR(_xlfn.XLOOKUP(E636,'⚙️ Configuración Costos'!$E$5:$E$6,'⚙️ Configuración Costos'!$F$5:$F$6),""))</f>
        <v>9.5</v>
      </c>
      <c r="R636" s="19">
        <f>N636*Q636</f>
        <v>51.49</v>
      </c>
      <c r="S636" s="38">
        <f>P636+R636</f>
        <v>477.87400000000002</v>
      </c>
      <c r="T636" s="94" t="str">
        <f>IF(K636="","SIN ID MÓDULO",IF(E636="HERRAJE",IF(OR(O636="",O636&lt;=0),"SIN PRECIO HERRAJE","OK"),IF(OR(O636="",O636&lt;=0),"SIN PRECIO MATERIAL",IF(AND(N636&gt;0,OR(Q636="",Q636&lt;=0)),"SIN PRECIO CINTILLA","OK"))))</f>
        <v>OK</v>
      </c>
      <c r="U636" s="95" t="str">
        <f>IF(T636="OK","",IF(T636="SIN PRECIO HERRAJE","Capturar precio: "&amp;D636,IF(T636="SIN PRECIO MATERIAL","Configurar material: "&amp;E636,IF(T636="SIN PRECIO CINTILLA","Configurar cintilla: "&amp;E636,IF(T636="SIN ID MÓDULO","Revisar ID del módulo","")))))</f>
        <v/>
      </c>
      <c r="V636" s="96">
        <f>IF(T636="OK",0,IF(T636="",0,1))</f>
        <v>0</v>
      </c>
    </row>
    <row r="637" spans="1:22" ht="16" thickTop="1" x14ac:dyDescent="0.2">
      <c r="A637" s="27" t="s">
        <v>99</v>
      </c>
      <c r="B637" s="27"/>
      <c r="C637" s="27"/>
      <c r="D637" s="28"/>
      <c r="E637" s="28"/>
      <c r="F637" s="29"/>
      <c r="G637" s="29"/>
      <c r="H637" s="29"/>
      <c r="I637" s="29"/>
      <c r="J637" s="29"/>
      <c r="K637" s="30"/>
      <c r="L637" s="49" t="s">
        <v>188</v>
      </c>
      <c r="M637" s="33">
        <f>SUM(M636:M636)</f>
        <v>1.2809999999999999</v>
      </c>
      <c r="N637" s="33">
        <f>SUM(N636:N636)</f>
        <v>5.42</v>
      </c>
      <c r="O637" s="33"/>
      <c r="P637" s="33">
        <f>SUM(P636:P636)</f>
        <v>426.38400000000001</v>
      </c>
      <c r="Q637" s="33"/>
      <c r="R637" s="33">
        <f>SUM(R636:R636)</f>
        <v>51.49</v>
      </c>
      <c r="S637" s="33">
        <f>SUM(S636:S636)</f>
        <v>477.87400000000002</v>
      </c>
      <c r="T637" s="97"/>
      <c r="U637" s="98"/>
      <c r="V637" s="99"/>
    </row>
    <row r="638" spans="1:22" x14ac:dyDescent="0.2">
      <c r="A638" s="186" t="s">
        <v>356</v>
      </c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8"/>
      <c r="T638" s="97"/>
      <c r="U638" s="98"/>
      <c r="V638" s="99"/>
    </row>
    <row r="639" spans="1:22" ht="16" thickBot="1" x14ac:dyDescent="0.25">
      <c r="A639" s="35">
        <v>1</v>
      </c>
      <c r="B639" s="6">
        <v>2100</v>
      </c>
      <c r="C639" s="6">
        <v>340</v>
      </c>
      <c r="D639" s="43" t="s">
        <v>355</v>
      </c>
      <c r="E639" s="43" t="s">
        <v>85</v>
      </c>
      <c r="F639" s="53">
        <v>1</v>
      </c>
      <c r="G639" s="44">
        <v>1</v>
      </c>
      <c r="H639" s="44">
        <v>1</v>
      </c>
      <c r="I639" s="44">
        <v>1</v>
      </c>
      <c r="J639" s="44">
        <v>1</v>
      </c>
      <c r="K639" s="16" t="s">
        <v>357</v>
      </c>
      <c r="L639" s="16" t="s">
        <v>357</v>
      </c>
      <c r="M639" s="10">
        <f>IF(AND(ISNUMBER(B639),ISNUMBER(C639),B639&gt;0,C639&gt;0),A639*(B639*C639/1000000),0)</f>
        <v>0.71399999999999997</v>
      </c>
      <c r="N639" s="11">
        <f>IF(AND(ISNUMBER(B639),B639&gt;0),A639*(((G639+H639)*B639+(I639+J639)*C639)/1000),0)</f>
        <v>4.88</v>
      </c>
      <c r="O639" s="12">
        <f>IF(E639="HERRAJE",IFERROR(_xlfn.XLOOKUP(D639,'⚙️ Configuración Costos'!$A$11:$A$20,'⚙️ Configuración Costos'!$B$11:$B$20),""),IFERROR(_xlfn.XLOOKUP(E639,'⚙️ Configuración Costos'!$A$5:$A$6,'⚙️ Configuración Costos'!$B$5:$B$6),""))</f>
        <v>332.85245901639348</v>
      </c>
      <c r="P639" s="12">
        <f>IF(E639="HERRAJE",A639*O639,M639*O639)</f>
        <v>237.65665573770494</v>
      </c>
      <c r="Q639" s="19">
        <f>IF(E639="HERRAJE",0,IFERROR(_xlfn.XLOOKUP(E639,'⚙️ Configuración Costos'!$E$5:$E$6,'⚙️ Configuración Costos'!$F$5:$F$6),""))</f>
        <v>9.5</v>
      </c>
      <c r="R639" s="19">
        <f>N639*Q639</f>
        <v>46.36</v>
      </c>
      <c r="S639" s="38">
        <f>P639+R639</f>
        <v>284.01665573770492</v>
      </c>
      <c r="T639" s="94" t="str">
        <f>IF(K639="","SIN ID MÓDULO",IF(E639="HERRAJE",IF(OR(O639="",O639&lt;=0),"SIN PRECIO HERRAJE","OK"),IF(OR(O639="",O639&lt;=0),"SIN PRECIO MATERIAL",IF(AND(N639&gt;0,OR(Q639="",Q639&lt;=0)),"SIN PRECIO CINTILLA","OK"))))</f>
        <v>OK</v>
      </c>
      <c r="U639" s="95" t="str">
        <f>IF(T639="OK","",IF(T639="SIN PRECIO HERRAJE","Capturar precio: "&amp;D639,IF(T639="SIN PRECIO MATERIAL","Configurar material: "&amp;E639,IF(T639="SIN PRECIO CINTILLA","Configurar cintilla: "&amp;E639,IF(T639="SIN ID MÓDULO","Revisar ID del módulo","")))))</f>
        <v/>
      </c>
      <c r="V639" s="96">
        <f>IF(T639="OK",0,IF(T639="",0,1))</f>
        <v>0</v>
      </c>
    </row>
    <row r="640" spans="1:22" ht="16" thickTop="1" x14ac:dyDescent="0.2">
      <c r="A640" s="27" t="s">
        <v>99</v>
      </c>
      <c r="B640" s="27"/>
      <c r="C640" s="27"/>
      <c r="D640" s="28"/>
      <c r="E640" s="28"/>
      <c r="F640" s="29"/>
      <c r="G640" s="29"/>
      <c r="H640" s="29"/>
      <c r="I640" s="29"/>
      <c r="J640" s="29"/>
      <c r="K640" s="30"/>
      <c r="L640" s="49" t="s">
        <v>188</v>
      </c>
      <c r="M640" s="33">
        <f>SUM(M639:M639)</f>
        <v>0.71399999999999997</v>
      </c>
      <c r="N640" s="33">
        <f>SUM(N639:N639)</f>
        <v>4.88</v>
      </c>
      <c r="O640" s="33"/>
      <c r="P640" s="33">
        <f>SUM(P639:P639)</f>
        <v>237.65665573770494</v>
      </c>
      <c r="Q640" s="33"/>
      <c r="R640" s="33">
        <f>SUM(R639:R639)</f>
        <v>46.36</v>
      </c>
      <c r="S640" s="33">
        <f>SUM(S639:S639)</f>
        <v>284.01665573770492</v>
      </c>
      <c r="T640" s="97"/>
      <c r="U640" s="98"/>
      <c r="V640" s="99"/>
    </row>
    <row r="641" spans="1:22" x14ac:dyDescent="0.2">
      <c r="A641" s="186" t="s">
        <v>358</v>
      </c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8"/>
      <c r="T641" s="97"/>
      <c r="U641" s="98"/>
      <c r="V641" s="99"/>
    </row>
    <row r="642" spans="1:22" ht="16" thickBot="1" x14ac:dyDescent="0.25">
      <c r="A642" s="35">
        <v>1</v>
      </c>
      <c r="B642" s="6">
        <v>2400</v>
      </c>
      <c r="C642" s="6">
        <v>150</v>
      </c>
      <c r="D642" s="43" t="s">
        <v>359</v>
      </c>
      <c r="E642" s="43" t="s">
        <v>85</v>
      </c>
      <c r="F642" s="53">
        <v>1</v>
      </c>
      <c r="G642" s="44">
        <v>1</v>
      </c>
      <c r="H642" s="44">
        <v>1</v>
      </c>
      <c r="I642" s="44">
        <v>1</v>
      </c>
      <c r="J642" s="44">
        <v>1</v>
      </c>
      <c r="K642" s="16" t="s">
        <v>43</v>
      </c>
      <c r="L642" s="16" t="s">
        <v>43</v>
      </c>
      <c r="M642" s="10">
        <f>IF(AND(ISNUMBER(B642),ISNUMBER(C642),B642&gt;0,C642&gt;0),A642*(B642*C642/1000000),0)</f>
        <v>0.36</v>
      </c>
      <c r="N642" s="11">
        <f>IF(AND(ISNUMBER(B642),B642&gt;0),A642*(((G642+H642)*B642+(I642+J642)*C642)/1000),0)</f>
        <v>5.0999999999999996</v>
      </c>
      <c r="O642" s="12">
        <f>IF(E642="HERRAJE",IFERROR(_xlfn.XLOOKUP(D642,'⚙️ Configuración Costos'!$A$11:$A$20,'⚙️ Configuración Costos'!$B$11:$B$20),""),IFERROR(_xlfn.XLOOKUP(E642,'⚙️ Configuración Costos'!$A$5:$A$6,'⚙️ Configuración Costos'!$B$5:$B$6),""))</f>
        <v>332.85245901639348</v>
      </c>
      <c r="P642" s="12">
        <f>IF(E642="HERRAJE",A642*O642,M642*O642)</f>
        <v>119.82688524590165</v>
      </c>
      <c r="Q642" s="19">
        <f>IF(E642="HERRAJE",0,IFERROR(_xlfn.XLOOKUP(E642,'⚙️ Configuración Costos'!$E$5:$E$6,'⚙️ Configuración Costos'!$F$5:$F$6),""))</f>
        <v>9.5</v>
      </c>
      <c r="R642" s="19">
        <f>N642*Q642</f>
        <v>48.449999999999996</v>
      </c>
      <c r="S642" s="38">
        <f>P642+R642</f>
        <v>168.27688524590164</v>
      </c>
      <c r="T642" s="94" t="str">
        <f>IF(K642="","SIN ID MÓDULO",IF(E642="HERRAJE",IF(OR(O642="",O642&lt;=0),"SIN PRECIO HERRAJE","OK"),IF(OR(O642="",O642&lt;=0),"SIN PRECIO MATERIAL",IF(AND(N642&gt;0,OR(Q642="",Q642&lt;=0)),"SIN PRECIO CINTILLA","OK"))))</f>
        <v>OK</v>
      </c>
      <c r="U642" s="95" t="str">
        <f>IF(T642="OK","",IF(T642="SIN PRECIO HERRAJE","Capturar precio: "&amp;D642,IF(T642="SIN PRECIO MATERIAL","Configurar material: "&amp;E642,IF(T642="SIN PRECIO CINTILLA","Configurar cintilla: "&amp;E642,IF(T642="SIN ID MÓDULO","Revisar ID del módulo","")))))</f>
        <v/>
      </c>
      <c r="V642" s="96">
        <f>IF(T642="OK",0,IF(T642="",0,1))</f>
        <v>0</v>
      </c>
    </row>
    <row r="643" spans="1:22" ht="16" thickTop="1" x14ac:dyDescent="0.2">
      <c r="A643" s="27" t="s">
        <v>99</v>
      </c>
      <c r="B643" s="27"/>
      <c r="C643" s="27"/>
      <c r="D643" s="28"/>
      <c r="E643" s="28"/>
      <c r="F643" s="29"/>
      <c r="G643" s="29"/>
      <c r="H643" s="29"/>
      <c r="I643" s="29"/>
      <c r="J643" s="29"/>
      <c r="K643" s="30"/>
      <c r="L643" s="49" t="s">
        <v>188</v>
      </c>
      <c r="M643" s="33">
        <f>SUM(M642:M642)</f>
        <v>0.36</v>
      </c>
      <c r="N643" s="33">
        <f>SUM(N642:N642)</f>
        <v>5.0999999999999996</v>
      </c>
      <c r="O643" s="33"/>
      <c r="P643" s="33">
        <f>SUM(P642:P642)</f>
        <v>119.82688524590165</v>
      </c>
      <c r="Q643" s="33"/>
      <c r="R643" s="33">
        <f>SUM(R642:R642)</f>
        <v>48.449999999999996</v>
      </c>
      <c r="S643" s="33">
        <f>SUM(S642:S642)</f>
        <v>168.27688524590164</v>
      </c>
      <c r="T643" s="97"/>
      <c r="U643" s="98"/>
      <c r="V643" s="99"/>
    </row>
  </sheetData>
  <mergeCells count="48">
    <mergeCell ref="A557:S557"/>
    <mergeCell ref="A585:S585"/>
    <mergeCell ref="A641:S641"/>
    <mergeCell ref="A535:S535"/>
    <mergeCell ref="A635:S635"/>
    <mergeCell ref="A638:S638"/>
    <mergeCell ref="A626:S626"/>
    <mergeCell ref="A615:S615"/>
    <mergeCell ref="A629:S629"/>
    <mergeCell ref="A632:S632"/>
    <mergeCell ref="A2:S2"/>
    <mergeCell ref="A207:S207"/>
    <mergeCell ref="A34:S34"/>
    <mergeCell ref="A73:S73"/>
    <mergeCell ref="A353:S353"/>
    <mergeCell ref="A60:S60"/>
    <mergeCell ref="A101:S101"/>
    <mergeCell ref="A87:S87"/>
    <mergeCell ref="A299:S299"/>
    <mergeCell ref="A189:S189"/>
    <mergeCell ref="A127:S127"/>
    <mergeCell ref="A181:S181"/>
    <mergeCell ref="A47:S47"/>
    <mergeCell ref="A334:S334"/>
    <mergeCell ref="A252:S252"/>
    <mergeCell ref="A237:S237"/>
    <mergeCell ref="A21:S21"/>
    <mergeCell ref="A283:S283"/>
    <mergeCell ref="A151:S151"/>
    <mergeCell ref="A500:S500"/>
    <mergeCell ref="A429:S429"/>
    <mergeCell ref="A468:S468"/>
    <mergeCell ref="A455:S455"/>
    <mergeCell ref="A139:S139"/>
    <mergeCell ref="A406:S406"/>
    <mergeCell ref="A395:S395"/>
    <mergeCell ref="A267:S267"/>
    <mergeCell ref="A163:S163"/>
    <mergeCell ref="A115:S115"/>
    <mergeCell ref="A173:S173"/>
    <mergeCell ref="A372:S372"/>
    <mergeCell ref="A380:S380"/>
    <mergeCell ref="A515:S515"/>
    <mergeCell ref="A442:S442"/>
    <mergeCell ref="A417:S417"/>
    <mergeCell ref="A484:S484"/>
    <mergeCell ref="A222:S222"/>
    <mergeCell ref="A315:S315"/>
  </mergeCells>
  <conditionalFormatting sqref="T2:T584">
    <cfRule type="expression" dxfId="19" priority="22">
      <formula>T2="OK"</formula>
    </cfRule>
    <cfRule type="expression" dxfId="18" priority="23">
      <formula>LEFT(T2,3)="SIN"</formula>
    </cfRule>
  </conditionalFormatting>
  <conditionalFormatting sqref="T557:T643">
    <cfRule type="expression" dxfId="17" priority="1">
      <formula>T557="OK"</formula>
    </cfRule>
    <cfRule type="expression" dxfId="16" priority="2">
      <formula>LEFT(T557,3)="SIN"</formula>
    </cfRule>
  </conditionalFormatting>
  <conditionalFormatting sqref="U2:U643">
    <cfRule type="expression" dxfId="15" priority="3">
      <formula>$V2=1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13"/>
  <sheetViews>
    <sheetView topLeftCell="A396" zoomScale="150" zoomScaleNormal="150" workbookViewId="0">
      <selection activeCell="G414" sqref="G414"/>
    </sheetView>
  </sheetViews>
  <sheetFormatPr baseColWidth="10" defaultColWidth="8.83203125" defaultRowHeight="15" x14ac:dyDescent="0.2"/>
  <cols>
    <col min="1" max="1" width="8.5" bestFit="1" customWidth="1"/>
    <col min="2" max="2" width="9.83203125" bestFit="1" customWidth="1"/>
    <col min="3" max="3" width="10.33203125" bestFit="1" customWidth="1"/>
    <col min="4" max="4" width="26.1640625" style="4" bestFit="1" customWidth="1"/>
    <col min="5" max="5" width="13" style="4" bestFit="1" customWidth="1"/>
    <col min="6" max="6" width="4.83203125" bestFit="1" customWidth="1"/>
    <col min="7" max="8" width="6.6640625" bestFit="1" customWidth="1"/>
    <col min="9" max="10" width="7.1640625" bestFit="1" customWidth="1"/>
    <col min="11" max="11" width="16.83203125" bestFit="1" customWidth="1"/>
    <col min="12" max="12" width="19" bestFit="1" customWidth="1"/>
    <col min="13" max="13" width="9" bestFit="1" customWidth="1"/>
    <col min="14" max="14" width="9.5" bestFit="1" customWidth="1"/>
    <col min="15" max="15" width="10" bestFit="1" customWidth="1"/>
    <col min="16" max="16" width="9.1640625" bestFit="1" customWidth="1"/>
    <col min="17" max="17" width="10" bestFit="1" customWidth="1"/>
    <col min="18" max="18" width="15.33203125" bestFit="1" customWidth="1"/>
    <col min="19" max="19" width="10.1640625" bestFit="1" customWidth="1"/>
    <col min="20" max="20" width="7.6640625" bestFit="1" customWidth="1"/>
    <col min="21" max="21" width="11.5" bestFit="1" customWidth="1"/>
    <col min="22" max="22" width="4.83203125" bestFit="1" customWidth="1"/>
  </cols>
  <sheetData>
    <row r="1" spans="1:22" s="4" customFormat="1" ht="30" x14ac:dyDescent="0.2">
      <c r="A1" s="5" t="s">
        <v>0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4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91" t="s">
        <v>463</v>
      </c>
      <c r="U1" s="92" t="s">
        <v>464</v>
      </c>
      <c r="V1" s="93" t="s">
        <v>465</v>
      </c>
    </row>
    <row r="2" spans="1:22" x14ac:dyDescent="0.2">
      <c r="A2" s="192" t="s">
        <v>62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4"/>
      <c r="T2" s="97"/>
      <c r="U2" s="98"/>
      <c r="V2" s="99"/>
    </row>
    <row r="3" spans="1:22" s="4" customFormat="1" x14ac:dyDescent="0.2">
      <c r="A3" s="34">
        <v>1</v>
      </c>
      <c r="B3" s="44">
        <v>680</v>
      </c>
      <c r="C3" s="44">
        <v>320</v>
      </c>
      <c r="D3" s="14" t="s">
        <v>63</v>
      </c>
      <c r="E3" s="43" t="s">
        <v>85</v>
      </c>
      <c r="F3" s="44">
        <v>1</v>
      </c>
      <c r="G3" s="44">
        <v>1</v>
      </c>
      <c r="H3" s="44">
        <v>1</v>
      </c>
      <c r="I3" s="44">
        <v>1</v>
      </c>
      <c r="J3" s="44">
        <v>1</v>
      </c>
      <c r="K3" s="16" t="s">
        <v>3</v>
      </c>
      <c r="L3" s="46" t="s">
        <v>65</v>
      </c>
      <c r="M3" s="17">
        <f t="shared" ref="M3:M20" si="0">IF(AND(ISNUMBER(B3),ISNUMBER(C3),B3&gt;0,C3&gt;0),A3*(B3*C3/1000000),0)</f>
        <v>0.21759999999999999</v>
      </c>
      <c r="N3" s="18">
        <f t="shared" ref="N3:N20" si="1">IF(AND(ISNUMBER(B3),B3&gt;0),A3*(((G3+H3)*B3+(I3+J3)*C3)/1000),0)</f>
        <v>2</v>
      </c>
      <c r="O3" s="19">
        <f>IF(E3="HERRAJE",IFERROR(_xlfn.XLOOKUP(D3,'⚙️ Configuración Costos'!$A$11:$A$20,'⚙️ Configuración Costos'!$B$11:$B$20),""),IFERROR(_xlfn.XLOOKUP(E3,'⚙️ Configuración Costos'!$A$5:$A$6,'⚙️ Configuración Costos'!$B$5:$B$6),""))</f>
        <v>332.85245901639348</v>
      </c>
      <c r="P3" s="19">
        <f t="shared" ref="P3:P20" si="2">IF(E3="HERRAJE",A3*O3,M3*O3)</f>
        <v>72.42869508196722</v>
      </c>
      <c r="Q3" s="19">
        <f>IF(E3="HERRAJE",0,IFERROR(_xlfn.XLOOKUP(E3,'⚙️ Configuración Costos'!$E$5:$E$6,'⚙️ Configuración Costos'!$F$5:$F$6),""))</f>
        <v>9.5</v>
      </c>
      <c r="R3" s="19">
        <f t="shared" ref="R3:R20" si="3">N3*Q3</f>
        <v>19</v>
      </c>
      <c r="S3" s="37">
        <f t="shared" ref="S3:S20" si="4">P3+R3</f>
        <v>91.42869508196722</v>
      </c>
      <c r="T3" s="94" t="str">
        <f t="shared" ref="T3:T20" si="5">IF(K3="","SIN ID MÓDULO",IF(E3="HERRAJE",IF(OR(O3="",O3&lt;=0),"SIN PRECIO HERRAJE","OK"),IF(OR(O3="",O3&lt;=0),"SIN PRECIO MATERIAL",IF(AND(N3&gt;0,OR(Q3="",Q3&lt;=0)),"SIN PRECIO CINTILLA","OK"))))</f>
        <v>OK</v>
      </c>
      <c r="U3" s="95" t="str">
        <f t="shared" ref="U3:U20" si="6">IF(T3="OK","",IF(T3="SIN PRECIO HERRAJE","Capturar precio: "&amp;D3,IF(T3="SIN PRECIO MATERIAL","Configurar material: "&amp;E3,IF(T3="SIN PRECIO CINTILLA","Configurar cintilla: "&amp;E3,IF(T3="SIN ID MÓDULO","Revisar ID del módulo","")))))</f>
        <v/>
      </c>
      <c r="V3" s="96">
        <f t="shared" ref="V3:V20" si="7">IF(T3="OK",0,IF(T3="",0,1))</f>
        <v>0</v>
      </c>
    </row>
    <row r="4" spans="1:22" s="4" customFormat="1" x14ac:dyDescent="0.2">
      <c r="A4" s="34">
        <v>1</v>
      </c>
      <c r="B4" s="44">
        <v>680</v>
      </c>
      <c r="C4" s="44">
        <v>320</v>
      </c>
      <c r="D4" s="7" t="s">
        <v>66</v>
      </c>
      <c r="E4" s="43" t="s">
        <v>85</v>
      </c>
      <c r="F4" s="44">
        <v>1</v>
      </c>
      <c r="G4" s="44">
        <v>1</v>
      </c>
      <c r="H4" s="44">
        <v>1</v>
      </c>
      <c r="I4" s="44">
        <v>1</v>
      </c>
      <c r="J4" s="44">
        <v>1</v>
      </c>
      <c r="K4" s="16" t="s">
        <v>3</v>
      </c>
      <c r="L4" s="46" t="s">
        <v>67</v>
      </c>
      <c r="M4" s="17">
        <f t="shared" si="0"/>
        <v>0.21759999999999999</v>
      </c>
      <c r="N4" s="18">
        <f t="shared" si="1"/>
        <v>2</v>
      </c>
      <c r="O4" s="19">
        <f>IF(E4="HERRAJE",IFERROR(_xlfn.XLOOKUP(D4,'⚙️ Configuración Costos'!$A$11:$A$20,'⚙️ Configuración Costos'!$B$11:$B$20),""),IFERROR(_xlfn.XLOOKUP(E4,'⚙️ Configuración Costos'!$A$5:$A$6,'⚙️ Configuración Costos'!$B$5:$B$6),""))</f>
        <v>332.85245901639348</v>
      </c>
      <c r="P4" s="19">
        <f t="shared" si="2"/>
        <v>72.42869508196722</v>
      </c>
      <c r="Q4" s="19">
        <f>IF(E4="HERRAJE",0,IFERROR(_xlfn.XLOOKUP(E4,'⚙️ Configuración Costos'!$E$5:$E$6,'⚙️ Configuración Costos'!$F$5:$F$6),""))</f>
        <v>9.5</v>
      </c>
      <c r="R4" s="19">
        <f t="shared" si="3"/>
        <v>19</v>
      </c>
      <c r="S4" s="37">
        <f t="shared" si="4"/>
        <v>91.42869508196722</v>
      </c>
      <c r="T4" s="94" t="str">
        <f t="shared" si="5"/>
        <v>OK</v>
      </c>
      <c r="U4" s="95" t="str">
        <f t="shared" si="6"/>
        <v/>
      </c>
      <c r="V4" s="96">
        <f t="shared" si="7"/>
        <v>0</v>
      </c>
    </row>
    <row r="5" spans="1:22" s="4" customFormat="1" x14ac:dyDescent="0.2">
      <c r="A5" s="34">
        <v>1</v>
      </c>
      <c r="B5" s="44">
        <v>649</v>
      </c>
      <c r="C5" s="44">
        <v>619</v>
      </c>
      <c r="D5" s="43" t="s">
        <v>68</v>
      </c>
      <c r="E5" s="43" t="s">
        <v>85</v>
      </c>
      <c r="F5" s="44">
        <v>1</v>
      </c>
      <c r="G5" s="44">
        <v>0</v>
      </c>
      <c r="H5" s="44">
        <v>0</v>
      </c>
      <c r="I5" s="44">
        <v>0</v>
      </c>
      <c r="J5" s="44">
        <v>0</v>
      </c>
      <c r="K5" s="16" t="s">
        <v>3</v>
      </c>
      <c r="L5" s="46" t="s">
        <v>69</v>
      </c>
      <c r="M5" s="17">
        <f t="shared" si="0"/>
        <v>0.401731</v>
      </c>
      <c r="N5" s="18">
        <f t="shared" si="1"/>
        <v>0</v>
      </c>
      <c r="O5" s="19">
        <f>IF(E5="HERRAJE",IFERROR(_xlfn.XLOOKUP(D5,'⚙️ Configuración Costos'!$A$11:$A$20,'⚙️ Configuración Costos'!$B$11:$B$20),""),IFERROR(_xlfn.XLOOKUP(E5,'⚙️ Configuración Costos'!$A$5:$A$6,'⚙️ Configuración Costos'!$B$5:$B$6),""))</f>
        <v>332.85245901639348</v>
      </c>
      <c r="P5" s="19">
        <f t="shared" si="2"/>
        <v>133.71715121311476</v>
      </c>
      <c r="Q5" s="19">
        <f>IF(E5="HERRAJE",0,IFERROR(_xlfn.XLOOKUP(E5,'⚙️ Configuración Costos'!$E$5:$E$6,'⚙️ Configuración Costos'!$F$5:$F$6),""))</f>
        <v>9.5</v>
      </c>
      <c r="R5" s="19">
        <f t="shared" si="3"/>
        <v>0</v>
      </c>
      <c r="S5" s="37">
        <f t="shared" si="4"/>
        <v>133.71715121311476</v>
      </c>
      <c r="T5" s="94" t="str">
        <f t="shared" si="5"/>
        <v>OK</v>
      </c>
      <c r="U5" s="95" t="str">
        <f t="shared" si="6"/>
        <v/>
      </c>
      <c r="V5" s="96">
        <f t="shared" si="7"/>
        <v>0</v>
      </c>
    </row>
    <row r="6" spans="1:22" s="4" customFormat="1" x14ac:dyDescent="0.2">
      <c r="A6" s="34">
        <v>1</v>
      </c>
      <c r="B6" s="44">
        <v>619</v>
      </c>
      <c r="C6" s="44">
        <v>320</v>
      </c>
      <c r="D6" s="43" t="s">
        <v>70</v>
      </c>
      <c r="E6" s="43" t="s">
        <v>85</v>
      </c>
      <c r="F6" s="44">
        <v>1</v>
      </c>
      <c r="G6" s="44">
        <v>1</v>
      </c>
      <c r="H6" s="44">
        <v>1</v>
      </c>
      <c r="I6" s="44">
        <v>0</v>
      </c>
      <c r="J6" s="44">
        <v>0</v>
      </c>
      <c r="K6" s="16" t="s">
        <v>3</v>
      </c>
      <c r="L6" s="46" t="s">
        <v>71</v>
      </c>
      <c r="M6" s="17">
        <f t="shared" si="0"/>
        <v>0.19808000000000001</v>
      </c>
      <c r="N6" s="18">
        <f t="shared" si="1"/>
        <v>1.238</v>
      </c>
      <c r="O6" s="19">
        <f>IF(E6="HERRAJE",IFERROR(_xlfn.XLOOKUP(D6,'⚙️ Configuración Costos'!$A$11:$A$20,'⚙️ Configuración Costos'!$B$11:$B$20),""),IFERROR(_xlfn.XLOOKUP(E6,'⚙️ Configuración Costos'!$A$5:$A$6,'⚙️ Configuración Costos'!$B$5:$B$6),""))</f>
        <v>332.85245901639348</v>
      </c>
      <c r="P6" s="19">
        <f t="shared" si="2"/>
        <v>65.931415081967216</v>
      </c>
      <c r="Q6" s="19">
        <f>IF(E6="HERRAJE",0,IFERROR(_xlfn.XLOOKUP(E6,'⚙️ Configuración Costos'!$E$5:$E$6,'⚙️ Configuración Costos'!$F$5:$F$6),""))</f>
        <v>9.5</v>
      </c>
      <c r="R6" s="19">
        <f t="shared" si="3"/>
        <v>11.760999999999999</v>
      </c>
      <c r="S6" s="37">
        <f t="shared" si="4"/>
        <v>77.692415081967212</v>
      </c>
      <c r="T6" s="94" t="str">
        <f t="shared" si="5"/>
        <v>OK</v>
      </c>
      <c r="U6" s="95" t="str">
        <f t="shared" si="6"/>
        <v/>
      </c>
      <c r="V6" s="96">
        <f t="shared" si="7"/>
        <v>0</v>
      </c>
    </row>
    <row r="7" spans="1:22" s="4" customFormat="1" x14ac:dyDescent="0.2">
      <c r="A7" s="34">
        <v>1</v>
      </c>
      <c r="B7" s="44">
        <v>619</v>
      </c>
      <c r="C7" s="44">
        <v>320</v>
      </c>
      <c r="D7" s="43" t="s">
        <v>72</v>
      </c>
      <c r="E7" s="43" t="s">
        <v>85</v>
      </c>
      <c r="F7" s="44">
        <v>1</v>
      </c>
      <c r="G7" s="44">
        <v>1</v>
      </c>
      <c r="H7" s="44">
        <v>1</v>
      </c>
      <c r="I7" s="44">
        <v>0</v>
      </c>
      <c r="J7" s="44">
        <v>0</v>
      </c>
      <c r="K7" s="16" t="s">
        <v>3</v>
      </c>
      <c r="L7" s="46" t="s">
        <v>73</v>
      </c>
      <c r="M7" s="17">
        <f t="shared" si="0"/>
        <v>0.19808000000000001</v>
      </c>
      <c r="N7" s="18">
        <f t="shared" si="1"/>
        <v>1.238</v>
      </c>
      <c r="O7" s="19">
        <f>IF(E7="HERRAJE",IFERROR(_xlfn.XLOOKUP(D7,'⚙️ Configuración Costos'!$A$11:$A$20,'⚙️ Configuración Costos'!$B$11:$B$20),""),IFERROR(_xlfn.XLOOKUP(E7,'⚙️ Configuración Costos'!$A$5:$A$6,'⚙️ Configuración Costos'!$B$5:$B$6),""))</f>
        <v>332.85245901639348</v>
      </c>
      <c r="P7" s="19">
        <f t="shared" si="2"/>
        <v>65.931415081967216</v>
      </c>
      <c r="Q7" s="19">
        <f>IF(E7="HERRAJE",0,IFERROR(_xlfn.XLOOKUP(E7,'⚙️ Configuración Costos'!$E$5:$E$6,'⚙️ Configuración Costos'!$F$5:$F$6),""))</f>
        <v>9.5</v>
      </c>
      <c r="R7" s="19">
        <f t="shared" si="3"/>
        <v>11.760999999999999</v>
      </c>
      <c r="S7" s="37">
        <f t="shared" si="4"/>
        <v>77.692415081967212</v>
      </c>
      <c r="T7" s="94" t="str">
        <f t="shared" si="5"/>
        <v>OK</v>
      </c>
      <c r="U7" s="95" t="str">
        <f t="shared" si="6"/>
        <v/>
      </c>
      <c r="V7" s="96">
        <f t="shared" si="7"/>
        <v>0</v>
      </c>
    </row>
    <row r="8" spans="1:22" s="4" customFormat="1" x14ac:dyDescent="0.2">
      <c r="A8" s="34">
        <v>1</v>
      </c>
      <c r="B8" s="44">
        <v>619</v>
      </c>
      <c r="C8" s="44">
        <v>256</v>
      </c>
      <c r="D8" s="43" t="s">
        <v>466</v>
      </c>
      <c r="E8" s="43" t="s">
        <v>85</v>
      </c>
      <c r="F8" s="44">
        <v>1</v>
      </c>
      <c r="G8" s="44">
        <v>1</v>
      </c>
      <c r="H8" s="44">
        <v>0</v>
      </c>
      <c r="I8" s="44">
        <v>0</v>
      </c>
      <c r="J8" s="44">
        <v>0</v>
      </c>
      <c r="K8" s="16" t="s">
        <v>3</v>
      </c>
      <c r="L8" s="46" t="s">
        <v>77</v>
      </c>
      <c r="M8" s="17">
        <f t="shared" si="0"/>
        <v>0.15846399999999999</v>
      </c>
      <c r="N8" s="18">
        <f t="shared" si="1"/>
        <v>0.61899999999999999</v>
      </c>
      <c r="O8" s="19">
        <f>IF(E8="HERRAJE",IFERROR(_xlfn.XLOOKUP(D8,'⚙️ Configuración Costos'!$A$11:$A$20,'⚙️ Configuración Costos'!$B$11:$B$20),""),IFERROR(_xlfn.XLOOKUP(E8,'⚙️ Configuración Costos'!$A$5:$A$6,'⚙️ Configuración Costos'!$B$5:$B$6),""))</f>
        <v>332.85245901639348</v>
      </c>
      <c r="P8" s="19">
        <f t="shared" si="2"/>
        <v>52.745132065573777</v>
      </c>
      <c r="Q8" s="19">
        <f>IF(E8="HERRAJE",0,IFERROR(_xlfn.XLOOKUP(E8,'⚙️ Configuración Costos'!$E$5:$E$6,'⚙️ Configuración Costos'!$F$5:$F$6),""))</f>
        <v>9.5</v>
      </c>
      <c r="R8" s="19">
        <f t="shared" si="3"/>
        <v>5.8804999999999996</v>
      </c>
      <c r="S8" s="37">
        <f t="shared" si="4"/>
        <v>58.625632065573775</v>
      </c>
      <c r="T8" s="94" t="str">
        <f t="shared" si="5"/>
        <v>OK</v>
      </c>
      <c r="U8" s="95" t="str">
        <f t="shared" si="6"/>
        <v/>
      </c>
      <c r="V8" s="96">
        <f t="shared" si="7"/>
        <v>0</v>
      </c>
    </row>
    <row r="9" spans="1:22" s="4" customFormat="1" x14ac:dyDescent="0.2">
      <c r="A9" s="34">
        <v>1</v>
      </c>
      <c r="B9" s="44">
        <v>649</v>
      </c>
      <c r="C9" s="44">
        <v>339</v>
      </c>
      <c r="D9" s="43" t="s">
        <v>74</v>
      </c>
      <c r="E9" s="43" t="s">
        <v>85</v>
      </c>
      <c r="F9" s="44">
        <v>1</v>
      </c>
      <c r="G9" s="44">
        <v>0</v>
      </c>
      <c r="H9" s="44">
        <v>0</v>
      </c>
      <c r="I9" s="44">
        <v>0</v>
      </c>
      <c r="J9" s="44">
        <v>0</v>
      </c>
      <c r="K9" s="16" t="s">
        <v>3</v>
      </c>
      <c r="L9" s="46" t="s">
        <v>75</v>
      </c>
      <c r="M9" s="17">
        <f t="shared" si="0"/>
        <v>0.22001100000000001</v>
      </c>
      <c r="N9" s="18">
        <f t="shared" si="1"/>
        <v>0</v>
      </c>
      <c r="O9" s="19">
        <f>IF(E9="HERRAJE",IFERROR(_xlfn.XLOOKUP(D9,'⚙️ Configuración Costos'!$A$11:$A$20,'⚙️ Configuración Costos'!$B$11:$B$20),""),IFERROR(_xlfn.XLOOKUP(E9,'⚙️ Configuración Costos'!$A$5:$A$6,'⚙️ Configuración Costos'!$B$5:$B$6),""))</f>
        <v>332.85245901639348</v>
      </c>
      <c r="P9" s="19">
        <f t="shared" si="2"/>
        <v>73.231202360655757</v>
      </c>
      <c r="Q9" s="19">
        <f>IF(E9="HERRAJE",0,IFERROR(_xlfn.XLOOKUP(E9,'⚙️ Configuración Costos'!$E$5:$E$6,'⚙️ Configuración Costos'!$F$5:$F$6),""))</f>
        <v>9.5</v>
      </c>
      <c r="R9" s="19">
        <f t="shared" si="3"/>
        <v>0</v>
      </c>
      <c r="S9" s="37">
        <f t="shared" si="4"/>
        <v>73.231202360655757</v>
      </c>
      <c r="T9" s="94" t="str">
        <f t="shared" si="5"/>
        <v>OK</v>
      </c>
      <c r="U9" s="95" t="str">
        <f t="shared" si="6"/>
        <v/>
      </c>
      <c r="V9" s="96">
        <f t="shared" si="7"/>
        <v>0</v>
      </c>
    </row>
    <row r="10" spans="1:22" s="4" customFormat="1" x14ac:dyDescent="0.2">
      <c r="A10" s="34">
        <v>1</v>
      </c>
      <c r="B10" s="44">
        <v>649</v>
      </c>
      <c r="C10" s="44">
        <v>70</v>
      </c>
      <c r="D10" s="43" t="s">
        <v>78</v>
      </c>
      <c r="E10" s="43" t="s">
        <v>85</v>
      </c>
      <c r="F10" s="44">
        <v>1</v>
      </c>
      <c r="G10" s="44">
        <v>1</v>
      </c>
      <c r="H10" s="44">
        <v>1</v>
      </c>
      <c r="I10" s="44">
        <v>0</v>
      </c>
      <c r="J10" s="44">
        <v>0</v>
      </c>
      <c r="K10" s="16" t="s">
        <v>3</v>
      </c>
      <c r="L10" s="46" t="s">
        <v>79</v>
      </c>
      <c r="M10" s="17">
        <f t="shared" si="0"/>
        <v>4.5429999999999998E-2</v>
      </c>
      <c r="N10" s="18">
        <f t="shared" si="1"/>
        <v>1.298</v>
      </c>
      <c r="O10" s="19">
        <f>IF(E10="HERRAJE",IFERROR(_xlfn.XLOOKUP(D10,'⚙️ Configuración Costos'!$A$11:$A$20,'⚙️ Configuración Costos'!$B$11:$B$20),""),IFERROR(_xlfn.XLOOKUP(E10,'⚙️ Configuración Costos'!$A$5:$A$6,'⚙️ Configuración Costos'!$B$5:$B$6),""))</f>
        <v>332.85245901639348</v>
      </c>
      <c r="P10" s="19">
        <f t="shared" si="2"/>
        <v>15.121487213114754</v>
      </c>
      <c r="Q10" s="19">
        <f>IF(E10="HERRAJE",0,IFERROR(_xlfn.XLOOKUP(E10,'⚙️ Configuración Costos'!$E$5:$E$6,'⚙️ Configuración Costos'!$F$5:$F$6),""))</f>
        <v>9.5</v>
      </c>
      <c r="R10" s="19">
        <f t="shared" si="3"/>
        <v>12.331</v>
      </c>
      <c r="S10" s="37">
        <f t="shared" si="4"/>
        <v>27.452487213114754</v>
      </c>
      <c r="T10" s="94" t="str">
        <f t="shared" si="5"/>
        <v>OK</v>
      </c>
      <c r="U10" s="95" t="str">
        <f t="shared" si="6"/>
        <v/>
      </c>
      <c r="V10" s="96">
        <f t="shared" si="7"/>
        <v>0</v>
      </c>
    </row>
    <row r="11" spans="1:22" s="4" customFormat="1" x14ac:dyDescent="0.2">
      <c r="A11" s="34">
        <v>1</v>
      </c>
      <c r="B11" s="44">
        <v>320</v>
      </c>
      <c r="C11" s="44">
        <v>50</v>
      </c>
      <c r="D11" s="43" t="s">
        <v>80</v>
      </c>
      <c r="E11" s="43" t="s">
        <v>85</v>
      </c>
      <c r="F11" s="44">
        <v>1</v>
      </c>
      <c r="G11" s="44">
        <v>0</v>
      </c>
      <c r="H11" s="44">
        <v>0</v>
      </c>
      <c r="I11" s="44">
        <v>1</v>
      </c>
      <c r="J11" s="44">
        <v>1</v>
      </c>
      <c r="K11" s="16" t="s">
        <v>3</v>
      </c>
      <c r="L11" s="46" t="s">
        <v>81</v>
      </c>
      <c r="M11" s="17">
        <f t="shared" si="0"/>
        <v>1.6E-2</v>
      </c>
      <c r="N11" s="18">
        <f t="shared" si="1"/>
        <v>0.1</v>
      </c>
      <c r="O11" s="19">
        <f>IF(E11="HERRAJE",IFERROR(_xlfn.XLOOKUP(D11,'⚙️ Configuración Costos'!$A$11:$A$20,'⚙️ Configuración Costos'!$B$11:$B$20),""),IFERROR(_xlfn.XLOOKUP(E11,'⚙️ Configuración Costos'!$A$5:$A$6,'⚙️ Configuración Costos'!$B$5:$B$6),""))</f>
        <v>332.85245901639348</v>
      </c>
      <c r="P11" s="19">
        <f t="shared" si="2"/>
        <v>5.3256393442622958</v>
      </c>
      <c r="Q11" s="19">
        <f>IF(E11="HERRAJE",0,IFERROR(_xlfn.XLOOKUP(E11,'⚙️ Configuración Costos'!$E$5:$E$6,'⚙️ Configuración Costos'!$F$5:$F$6),""))</f>
        <v>9.5</v>
      </c>
      <c r="R11" s="19">
        <f t="shared" si="3"/>
        <v>0.95000000000000007</v>
      </c>
      <c r="S11" s="37">
        <f t="shared" si="4"/>
        <v>6.275639344262296</v>
      </c>
      <c r="T11" s="94" t="str">
        <f t="shared" si="5"/>
        <v>OK</v>
      </c>
      <c r="U11" s="95" t="str">
        <f t="shared" si="6"/>
        <v/>
      </c>
      <c r="V11" s="96">
        <f t="shared" si="7"/>
        <v>0</v>
      </c>
    </row>
    <row r="12" spans="1:22" s="4" customFormat="1" x14ac:dyDescent="0.2">
      <c r="A12" s="34">
        <v>1</v>
      </c>
      <c r="B12" s="44">
        <v>320</v>
      </c>
      <c r="C12" s="44">
        <v>50</v>
      </c>
      <c r="D12" s="43" t="s">
        <v>467</v>
      </c>
      <c r="E12" s="43" t="s">
        <v>85</v>
      </c>
      <c r="F12" s="44">
        <v>1</v>
      </c>
      <c r="G12" s="44">
        <v>0</v>
      </c>
      <c r="H12" s="44">
        <v>0</v>
      </c>
      <c r="I12" s="44">
        <v>1</v>
      </c>
      <c r="J12" s="44">
        <v>1</v>
      </c>
      <c r="K12" s="16" t="s">
        <v>3</v>
      </c>
      <c r="L12" s="46" t="s">
        <v>83</v>
      </c>
      <c r="M12" s="17">
        <f t="shared" si="0"/>
        <v>1.6E-2</v>
      </c>
      <c r="N12" s="18">
        <f t="shared" si="1"/>
        <v>0.1</v>
      </c>
      <c r="O12" s="19">
        <f>IF(E12="HERRAJE",IFERROR(_xlfn.XLOOKUP(D12,'⚙️ Configuración Costos'!$A$11:$A$20,'⚙️ Configuración Costos'!$B$11:$B$20),""),IFERROR(_xlfn.XLOOKUP(E12,'⚙️ Configuración Costos'!$A$5:$A$6,'⚙️ Configuración Costos'!$B$5:$B$6),""))</f>
        <v>332.85245901639348</v>
      </c>
      <c r="P12" s="19">
        <f t="shared" si="2"/>
        <v>5.3256393442622958</v>
      </c>
      <c r="Q12" s="19">
        <f>IF(E12="HERRAJE",0,IFERROR(_xlfn.XLOOKUP(E12,'⚙️ Configuración Costos'!$E$5:$E$6,'⚙️ Configuración Costos'!$F$5:$F$6),""))</f>
        <v>9.5</v>
      </c>
      <c r="R12" s="19">
        <f t="shared" si="3"/>
        <v>0.95000000000000007</v>
      </c>
      <c r="S12" s="37">
        <f t="shared" si="4"/>
        <v>6.275639344262296</v>
      </c>
      <c r="T12" s="94" t="str">
        <f t="shared" si="5"/>
        <v>OK</v>
      </c>
      <c r="U12" s="95" t="str">
        <f t="shared" si="6"/>
        <v/>
      </c>
      <c r="V12" s="96">
        <f t="shared" si="7"/>
        <v>0</v>
      </c>
    </row>
    <row r="13" spans="1:22" s="4" customFormat="1" x14ac:dyDescent="0.2">
      <c r="A13" s="34">
        <v>1</v>
      </c>
      <c r="B13" s="44">
        <v>677</v>
      </c>
      <c r="C13" s="44">
        <v>292</v>
      </c>
      <c r="D13" s="43" t="s">
        <v>84</v>
      </c>
      <c r="E13" s="43" t="s">
        <v>85</v>
      </c>
      <c r="F13" s="44">
        <v>1</v>
      </c>
      <c r="G13" s="44">
        <v>1</v>
      </c>
      <c r="H13" s="44">
        <v>1</v>
      </c>
      <c r="I13" s="44">
        <v>1</v>
      </c>
      <c r="J13" s="44">
        <v>1</v>
      </c>
      <c r="K13" s="16" t="s">
        <v>3</v>
      </c>
      <c r="L13" s="46" t="s">
        <v>86</v>
      </c>
      <c r="M13" s="17">
        <f t="shared" si="0"/>
        <v>0.197684</v>
      </c>
      <c r="N13" s="18">
        <f t="shared" si="1"/>
        <v>1.9379999999999999</v>
      </c>
      <c r="O13" s="19">
        <f>IF(E13="HERRAJE",IFERROR(_xlfn.XLOOKUP(D13,'⚙️ Configuración Costos'!$A$11:$A$20,'⚙️ Configuración Costos'!$B$11:$B$20),""),IFERROR(_xlfn.XLOOKUP(E13,'⚙️ Configuración Costos'!$A$5:$A$6,'⚙️ Configuración Costos'!$B$5:$B$6),""))</f>
        <v>332.85245901639348</v>
      </c>
      <c r="P13" s="19">
        <f t="shared" si="2"/>
        <v>65.799605508196734</v>
      </c>
      <c r="Q13" s="19">
        <f>IF(E13="HERRAJE",0,IFERROR(_xlfn.XLOOKUP(E13,'⚙️ Configuración Costos'!$E$5:$E$6,'⚙️ Configuración Costos'!$F$5:$F$6),""))</f>
        <v>9.5</v>
      </c>
      <c r="R13" s="19">
        <f t="shared" si="3"/>
        <v>18.410999999999998</v>
      </c>
      <c r="S13" s="37">
        <f t="shared" si="4"/>
        <v>84.210605508196736</v>
      </c>
      <c r="T13" s="94" t="str">
        <f t="shared" si="5"/>
        <v>OK</v>
      </c>
      <c r="U13" s="95" t="str">
        <f t="shared" si="6"/>
        <v/>
      </c>
      <c r="V13" s="96">
        <f t="shared" si="7"/>
        <v>0</v>
      </c>
    </row>
    <row r="14" spans="1:22" s="4" customFormat="1" x14ac:dyDescent="0.2">
      <c r="A14" s="34">
        <v>1</v>
      </c>
      <c r="B14" s="44">
        <v>677</v>
      </c>
      <c r="C14" s="44">
        <v>70</v>
      </c>
      <c r="D14" s="43" t="s">
        <v>87</v>
      </c>
      <c r="E14" s="43" t="s">
        <v>85</v>
      </c>
      <c r="F14" s="44">
        <v>1</v>
      </c>
      <c r="G14" s="44">
        <v>1</v>
      </c>
      <c r="H14" s="44">
        <v>1</v>
      </c>
      <c r="I14" s="44">
        <v>1</v>
      </c>
      <c r="J14" s="44">
        <v>1</v>
      </c>
      <c r="K14" s="16" t="s">
        <v>3</v>
      </c>
      <c r="L14" s="46" t="s">
        <v>88</v>
      </c>
      <c r="M14" s="17">
        <f t="shared" si="0"/>
        <v>4.7390000000000002E-2</v>
      </c>
      <c r="N14" s="18">
        <f t="shared" si="1"/>
        <v>1.494</v>
      </c>
      <c r="O14" s="19">
        <f>IF(E14="HERRAJE",IFERROR(_xlfn.XLOOKUP(D14,'⚙️ Configuración Costos'!$A$11:$A$20,'⚙️ Configuración Costos'!$B$11:$B$20),""),IFERROR(_xlfn.XLOOKUP(E14,'⚙️ Configuración Costos'!$A$5:$A$6,'⚙️ Configuración Costos'!$B$5:$B$6),""))</f>
        <v>332.85245901639348</v>
      </c>
      <c r="P14" s="19">
        <f t="shared" si="2"/>
        <v>15.773878032786888</v>
      </c>
      <c r="Q14" s="19">
        <f>IF(E14="HERRAJE",0,IFERROR(_xlfn.XLOOKUP(E14,'⚙️ Configuración Costos'!$E$5:$E$6,'⚙️ Configuración Costos'!$F$5:$F$6),""))</f>
        <v>9.5</v>
      </c>
      <c r="R14" s="19">
        <f t="shared" si="3"/>
        <v>14.193</v>
      </c>
      <c r="S14" s="37">
        <f t="shared" si="4"/>
        <v>29.966878032786887</v>
      </c>
      <c r="T14" s="94" t="str">
        <f t="shared" si="5"/>
        <v>OK</v>
      </c>
      <c r="U14" s="95" t="str">
        <f t="shared" si="6"/>
        <v/>
      </c>
      <c r="V14" s="96">
        <f t="shared" si="7"/>
        <v>0</v>
      </c>
    </row>
    <row r="15" spans="1:22" s="4" customFormat="1" x14ac:dyDescent="0.2">
      <c r="A15" s="34">
        <v>1</v>
      </c>
      <c r="B15" s="44">
        <v>677</v>
      </c>
      <c r="C15" s="44">
        <v>50</v>
      </c>
      <c r="D15" s="43" t="s">
        <v>87</v>
      </c>
      <c r="E15" s="43" t="s">
        <v>85</v>
      </c>
      <c r="F15" s="44">
        <v>1</v>
      </c>
      <c r="G15" s="44">
        <v>1</v>
      </c>
      <c r="H15" s="44">
        <v>1</v>
      </c>
      <c r="I15" s="44">
        <v>1</v>
      </c>
      <c r="J15" s="44">
        <v>1</v>
      </c>
      <c r="K15" s="16" t="s">
        <v>3</v>
      </c>
      <c r="L15" s="46" t="s">
        <v>89</v>
      </c>
      <c r="M15" s="17">
        <f t="shared" si="0"/>
        <v>3.3849999999999998E-2</v>
      </c>
      <c r="N15" s="18">
        <f t="shared" si="1"/>
        <v>1.454</v>
      </c>
      <c r="O15" s="19">
        <f>IF(E15="HERRAJE",IFERROR(_xlfn.XLOOKUP(D15,'⚙️ Configuración Costos'!$A$11:$A$20,'⚙️ Configuración Costos'!$B$11:$B$20),""),IFERROR(_xlfn.XLOOKUP(E15,'⚙️ Configuración Costos'!$A$5:$A$6,'⚙️ Configuración Costos'!$B$5:$B$6),""))</f>
        <v>332.85245901639348</v>
      </c>
      <c r="P15" s="19">
        <f t="shared" si="2"/>
        <v>11.267055737704919</v>
      </c>
      <c r="Q15" s="19">
        <f>IF(E15="HERRAJE",0,IFERROR(_xlfn.XLOOKUP(E15,'⚙️ Configuración Costos'!$E$5:$E$6,'⚙️ Configuración Costos'!$F$5:$F$6),""))</f>
        <v>9.5</v>
      </c>
      <c r="R15" s="19">
        <f t="shared" si="3"/>
        <v>13.812999999999999</v>
      </c>
      <c r="S15" s="37">
        <f t="shared" si="4"/>
        <v>25.080055737704917</v>
      </c>
      <c r="T15" s="94" t="str">
        <f t="shared" si="5"/>
        <v>OK</v>
      </c>
      <c r="U15" s="95" t="str">
        <f t="shared" si="6"/>
        <v/>
      </c>
      <c r="V15" s="96">
        <f t="shared" si="7"/>
        <v>0</v>
      </c>
    </row>
    <row r="16" spans="1:22" x14ac:dyDescent="0.2">
      <c r="A16" s="35">
        <v>2</v>
      </c>
      <c r="B16" s="6">
        <v>0</v>
      </c>
      <c r="C16" s="6">
        <v>0</v>
      </c>
      <c r="D16" s="7" t="s">
        <v>90</v>
      </c>
      <c r="E16" s="7" t="s">
        <v>91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9" t="s">
        <v>3</v>
      </c>
      <c r="L16" s="47" t="s">
        <v>92</v>
      </c>
      <c r="M16" s="17">
        <f t="shared" si="0"/>
        <v>0</v>
      </c>
      <c r="N16" s="18">
        <f t="shared" si="1"/>
        <v>0</v>
      </c>
      <c r="O16" s="19">
        <f>IF(E16="HERRAJE",IFERROR(_xlfn.XLOOKUP(D16,'⚙️ Configuración Costos'!$A$11:$A$20,'⚙️ Configuración Costos'!$B$11:$B$20),""),IFERROR(_xlfn.XLOOKUP(E16,'⚙️ Configuración Costos'!$A$5:$A$6,'⚙️ Configuración Costos'!$B$5:$B$6),""))</f>
        <v>20</v>
      </c>
      <c r="P16" s="19">
        <f t="shared" si="2"/>
        <v>40</v>
      </c>
      <c r="Q16" s="19">
        <f>IF(E16="HERRAJE",0,IFERROR(_xlfn.XLOOKUP(E16,'⚙️ Configuración Costos'!$E$5:$E$6,'⚙️ Configuración Costos'!$F$5:$F$6),""))</f>
        <v>0</v>
      </c>
      <c r="R16" s="19">
        <f t="shared" si="3"/>
        <v>0</v>
      </c>
      <c r="S16" s="37">
        <f t="shared" si="4"/>
        <v>40</v>
      </c>
      <c r="T16" s="94" t="str">
        <f t="shared" si="5"/>
        <v>OK</v>
      </c>
      <c r="U16" s="95" t="str">
        <f t="shared" si="6"/>
        <v/>
      </c>
      <c r="V16" s="96">
        <f t="shared" si="7"/>
        <v>0</v>
      </c>
    </row>
    <row r="17" spans="1:22" x14ac:dyDescent="0.2">
      <c r="A17" s="35">
        <v>1</v>
      </c>
      <c r="B17" s="6">
        <v>0</v>
      </c>
      <c r="C17" s="6">
        <v>0</v>
      </c>
      <c r="D17" s="7" t="s">
        <v>93</v>
      </c>
      <c r="E17" s="7" t="s">
        <v>91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" t="s">
        <v>3</v>
      </c>
      <c r="L17" s="47" t="s">
        <v>94</v>
      </c>
      <c r="M17" s="17">
        <f t="shared" si="0"/>
        <v>0</v>
      </c>
      <c r="N17" s="18">
        <f t="shared" si="1"/>
        <v>0</v>
      </c>
      <c r="O17" s="19">
        <f>IF(E17="HERRAJE",IFERROR(_xlfn.XLOOKUP(D17,'⚙️ Configuración Costos'!$A$11:$A$20,'⚙️ Configuración Costos'!$B$11:$B$20),""),IFERROR(_xlfn.XLOOKUP(E17,'⚙️ Configuración Costos'!$A$5:$A$6,'⚙️ Configuración Costos'!$B$5:$B$6),""))</f>
        <v>15</v>
      </c>
      <c r="P17" s="19">
        <f t="shared" si="2"/>
        <v>15</v>
      </c>
      <c r="Q17" s="19">
        <f>IF(E17="HERRAJE",0,IFERROR(_xlfn.XLOOKUP(E17,'⚙️ Configuración Costos'!$E$5:$E$6,'⚙️ Configuración Costos'!$F$5:$F$6),""))</f>
        <v>0</v>
      </c>
      <c r="R17" s="19">
        <f t="shared" si="3"/>
        <v>0</v>
      </c>
      <c r="S17" s="37">
        <f t="shared" si="4"/>
        <v>15</v>
      </c>
      <c r="T17" s="94" t="str">
        <f t="shared" si="5"/>
        <v>OK</v>
      </c>
      <c r="U17" s="95" t="str">
        <f t="shared" si="6"/>
        <v/>
      </c>
      <c r="V17" s="96">
        <f t="shared" si="7"/>
        <v>0</v>
      </c>
    </row>
    <row r="18" spans="1:22" x14ac:dyDescent="0.2">
      <c r="A18" s="35">
        <v>4</v>
      </c>
      <c r="B18" s="6">
        <v>0</v>
      </c>
      <c r="C18" s="6">
        <v>0</v>
      </c>
      <c r="D18" s="7" t="s">
        <v>95</v>
      </c>
      <c r="E18" s="7" t="s">
        <v>91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" t="s">
        <v>3</v>
      </c>
      <c r="L18" s="47" t="s">
        <v>96</v>
      </c>
      <c r="M18" s="17">
        <f t="shared" si="0"/>
        <v>0</v>
      </c>
      <c r="N18" s="18">
        <f t="shared" si="1"/>
        <v>0</v>
      </c>
      <c r="O18" s="19">
        <f>IF(E18="HERRAJE",IFERROR(_xlfn.XLOOKUP(D18,'⚙️ Configuración Costos'!$A$11:$A$20,'⚙️ Configuración Costos'!$B$11:$B$20),""),IFERROR(_xlfn.XLOOKUP(E18,'⚙️ Configuración Costos'!$A$5:$A$6,'⚙️ Configuración Costos'!$B$5:$B$6),""))</f>
        <v>2</v>
      </c>
      <c r="P18" s="19">
        <f t="shared" si="2"/>
        <v>8</v>
      </c>
      <c r="Q18" s="19">
        <f>IF(E18="HERRAJE",0,IFERROR(_xlfn.XLOOKUP(E18,'⚙️ Configuración Costos'!$E$5:$E$6,'⚙️ Configuración Costos'!$F$5:$F$6),""))</f>
        <v>0</v>
      </c>
      <c r="R18" s="19">
        <f t="shared" si="3"/>
        <v>0</v>
      </c>
      <c r="S18" s="37">
        <f t="shared" si="4"/>
        <v>8</v>
      </c>
      <c r="T18" s="94" t="str">
        <f t="shared" si="5"/>
        <v>OK</v>
      </c>
      <c r="U18" s="95" t="str">
        <f t="shared" si="6"/>
        <v/>
      </c>
      <c r="V18" s="96">
        <f t="shared" si="7"/>
        <v>0</v>
      </c>
    </row>
    <row r="19" spans="1:22" x14ac:dyDescent="0.2">
      <c r="A19" s="36">
        <f>4*(IF(LEFT(D3,4)="Base",A3,0)+IF(LEFT(D3,4)="Piso",A3,0)+IF(LEFT(D3,5)="Techo",A3,0)+IF(LEFT(D4,4)="Base",A4,0)+IF(LEFT(D4,4)="Piso",A4,0)+IF(LEFT(D4,5)="Techo",A4,0)+IF(LEFT(D5,4)="Base",A5,0)+IF(LEFT(D5,4)="Piso",A5,0)+IF(LEFT(D5,5)="Techo",A5,0)+IF(LEFT(D6,4)="Base",A6,0)+IF(LEFT(D6,4)="Piso",A6,0)+IF(LEFT(D6,5)="Techo",A6,0)+IF(LEFT(D7,4)="Base",A7,0)+IF(LEFT(D7,4)="Piso",A7,0)+IF(LEFT(D7,5)="Techo",A7,0)+IF(LEFT(D8,4)="Base",A8,0)+IF(LEFT(D8,4)="Piso",A8,0)+IF(LEFT(D8,5)="Techo",A8,0)+IF(LEFT(D9,4)="Base",A9,0)+IF(LEFT(D9,4)="Piso",A9,0)+IF(LEFT(D9,5)="Techo",A9,0)+IF(LEFT(D10,4)="Base",A10,0)+IF(LEFT(D10,4)="Piso",A10,0)+IF(LEFT(D10,5)="Techo",A10,0)+IF(LEFT(D11,4)="Base",A11,0)+IF(LEFT(D11,4)="Piso",A11,0)+IF(LEFT(D11,5)="Techo",A11,0)+IF(LEFT(D12,4)="Base",A12,0)+IF(LEFT(D12,4)="Piso",A12,0)+IF(LEFT(D12,5)="Techo",A12,0)+IF(LEFT(D13,4)="Base",A13,0)+IF(LEFT(D13,4)="Piso",A13,0)+IF(LEFT(D13,5)="Techo",A13,0)+IF(LEFT(D14,4)="Base",A14,0)+IF(LEFT(D14,4)="Piso",A14,0)+IF(LEFT(D14,5)="Techo",A14,0)+IF(LEFT(D15,4)="Base",A15,0)+IF(LEFT(D15,4)="Piso",A15,0)+IF(LEFT(D15,5)="Techo",A15,0))+10*(IF(LEFT(D3,8)="Respaldo",A3,0)+IF(LEFT(D4,8)="Respaldo",A4,0)+IF(LEFT(D5,8)="Respaldo",A5,0)+IF(LEFT(D6,8)="Respaldo",A6,0)+IF(LEFT(D7,8)="Respaldo",A7,0)+IF(LEFT(D8,8)="Respaldo",A8,0)+IF(LEFT(D9,8)="Respaldo",A9,0)+IF(LEFT(D10,8)="Respaldo",A10,0)+IF(LEFT(D11,8)="Respaldo",A11,0)+IF(LEFT(D12,8)="Respaldo",A12,0)+IF(LEFT(D13,8)="Respaldo",A13,0)+IF(LEFT(D14,8)="Respaldo",A14,0)+IF(LEFT(D15,8)="Respaldo",A15,0))+2*(IF(LEFT(D3,8)="Manguete",A3,0)+IF(LEFT(D4,8)="Manguete",A4,0)+IF(LEFT(D5,8)="Manguete",A5,0)+IF(LEFT(D6,8)="Manguete",A6,0)+IF(LEFT(D7,8)="Manguete",A7,0)+IF(LEFT(D8,8)="Manguete",A8,0)+IF(LEFT(D9,8)="Manguete",A9,0)+IF(LEFT(D10,8)="Manguete",A10,0)+IF(LEFT(D11,8)="Manguete",A11,0)+IF(LEFT(D12,8)="Manguete",A12,0)+IF(LEFT(D13,8)="Manguete",A13,0)+IF(LEFT(D14,8)="Manguete",A14,0)+IF(LEFT(D15,8)="Manguete",A15,0))</f>
        <v>18</v>
      </c>
      <c r="B19" s="20">
        <v>0</v>
      </c>
      <c r="C19" s="20">
        <v>0</v>
      </c>
      <c r="D19" s="21" t="s">
        <v>400</v>
      </c>
      <c r="E19" s="21" t="s">
        <v>91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3" t="s">
        <v>3</v>
      </c>
      <c r="L19" s="48" t="s">
        <v>360</v>
      </c>
      <c r="M19" s="17">
        <f t="shared" si="0"/>
        <v>0</v>
      </c>
      <c r="N19" s="18">
        <f t="shared" si="1"/>
        <v>0</v>
      </c>
      <c r="O19" s="19">
        <f>IF(E19="HERRAJE",IFERROR(_xlfn.XLOOKUP(D19,'⚙️ Configuración Costos'!$A$11:$A$20,'⚙️ Configuración Costos'!$B$11:$B$20),""),IFERROR(_xlfn.XLOOKUP(E19,'⚙️ Configuración Costos'!$A$5:$A$6,'⚙️ Configuración Costos'!$B$5:$B$6),""))</f>
        <v>3</v>
      </c>
      <c r="P19" s="19">
        <f t="shared" si="2"/>
        <v>54</v>
      </c>
      <c r="Q19" s="19">
        <f>IF(E19="HERRAJE",0,IFERROR(_xlfn.XLOOKUP(E19,'⚙️ Configuración Costos'!$E$5:$E$6,'⚙️ Configuración Costos'!$F$5:$F$6),""))</f>
        <v>0</v>
      </c>
      <c r="R19" s="19">
        <f t="shared" si="3"/>
        <v>0</v>
      </c>
      <c r="S19" s="37">
        <f t="shared" si="4"/>
        <v>54</v>
      </c>
      <c r="T19" s="94" t="str">
        <f t="shared" si="5"/>
        <v>OK</v>
      </c>
      <c r="U19" s="95" t="str">
        <f t="shared" si="6"/>
        <v/>
      </c>
      <c r="V19" s="96">
        <f t="shared" si="7"/>
        <v>0</v>
      </c>
    </row>
    <row r="20" spans="1:22" x14ac:dyDescent="0.2">
      <c r="A20" s="36">
        <f>6*(IF(LEFT(D3,4)="Base",A3,0)+IF(LEFT(D3,4)="Piso",A3,0)+IF(LEFT(D3,5)="Techo",A3,0)+IF(LEFT(D4,4)="Base",A4,0)+IF(LEFT(D4,4)="Piso",A4,0)+IF(LEFT(D4,5)="Techo",A4,0)+IF(LEFT(D5,4)="Base",A5,0)+IF(LEFT(D5,4)="Piso",A5,0)+IF(LEFT(D5,5)="Techo",A5,0)+IF(LEFT(D6,4)="Base",A6,0)+IF(LEFT(D6,4)="Piso",A6,0)+IF(LEFT(D6,5)="Techo",A6,0)+IF(LEFT(D7,4)="Base",A7,0)+IF(LEFT(D7,4)="Piso",A7,0)+IF(LEFT(D7,5)="Techo",A7,0)+IF(LEFT(D8,4)="Base",A8,0)+IF(LEFT(D8,4)="Piso",A8,0)+IF(LEFT(D8,5)="Techo",A8,0)+IF(LEFT(D9,4)="Base",A9,0)+IF(LEFT(D9,4)="Piso",A9,0)+IF(LEFT(D9,5)="Techo",A9,0)+IF(LEFT(D10,4)="Base",A10,0)+IF(LEFT(D10,4)="Piso",A10,0)+IF(LEFT(D10,5)="Techo",A10,0)+IF(LEFT(D11,4)="Base",A11,0)+IF(LEFT(D11,4)="Piso",A11,0)+IF(LEFT(D11,5)="Techo",A11,0)+IF(LEFT(D12,4)="Base",A12,0)+IF(LEFT(D12,4)="Piso",A12,0)+IF(LEFT(D12,5)="Techo",A12,0)+IF(LEFT(D13,4)="Base",A13,0)+IF(LEFT(D13,4)="Piso",A13,0)+IF(LEFT(D13,5)="Techo",A13,0)+IF(LEFT(D14,4)="Base",A14,0)+IF(LEFT(D14,4)="Piso",A14,0)+IF(LEFT(D14,5)="Techo",A14,0)+IF(LEFT(D15,4)="Base",A15,0)+IF(LEFT(D15,4)="Piso",A15,0)+IF(LEFT(D15,5)="Techo",A15,0))+10*(IF(LEFT(D3,8)="Respaldo",A3,0)+IF(LEFT(D4,8)="Respaldo",A4,0)+IF(LEFT(D5,8)="Respaldo",A5,0)+IF(LEFT(D6,8)="Respaldo",A6,0)+IF(LEFT(D7,8)="Respaldo",A7,0)+IF(LEFT(D8,8)="Respaldo",A8,0)+IF(LEFT(D9,8)="Respaldo",A9,0)+IF(LEFT(D10,8)="Respaldo",A10,0)+IF(LEFT(D11,8)="Respaldo",A11,0)+IF(LEFT(D12,8)="Respaldo",A12,0)+IF(LEFT(D13,8)="Respaldo",A13,0)+IF(LEFT(D14,8)="Respaldo",A14,0)+IF(LEFT(D15,8)="Respaldo",A15,0))+4*(IF(LEFT(D3,8)="Manguete",A3,0)+IF(LEFT(D4,8)="Manguete",A4,0)+IF(LEFT(D5,8)="Manguete",A5,0)+IF(LEFT(D6,8)="Manguete",A6,0)+IF(LEFT(D7,8)="Manguete",A7,0)+IF(LEFT(D8,8)="Manguete",A8,0)+IF(LEFT(D9,8)="Manguete",A9,0)+IF(LEFT(D10,8)="Manguete",A10,0)+IF(LEFT(D11,8)="Manguete",A11,0)+IF(LEFT(D12,8)="Manguete",A12,0)+IF(LEFT(D13,8)="Manguete",A13,0)+IF(LEFT(D14,8)="Manguete",A14,0)+IF(LEFT(D15,8)="Manguete",A15,0))</f>
        <v>22</v>
      </c>
      <c r="B20" s="20">
        <v>0</v>
      </c>
      <c r="C20" s="20">
        <v>0</v>
      </c>
      <c r="D20" s="21" t="s">
        <v>468</v>
      </c>
      <c r="E20" s="21" t="s">
        <v>91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3" t="s">
        <v>3</v>
      </c>
      <c r="L20" s="48" t="s">
        <v>361</v>
      </c>
      <c r="M20" s="17">
        <f t="shared" si="0"/>
        <v>0</v>
      </c>
      <c r="N20" s="18">
        <f t="shared" si="1"/>
        <v>0</v>
      </c>
      <c r="O20" s="19">
        <f>IF(E20="HERRAJE",IFERROR(_xlfn.XLOOKUP(D20,'⚙️ Configuración Costos'!$A$11:$A$20,'⚙️ Configuración Costos'!$B$11:$B$20),""),IFERROR(_xlfn.XLOOKUP(E20,'⚙️ Configuración Costos'!$A$5:$A$6,'⚙️ Configuración Costos'!$B$5:$B$6),""))</f>
        <v>1</v>
      </c>
      <c r="P20" s="19">
        <f t="shared" si="2"/>
        <v>22</v>
      </c>
      <c r="Q20" s="19">
        <f>IF(E20="HERRAJE",0,IFERROR(_xlfn.XLOOKUP(E20,'⚙️ Configuración Costos'!$E$5:$E$6,'⚙️ Configuración Costos'!$F$5:$F$6),""))</f>
        <v>0</v>
      </c>
      <c r="R20" s="19">
        <f t="shared" si="3"/>
        <v>0</v>
      </c>
      <c r="S20" s="37">
        <f t="shared" si="4"/>
        <v>22</v>
      </c>
      <c r="T20" s="94" t="str">
        <f t="shared" si="5"/>
        <v>OK</v>
      </c>
      <c r="U20" s="95" t="str">
        <f t="shared" si="6"/>
        <v/>
      </c>
      <c r="V20" s="96">
        <f t="shared" si="7"/>
        <v>0</v>
      </c>
    </row>
    <row r="21" spans="1:22" x14ac:dyDescent="0.2">
      <c r="A21" s="27" t="s">
        <v>99</v>
      </c>
      <c r="B21" s="27"/>
      <c r="C21" s="27"/>
      <c r="D21" s="28"/>
      <c r="E21" s="28"/>
      <c r="F21" s="29"/>
      <c r="G21" s="29"/>
      <c r="H21" s="29"/>
      <c r="I21" s="29"/>
      <c r="J21" s="29"/>
      <c r="K21" s="30"/>
      <c r="L21" s="49"/>
      <c r="M21" s="33">
        <f>SUM(M3:M20)</f>
        <v>1.9679199999999999</v>
      </c>
      <c r="N21" s="33">
        <f>SUM(N3:N20)</f>
        <v>13.478999999999999</v>
      </c>
      <c r="O21" s="33"/>
      <c r="P21" s="33">
        <f>SUM(P3:P20)</f>
        <v>794.02701114754097</v>
      </c>
      <c r="Q21" s="33"/>
      <c r="R21" s="33">
        <f>SUM(R3:R20)</f>
        <v>128.0505</v>
      </c>
      <c r="S21" s="33">
        <f>SUM(S3:S20)</f>
        <v>922.07751114754114</v>
      </c>
      <c r="T21" s="97"/>
      <c r="U21" s="98"/>
      <c r="V21" s="99"/>
    </row>
    <row r="22" spans="1:22" x14ac:dyDescent="0.2">
      <c r="A22" s="192" t="s">
        <v>100</v>
      </c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4"/>
      <c r="T22" s="97"/>
      <c r="U22" s="98"/>
      <c r="V22" s="99"/>
    </row>
    <row r="23" spans="1:22" x14ac:dyDescent="0.2">
      <c r="A23" s="34">
        <v>1</v>
      </c>
      <c r="B23" s="13">
        <v>680</v>
      </c>
      <c r="C23" s="13">
        <v>320</v>
      </c>
      <c r="D23" s="14" t="s">
        <v>63</v>
      </c>
      <c r="E23" s="14" t="s">
        <v>85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6" t="s">
        <v>4</v>
      </c>
      <c r="L23" s="46" t="s">
        <v>65</v>
      </c>
      <c r="M23" s="17">
        <f t="shared" ref="M23:M34" si="8">IF(AND(ISNUMBER(B23),ISNUMBER(C23),B23&gt;0,C23&gt;0),A23*(B23*C23/1000000),0)</f>
        <v>0.21759999999999999</v>
      </c>
      <c r="N23" s="18">
        <f t="shared" ref="N23:N34" si="9">IF(AND(ISNUMBER(B23),B23&gt;0),A23*(((G23+H23)*B23+(I23+J23)*C23)/1000),0)</f>
        <v>2</v>
      </c>
      <c r="O23" s="19">
        <f>IF(E23="HERRAJE",IFERROR(_xlfn.XLOOKUP(D23,'⚙️ Configuración Costos'!$A$11:$A$20,'⚙️ Configuración Costos'!$B$11:$B$20),""),IFERROR(_xlfn.XLOOKUP(E23,'⚙️ Configuración Costos'!$A$5:$A$6,'⚙️ Configuración Costos'!$B$5:$B$6),""))</f>
        <v>332.85245901639348</v>
      </c>
      <c r="P23" s="19">
        <f t="shared" ref="P23:P34" si="10">IF(E23="HERRAJE",A23*O23,M23*O23)</f>
        <v>72.42869508196722</v>
      </c>
      <c r="Q23" s="19">
        <f>IF(E23="HERRAJE",0,IFERROR(_xlfn.XLOOKUP(E23,'⚙️ Configuración Costos'!$E$5:$E$6,'⚙️ Configuración Costos'!$F$5:$F$6),""))</f>
        <v>9.5</v>
      </c>
      <c r="R23" s="19">
        <f t="shared" ref="R23:R34" si="11">N23*Q23</f>
        <v>19</v>
      </c>
      <c r="S23" s="37">
        <f t="shared" ref="S23:S34" si="12">P23+R23</f>
        <v>91.42869508196722</v>
      </c>
      <c r="T23" s="94" t="str">
        <f t="shared" ref="T23:T34" si="13">IF(K23="","SIN ID MÓDULO",IF(E23="HERRAJE",IF(OR(O23="",O23&lt;=0),"SIN PRECIO HERRAJE","OK"),IF(OR(O23="",O23&lt;=0),"SIN PRECIO MATERIAL",IF(AND(N23&gt;0,OR(Q23="",Q23&lt;=0)),"SIN PRECIO CINTILLA","OK"))))</f>
        <v>OK</v>
      </c>
      <c r="U23" s="95" t="str">
        <f t="shared" ref="U23:U34" si="14">IF(T23="OK","",IF(T23="SIN PRECIO HERRAJE","Capturar precio: "&amp;D23,IF(T23="SIN PRECIO MATERIAL","Configurar material: "&amp;E23,IF(T23="SIN PRECIO CINTILLA","Configurar cintilla: "&amp;E23,IF(T23="SIN ID MÓDULO","Revisar ID del módulo","")))))</f>
        <v/>
      </c>
      <c r="V23" s="96">
        <f t="shared" ref="V23:V34" si="15">IF(T23="OK",0,IF(T23="",0,1))</f>
        <v>0</v>
      </c>
    </row>
    <row r="24" spans="1:22" x14ac:dyDescent="0.2">
      <c r="A24" s="35">
        <v>1</v>
      </c>
      <c r="B24" s="6">
        <v>680</v>
      </c>
      <c r="C24" s="6">
        <v>320</v>
      </c>
      <c r="D24" s="7" t="s">
        <v>66</v>
      </c>
      <c r="E24" s="7" t="s">
        <v>85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9" t="s">
        <v>4</v>
      </c>
      <c r="L24" s="47" t="s">
        <v>67</v>
      </c>
      <c r="M24" s="17">
        <f t="shared" si="8"/>
        <v>0.21759999999999999</v>
      </c>
      <c r="N24" s="18">
        <f t="shared" si="9"/>
        <v>2</v>
      </c>
      <c r="O24" s="19">
        <f>IF(E24="HERRAJE",IFERROR(_xlfn.XLOOKUP(D24,'⚙️ Configuración Costos'!$A$11:$A$20,'⚙️ Configuración Costos'!$B$11:$B$20),""),IFERROR(_xlfn.XLOOKUP(E24,'⚙️ Configuración Costos'!$A$5:$A$6,'⚙️ Configuración Costos'!$B$5:$B$6),""))</f>
        <v>332.85245901639348</v>
      </c>
      <c r="P24" s="19">
        <f t="shared" si="10"/>
        <v>72.42869508196722</v>
      </c>
      <c r="Q24" s="19">
        <f>IF(E24="HERRAJE",0,IFERROR(_xlfn.XLOOKUP(E24,'⚙️ Configuración Costos'!$E$5:$E$6,'⚙️ Configuración Costos'!$F$5:$F$6),""))</f>
        <v>9.5</v>
      </c>
      <c r="R24" s="19">
        <f t="shared" si="11"/>
        <v>19</v>
      </c>
      <c r="S24" s="37">
        <f t="shared" si="12"/>
        <v>91.42869508196722</v>
      </c>
      <c r="T24" s="94" t="str">
        <f t="shared" si="13"/>
        <v>OK</v>
      </c>
      <c r="U24" s="95" t="str">
        <f t="shared" si="14"/>
        <v/>
      </c>
      <c r="V24" s="96">
        <f t="shared" si="15"/>
        <v>0</v>
      </c>
    </row>
    <row r="25" spans="1:22" x14ac:dyDescent="0.2">
      <c r="A25" s="35">
        <v>1</v>
      </c>
      <c r="B25" s="6">
        <v>649</v>
      </c>
      <c r="C25" s="6">
        <v>269</v>
      </c>
      <c r="D25" s="7" t="s">
        <v>68</v>
      </c>
      <c r="E25" s="7" t="s">
        <v>85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9" t="s">
        <v>4</v>
      </c>
      <c r="L25" s="47" t="s">
        <v>101</v>
      </c>
      <c r="M25" s="17">
        <f t="shared" si="8"/>
        <v>0.17458099999999999</v>
      </c>
      <c r="N25" s="18">
        <f t="shared" si="9"/>
        <v>0</v>
      </c>
      <c r="O25" s="19">
        <f>IF(E25="HERRAJE",IFERROR(_xlfn.XLOOKUP(D25,'⚙️ Configuración Costos'!$A$11:$A$20,'⚙️ Configuración Costos'!$B$11:$B$20),""),IFERROR(_xlfn.XLOOKUP(E25,'⚙️ Configuración Costos'!$A$5:$A$6,'⚙️ Configuración Costos'!$B$5:$B$6),""))</f>
        <v>332.85245901639348</v>
      </c>
      <c r="P25" s="19">
        <f t="shared" si="10"/>
        <v>58.109715147540989</v>
      </c>
      <c r="Q25" s="19">
        <f>IF(E25="HERRAJE",0,IFERROR(_xlfn.XLOOKUP(E25,'⚙️ Configuración Costos'!$E$5:$E$6,'⚙️ Configuración Costos'!$F$5:$F$6),""))</f>
        <v>9.5</v>
      </c>
      <c r="R25" s="19">
        <f t="shared" si="11"/>
        <v>0</v>
      </c>
      <c r="S25" s="37">
        <f t="shared" si="12"/>
        <v>58.109715147540989</v>
      </c>
      <c r="T25" s="94" t="str">
        <f t="shared" si="13"/>
        <v>OK</v>
      </c>
      <c r="U25" s="95" t="str">
        <f t="shared" si="14"/>
        <v/>
      </c>
      <c r="V25" s="96">
        <f t="shared" si="15"/>
        <v>0</v>
      </c>
    </row>
    <row r="26" spans="1:22" x14ac:dyDescent="0.2">
      <c r="A26" s="35">
        <v>1</v>
      </c>
      <c r="B26" s="6">
        <v>269</v>
      </c>
      <c r="C26" s="6">
        <v>300</v>
      </c>
      <c r="D26" s="7" t="s">
        <v>70</v>
      </c>
      <c r="E26" s="7" t="s">
        <v>85</v>
      </c>
      <c r="F26" s="8">
        <v>1</v>
      </c>
      <c r="G26" s="8">
        <v>0</v>
      </c>
      <c r="H26" s="8">
        <v>0</v>
      </c>
      <c r="I26" s="8">
        <v>1</v>
      </c>
      <c r="J26" s="8">
        <v>1</v>
      </c>
      <c r="K26" s="9" t="s">
        <v>4</v>
      </c>
      <c r="L26" s="47" t="s">
        <v>102</v>
      </c>
      <c r="M26" s="17">
        <f t="shared" si="8"/>
        <v>8.0699999999999994E-2</v>
      </c>
      <c r="N26" s="18">
        <f t="shared" si="9"/>
        <v>0.6</v>
      </c>
      <c r="O26" s="19">
        <f>IF(E26="HERRAJE",IFERROR(_xlfn.XLOOKUP(D26,'⚙️ Configuración Costos'!$A$11:$A$20,'⚙️ Configuración Costos'!$B$11:$B$20),""),IFERROR(_xlfn.XLOOKUP(E26,'⚙️ Configuración Costos'!$A$5:$A$6,'⚙️ Configuración Costos'!$B$5:$B$6),""))</f>
        <v>332.85245901639348</v>
      </c>
      <c r="P26" s="19">
        <f t="shared" si="10"/>
        <v>26.861193442622952</v>
      </c>
      <c r="Q26" s="19">
        <f>IF(E26="HERRAJE",0,IFERROR(_xlfn.XLOOKUP(E26,'⚙️ Configuración Costos'!$E$5:$E$6,'⚙️ Configuración Costos'!$F$5:$F$6),""))</f>
        <v>9.5</v>
      </c>
      <c r="R26" s="19">
        <f t="shared" si="11"/>
        <v>5.7</v>
      </c>
      <c r="S26" s="37">
        <f t="shared" si="12"/>
        <v>32.561193442622951</v>
      </c>
      <c r="T26" s="94" t="str">
        <f t="shared" si="13"/>
        <v>OK</v>
      </c>
      <c r="U26" s="95" t="str">
        <f t="shared" si="14"/>
        <v/>
      </c>
      <c r="V26" s="96">
        <f t="shared" si="15"/>
        <v>0</v>
      </c>
    </row>
    <row r="27" spans="1:22" x14ac:dyDescent="0.2">
      <c r="A27" s="35">
        <v>1</v>
      </c>
      <c r="B27" s="6">
        <v>269</v>
      </c>
      <c r="C27" s="6">
        <v>300</v>
      </c>
      <c r="D27" s="7" t="s">
        <v>72</v>
      </c>
      <c r="E27" s="7" t="s">
        <v>85</v>
      </c>
      <c r="F27" s="8">
        <v>1</v>
      </c>
      <c r="G27" s="8">
        <v>0</v>
      </c>
      <c r="H27" s="8">
        <v>0</v>
      </c>
      <c r="I27" s="8">
        <v>1</v>
      </c>
      <c r="J27" s="8">
        <v>1</v>
      </c>
      <c r="K27" s="9" t="s">
        <v>4</v>
      </c>
      <c r="L27" s="47" t="s">
        <v>103</v>
      </c>
      <c r="M27" s="17">
        <f t="shared" si="8"/>
        <v>8.0699999999999994E-2</v>
      </c>
      <c r="N27" s="18">
        <f t="shared" si="9"/>
        <v>0.6</v>
      </c>
      <c r="O27" s="19">
        <f>IF(E27="HERRAJE",IFERROR(_xlfn.XLOOKUP(D27,'⚙️ Configuración Costos'!$A$11:$A$20,'⚙️ Configuración Costos'!$B$11:$B$20),""),IFERROR(_xlfn.XLOOKUP(E27,'⚙️ Configuración Costos'!$A$5:$A$6,'⚙️ Configuración Costos'!$B$5:$B$6),""))</f>
        <v>332.85245901639348</v>
      </c>
      <c r="P27" s="19">
        <f t="shared" si="10"/>
        <v>26.861193442622952</v>
      </c>
      <c r="Q27" s="19">
        <f>IF(E27="HERRAJE",0,IFERROR(_xlfn.XLOOKUP(E27,'⚙️ Configuración Costos'!$E$5:$E$6,'⚙️ Configuración Costos'!$F$5:$F$6),""))</f>
        <v>9.5</v>
      </c>
      <c r="R27" s="19">
        <f t="shared" si="11"/>
        <v>5.7</v>
      </c>
      <c r="S27" s="37">
        <f t="shared" si="12"/>
        <v>32.561193442622951</v>
      </c>
      <c r="T27" s="94" t="str">
        <f t="shared" si="13"/>
        <v>OK</v>
      </c>
      <c r="U27" s="95" t="str">
        <f t="shared" si="14"/>
        <v/>
      </c>
      <c r="V27" s="96">
        <f t="shared" si="15"/>
        <v>0</v>
      </c>
    </row>
    <row r="28" spans="1:22" x14ac:dyDescent="0.2">
      <c r="A28" s="35">
        <v>1</v>
      </c>
      <c r="B28" s="6">
        <v>269</v>
      </c>
      <c r="C28" s="6">
        <v>256</v>
      </c>
      <c r="D28" s="7" t="s">
        <v>466</v>
      </c>
      <c r="E28" s="7" t="s">
        <v>85</v>
      </c>
      <c r="F28" s="8">
        <v>1</v>
      </c>
      <c r="G28" s="8">
        <v>1</v>
      </c>
      <c r="H28" s="8">
        <v>1</v>
      </c>
      <c r="I28" s="8">
        <v>0</v>
      </c>
      <c r="J28" s="8">
        <v>0</v>
      </c>
      <c r="K28" s="9" t="s">
        <v>4</v>
      </c>
      <c r="L28" s="47" t="s">
        <v>104</v>
      </c>
      <c r="M28" s="17">
        <f t="shared" si="8"/>
        <v>6.8863999999999995E-2</v>
      </c>
      <c r="N28" s="18">
        <f t="shared" si="9"/>
        <v>0.53800000000000003</v>
      </c>
      <c r="O28" s="19">
        <f>IF(E28="HERRAJE",IFERROR(_xlfn.XLOOKUP(D28,'⚙️ Configuración Costos'!$A$11:$A$20,'⚙️ Configuración Costos'!$B$11:$B$20),""),IFERROR(_xlfn.XLOOKUP(E28,'⚙️ Configuración Costos'!$A$5:$A$6,'⚙️ Configuración Costos'!$B$5:$B$6),""))</f>
        <v>332.85245901639348</v>
      </c>
      <c r="P28" s="19">
        <f t="shared" si="10"/>
        <v>22.92155173770492</v>
      </c>
      <c r="Q28" s="19">
        <f>IF(E28="HERRAJE",0,IFERROR(_xlfn.XLOOKUP(E28,'⚙️ Configuración Costos'!$E$5:$E$6,'⚙️ Configuración Costos'!$F$5:$F$6),""))</f>
        <v>9.5</v>
      </c>
      <c r="R28" s="19">
        <f t="shared" si="11"/>
        <v>5.1110000000000007</v>
      </c>
      <c r="S28" s="37">
        <f t="shared" si="12"/>
        <v>28.032551737704921</v>
      </c>
      <c r="T28" s="94" t="str">
        <f t="shared" si="13"/>
        <v>OK</v>
      </c>
      <c r="U28" s="95" t="str">
        <f t="shared" si="14"/>
        <v/>
      </c>
      <c r="V28" s="96">
        <f t="shared" si="15"/>
        <v>0</v>
      </c>
    </row>
    <row r="29" spans="1:22" x14ac:dyDescent="0.2">
      <c r="A29" s="35">
        <v>1</v>
      </c>
      <c r="B29" s="6">
        <v>677</v>
      </c>
      <c r="C29" s="6">
        <v>297</v>
      </c>
      <c r="D29" s="7" t="s">
        <v>84</v>
      </c>
      <c r="E29" s="7" t="s">
        <v>85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9" t="s">
        <v>4</v>
      </c>
      <c r="L29" s="47" t="s">
        <v>105</v>
      </c>
      <c r="M29" s="17">
        <f t="shared" si="8"/>
        <v>0.201069</v>
      </c>
      <c r="N29" s="18">
        <f t="shared" si="9"/>
        <v>1.948</v>
      </c>
      <c r="O29" s="19">
        <f>IF(E29="HERRAJE",IFERROR(_xlfn.XLOOKUP(D29,'⚙️ Configuración Costos'!$A$11:$A$20,'⚙️ Configuración Costos'!$B$11:$B$20),""),IFERROR(_xlfn.XLOOKUP(E29,'⚙️ Configuración Costos'!$A$5:$A$6,'⚙️ Configuración Costos'!$B$5:$B$6),""))</f>
        <v>332.85245901639348</v>
      </c>
      <c r="P29" s="19">
        <f t="shared" si="10"/>
        <v>66.926311081967214</v>
      </c>
      <c r="Q29" s="19">
        <f>IF(E29="HERRAJE",0,IFERROR(_xlfn.XLOOKUP(E29,'⚙️ Configuración Costos'!$E$5:$E$6,'⚙️ Configuración Costos'!$F$5:$F$6),""))</f>
        <v>9.5</v>
      </c>
      <c r="R29" s="19">
        <f t="shared" si="11"/>
        <v>18.506</v>
      </c>
      <c r="S29" s="37">
        <f t="shared" si="12"/>
        <v>85.432311081967214</v>
      </c>
      <c r="T29" s="94" t="str">
        <f t="shared" si="13"/>
        <v>OK</v>
      </c>
      <c r="U29" s="95" t="str">
        <f t="shared" si="14"/>
        <v/>
      </c>
      <c r="V29" s="96">
        <f t="shared" si="15"/>
        <v>0</v>
      </c>
    </row>
    <row r="30" spans="1:22" x14ac:dyDescent="0.2">
      <c r="A30" s="35">
        <v>2</v>
      </c>
      <c r="B30" s="6">
        <v>0</v>
      </c>
      <c r="C30" s="6">
        <v>0</v>
      </c>
      <c r="D30" s="7" t="s">
        <v>90</v>
      </c>
      <c r="E30" s="7" t="s">
        <v>91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9" t="s">
        <v>4</v>
      </c>
      <c r="L30" s="47" t="s">
        <v>92</v>
      </c>
      <c r="M30" s="17">
        <f t="shared" si="8"/>
        <v>0</v>
      </c>
      <c r="N30" s="18">
        <f t="shared" si="9"/>
        <v>0</v>
      </c>
      <c r="O30" s="19">
        <f>IF(E30="HERRAJE",IFERROR(_xlfn.XLOOKUP(D30,'⚙️ Configuración Costos'!$A$11:$A$20,'⚙️ Configuración Costos'!$B$11:$B$20),""),IFERROR(_xlfn.XLOOKUP(E30,'⚙️ Configuración Costos'!$A$5:$A$6,'⚙️ Configuración Costos'!$B$5:$B$6),""))</f>
        <v>20</v>
      </c>
      <c r="P30" s="19">
        <f t="shared" si="10"/>
        <v>40</v>
      </c>
      <c r="Q30" s="19">
        <f>IF(E30="HERRAJE",0,IFERROR(_xlfn.XLOOKUP(E30,'⚙️ Configuración Costos'!$E$5:$E$6,'⚙️ Configuración Costos'!$F$5:$F$6),""))</f>
        <v>0</v>
      </c>
      <c r="R30" s="19">
        <f t="shared" si="11"/>
        <v>0</v>
      </c>
      <c r="S30" s="37">
        <f t="shared" si="12"/>
        <v>40</v>
      </c>
      <c r="T30" s="94" t="str">
        <f t="shared" si="13"/>
        <v>OK</v>
      </c>
      <c r="U30" s="95" t="str">
        <f t="shared" si="14"/>
        <v/>
      </c>
      <c r="V30" s="96">
        <f t="shared" si="15"/>
        <v>0</v>
      </c>
    </row>
    <row r="31" spans="1:22" x14ac:dyDescent="0.2">
      <c r="A31" s="35">
        <v>1</v>
      </c>
      <c r="B31" s="6">
        <v>0</v>
      </c>
      <c r="C31" s="6">
        <v>0</v>
      </c>
      <c r="D31" s="7" t="s">
        <v>93</v>
      </c>
      <c r="E31" s="7" t="s">
        <v>91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 t="s">
        <v>4</v>
      </c>
      <c r="L31" s="47" t="s">
        <v>94</v>
      </c>
      <c r="M31" s="17">
        <f t="shared" si="8"/>
        <v>0</v>
      </c>
      <c r="N31" s="18">
        <f t="shared" si="9"/>
        <v>0</v>
      </c>
      <c r="O31" s="19">
        <f>IF(E31="HERRAJE",IFERROR(_xlfn.XLOOKUP(D31,'⚙️ Configuración Costos'!$A$11:$A$20,'⚙️ Configuración Costos'!$B$11:$B$20),""),IFERROR(_xlfn.XLOOKUP(E31,'⚙️ Configuración Costos'!$A$5:$A$6,'⚙️ Configuración Costos'!$B$5:$B$6),""))</f>
        <v>15</v>
      </c>
      <c r="P31" s="19">
        <f t="shared" si="10"/>
        <v>15</v>
      </c>
      <c r="Q31" s="19">
        <f>IF(E31="HERRAJE",0,IFERROR(_xlfn.XLOOKUP(E31,'⚙️ Configuración Costos'!$E$5:$E$6,'⚙️ Configuración Costos'!$F$5:$F$6),""))</f>
        <v>0</v>
      </c>
      <c r="R31" s="19">
        <f t="shared" si="11"/>
        <v>0</v>
      </c>
      <c r="S31" s="37">
        <f t="shared" si="12"/>
        <v>15</v>
      </c>
      <c r="T31" s="94" t="str">
        <f t="shared" si="13"/>
        <v>OK</v>
      </c>
      <c r="U31" s="95" t="str">
        <f t="shared" si="14"/>
        <v/>
      </c>
      <c r="V31" s="96">
        <f t="shared" si="15"/>
        <v>0</v>
      </c>
    </row>
    <row r="32" spans="1:22" x14ac:dyDescent="0.2">
      <c r="A32" s="35">
        <v>4</v>
      </c>
      <c r="B32" s="6">
        <v>0</v>
      </c>
      <c r="C32" s="6">
        <v>0</v>
      </c>
      <c r="D32" s="7" t="s">
        <v>95</v>
      </c>
      <c r="E32" s="7" t="s">
        <v>91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9" t="s">
        <v>4</v>
      </c>
      <c r="L32" s="47" t="s">
        <v>96</v>
      </c>
      <c r="M32" s="17">
        <f t="shared" si="8"/>
        <v>0</v>
      </c>
      <c r="N32" s="18">
        <f t="shared" si="9"/>
        <v>0</v>
      </c>
      <c r="O32" s="19">
        <f>IF(E32="HERRAJE",IFERROR(_xlfn.XLOOKUP(D32,'⚙️ Configuración Costos'!$A$11:$A$20,'⚙️ Configuración Costos'!$B$11:$B$20),""),IFERROR(_xlfn.XLOOKUP(E32,'⚙️ Configuración Costos'!$A$5:$A$6,'⚙️ Configuración Costos'!$B$5:$B$6),""))</f>
        <v>2</v>
      </c>
      <c r="P32" s="19">
        <f t="shared" si="10"/>
        <v>8</v>
      </c>
      <c r="Q32" s="19">
        <f>IF(E32="HERRAJE",0,IFERROR(_xlfn.XLOOKUP(E32,'⚙️ Configuración Costos'!$E$5:$E$6,'⚙️ Configuración Costos'!$F$5:$F$6),""))</f>
        <v>0</v>
      </c>
      <c r="R32" s="19">
        <f t="shared" si="11"/>
        <v>0</v>
      </c>
      <c r="S32" s="37">
        <f t="shared" si="12"/>
        <v>8</v>
      </c>
      <c r="T32" s="94" t="str">
        <f t="shared" si="13"/>
        <v>OK</v>
      </c>
      <c r="U32" s="95" t="str">
        <f t="shared" si="14"/>
        <v/>
      </c>
      <c r="V32" s="96">
        <f t="shared" si="15"/>
        <v>0</v>
      </c>
    </row>
    <row r="33" spans="1:22" x14ac:dyDescent="0.2">
      <c r="A33" s="36">
        <f>4*(IF(LEFT(D23,4)="Base",A23,0)+IF(LEFT(D23,4)="Piso",A23,0)+IF(LEFT(D23,5)="Techo",A23,0)+IF(LEFT(D24,4)="Base",A24,0)+IF(LEFT(D24,4)="Piso",A24,0)+IF(LEFT(D24,5)="Techo",A24,0)+IF(LEFT(D25,4)="Base",A25,0)+IF(LEFT(D25,4)="Piso",A25,0)+IF(LEFT(D25,5)="Techo",A25,0)+IF(LEFT(D26,4)="Base",A26,0)+IF(LEFT(D26,4)="Piso",A26,0)+IF(LEFT(D26,5)="Techo",A26,0)+IF(LEFT(D27,4)="Base",A27,0)+IF(LEFT(D27,4)="Piso",A27,0)+IF(LEFT(D27,5)="Techo",A27,0)+IF(LEFT(D28,4)="Base",A28,0)+IF(LEFT(D28,4)="Piso",A28,0)+IF(LEFT(D28,5)="Techo",A28,0)+IF(LEFT(D29,4)="Base",A29,0)+IF(LEFT(D29,4)="Piso",A29,0)+IF(LEFT(D29,5)="Techo",A29,0))+10*(IF(LEFT(D23,8)="Respaldo",A23,0)+IF(LEFT(D24,8)="Respaldo",A24,0)+IF(LEFT(D25,8)="Respaldo",A25,0)+IF(LEFT(D26,8)="Respaldo",A26,0)+IF(LEFT(D27,8)="Respaldo",A27,0)+IF(LEFT(D28,8)="Respaldo",A28,0)+IF(LEFT(D29,8)="Respaldo",A29,0))+2*(IF(LEFT(D23,8)="Manguete",A23,0)+IF(LEFT(D24,8)="Manguete",A24,0)+IF(LEFT(D25,8)="Manguete",A25,0)+IF(LEFT(D26,8)="Manguete",A26,0)+IF(LEFT(D27,8)="Manguete",A27,0)+IF(LEFT(D28,8)="Manguete",A28,0)+IF(LEFT(D29,8)="Manguete",A29,0))</f>
        <v>18</v>
      </c>
      <c r="B33" s="20">
        <v>0</v>
      </c>
      <c r="C33" s="20">
        <v>0</v>
      </c>
      <c r="D33" s="21" t="s">
        <v>400</v>
      </c>
      <c r="E33" s="21" t="s">
        <v>91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3" t="s">
        <v>4</v>
      </c>
      <c r="L33" s="48" t="s">
        <v>360</v>
      </c>
      <c r="M33" s="17">
        <f t="shared" si="8"/>
        <v>0</v>
      </c>
      <c r="N33" s="18">
        <f t="shared" si="9"/>
        <v>0</v>
      </c>
      <c r="O33" s="19">
        <f>IF(E33="HERRAJE",IFERROR(_xlfn.XLOOKUP(D33,'⚙️ Configuración Costos'!$A$11:$A$20,'⚙️ Configuración Costos'!$B$11:$B$20),""),IFERROR(_xlfn.XLOOKUP(E33,'⚙️ Configuración Costos'!$A$5:$A$6,'⚙️ Configuración Costos'!$B$5:$B$6),""))</f>
        <v>3</v>
      </c>
      <c r="P33" s="19">
        <f t="shared" si="10"/>
        <v>54</v>
      </c>
      <c r="Q33" s="19">
        <f>IF(E33="HERRAJE",0,IFERROR(_xlfn.XLOOKUP(E33,'⚙️ Configuración Costos'!$E$5:$E$6,'⚙️ Configuración Costos'!$F$5:$F$6),""))</f>
        <v>0</v>
      </c>
      <c r="R33" s="19">
        <f t="shared" si="11"/>
        <v>0</v>
      </c>
      <c r="S33" s="37">
        <f t="shared" si="12"/>
        <v>54</v>
      </c>
      <c r="T33" s="94" t="str">
        <f t="shared" si="13"/>
        <v>OK</v>
      </c>
      <c r="U33" s="95" t="str">
        <f t="shared" si="14"/>
        <v/>
      </c>
      <c r="V33" s="96">
        <f t="shared" si="15"/>
        <v>0</v>
      </c>
    </row>
    <row r="34" spans="1:22" x14ac:dyDescent="0.2">
      <c r="A34" s="36">
        <f>6*(IF(LEFT(D23,4)="Base",A23,0)+IF(LEFT(D23,4)="Piso",A23,0)+IF(LEFT(D23,5)="Techo",A23,0)+IF(LEFT(D24,4)="Base",A24,0)+IF(LEFT(D24,4)="Piso",A24,0)+IF(LEFT(D24,5)="Techo",A24,0)+IF(LEFT(D25,4)="Base",A25,0)+IF(LEFT(D25,4)="Piso",A25,0)+IF(LEFT(D25,5)="Techo",A25,0)+IF(LEFT(D26,4)="Base",A26,0)+IF(LEFT(D26,4)="Piso",A26,0)+IF(LEFT(D26,5)="Techo",A26,0)+IF(LEFT(D27,4)="Base",A27,0)+IF(LEFT(D27,4)="Piso",A27,0)+IF(LEFT(D27,5)="Techo",A27,0)+IF(LEFT(D28,4)="Base",A28,0)+IF(LEFT(D28,4)="Piso",A28,0)+IF(LEFT(D28,5)="Techo",A28,0)+IF(LEFT(D29,4)="Base",A29,0)+IF(LEFT(D29,4)="Piso",A29,0)+IF(LEFT(D29,5)="Techo",A29,0))+10*(IF(LEFT(D23,8)="Respaldo",A23,0)+IF(LEFT(D24,8)="Respaldo",A24,0)+IF(LEFT(D25,8)="Respaldo",A25,0)+IF(LEFT(D26,8)="Respaldo",A26,0)+IF(LEFT(D27,8)="Respaldo",A27,0)+IF(LEFT(D28,8)="Respaldo",A28,0)+IF(LEFT(D29,8)="Respaldo",A29,0))+4*(IF(LEFT(D23,8)="Manguete",A23,0)+IF(LEFT(D24,8)="Manguete",A24,0)+IF(LEFT(D25,8)="Manguete",A25,0)+IF(LEFT(D26,8)="Manguete",A26,0)+IF(LEFT(D27,8)="Manguete",A27,0)+IF(LEFT(D28,8)="Manguete",A28,0)+IF(LEFT(D29,8)="Manguete",A29,0))</f>
        <v>22</v>
      </c>
      <c r="B34" s="20">
        <v>0</v>
      </c>
      <c r="C34" s="20">
        <v>0</v>
      </c>
      <c r="D34" s="21" t="s">
        <v>468</v>
      </c>
      <c r="E34" s="21" t="s">
        <v>91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3" t="s">
        <v>4</v>
      </c>
      <c r="L34" s="48" t="s">
        <v>361</v>
      </c>
      <c r="M34" s="17">
        <f t="shared" si="8"/>
        <v>0</v>
      </c>
      <c r="N34" s="18">
        <f t="shared" si="9"/>
        <v>0</v>
      </c>
      <c r="O34" s="19">
        <f>IF(E34="HERRAJE",IFERROR(_xlfn.XLOOKUP(D34,'⚙️ Configuración Costos'!$A$11:$A$20,'⚙️ Configuración Costos'!$B$11:$B$20),""),IFERROR(_xlfn.XLOOKUP(E34,'⚙️ Configuración Costos'!$A$5:$A$6,'⚙️ Configuración Costos'!$B$5:$B$6),""))</f>
        <v>1</v>
      </c>
      <c r="P34" s="19">
        <f t="shared" si="10"/>
        <v>22</v>
      </c>
      <c r="Q34" s="19">
        <f>IF(E34="HERRAJE",0,IFERROR(_xlfn.XLOOKUP(E34,'⚙️ Configuración Costos'!$E$5:$E$6,'⚙️ Configuración Costos'!$F$5:$F$6),""))</f>
        <v>0</v>
      </c>
      <c r="R34" s="19">
        <f t="shared" si="11"/>
        <v>0</v>
      </c>
      <c r="S34" s="37">
        <f t="shared" si="12"/>
        <v>22</v>
      </c>
      <c r="T34" s="94" t="str">
        <f t="shared" si="13"/>
        <v>OK</v>
      </c>
      <c r="U34" s="95" t="str">
        <f t="shared" si="14"/>
        <v/>
      </c>
      <c r="V34" s="96">
        <f t="shared" si="15"/>
        <v>0</v>
      </c>
    </row>
    <row r="35" spans="1:22" x14ac:dyDescent="0.2">
      <c r="A35" s="27" t="s">
        <v>99</v>
      </c>
      <c r="B35" s="27"/>
      <c r="C35" s="27"/>
      <c r="D35" s="28"/>
      <c r="E35" s="28"/>
      <c r="F35" s="29"/>
      <c r="G35" s="29"/>
      <c r="H35" s="29"/>
      <c r="I35" s="29"/>
      <c r="J35" s="29"/>
      <c r="K35" s="30"/>
      <c r="L35" s="49"/>
      <c r="M35" s="31">
        <f>SUM(M23:M34)</f>
        <v>1.0411139999999999</v>
      </c>
      <c r="N35" s="32">
        <f>SUM(N23:N34)</f>
        <v>7.6859999999999999</v>
      </c>
      <c r="O35" s="33"/>
      <c r="P35" s="33">
        <f>SUM(P23:P34)</f>
        <v>485.53735501639346</v>
      </c>
      <c r="Q35" s="33"/>
      <c r="R35" s="33">
        <f>SUM(R23:R34)</f>
        <v>73.01700000000001</v>
      </c>
      <c r="S35" s="33">
        <f>SUM(S23:S34)</f>
        <v>558.5543550163934</v>
      </c>
      <c r="T35" s="97"/>
      <c r="U35" s="98"/>
      <c r="V35" s="99"/>
    </row>
    <row r="36" spans="1:22" x14ac:dyDescent="0.2">
      <c r="A36" s="186" t="s">
        <v>106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8"/>
      <c r="T36" s="97"/>
      <c r="U36" s="98"/>
      <c r="V36" s="99"/>
    </row>
    <row r="37" spans="1:22" x14ac:dyDescent="0.2">
      <c r="A37" s="34">
        <v>1</v>
      </c>
      <c r="B37" s="13">
        <v>680</v>
      </c>
      <c r="C37" s="13">
        <v>320</v>
      </c>
      <c r="D37" s="14" t="s">
        <v>63</v>
      </c>
      <c r="E37" s="14" t="s">
        <v>85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6" t="s">
        <v>5</v>
      </c>
      <c r="L37" s="46" t="s">
        <v>65</v>
      </c>
      <c r="M37" s="17">
        <f t="shared" ref="M37:M48" si="16">IF(AND(ISNUMBER(B37),ISNUMBER(C37),B37&gt;0,C37&gt;0),A37*(B37*C37/1000000),0)</f>
        <v>0.21759999999999999</v>
      </c>
      <c r="N37" s="18">
        <f t="shared" ref="N37:N48" si="17">IF(AND(ISNUMBER(B37),B37&gt;0),A37*(((G37+H37)*B37+(I37+J37)*C37)/1000),0)</f>
        <v>2</v>
      </c>
      <c r="O37" s="19">
        <f>IF(E37="HERRAJE",IFERROR(_xlfn.XLOOKUP(D37,'⚙️ Configuración Costos'!$A$11:$A$20,'⚙️ Configuración Costos'!$B$11:$B$20),""),IFERROR(_xlfn.XLOOKUP(E37,'⚙️ Configuración Costos'!$A$5:$A$6,'⚙️ Configuración Costos'!$B$5:$B$6),""))</f>
        <v>332.85245901639348</v>
      </c>
      <c r="P37" s="19">
        <f t="shared" ref="P37:P48" si="18">IF(E37="HERRAJE",A37*O37,M37*O37)</f>
        <v>72.42869508196722</v>
      </c>
      <c r="Q37" s="19">
        <f>IF(E37="HERRAJE",0,IFERROR(_xlfn.XLOOKUP(E37,'⚙️ Configuración Costos'!$E$5:$E$6,'⚙️ Configuración Costos'!$F$5:$F$6),""))</f>
        <v>9.5</v>
      </c>
      <c r="R37" s="19">
        <f t="shared" ref="R37:R48" si="19">N37*Q37</f>
        <v>19</v>
      </c>
      <c r="S37" s="37">
        <f t="shared" ref="S37:S48" si="20">P37+R37</f>
        <v>91.42869508196722</v>
      </c>
      <c r="T37" s="94" t="str">
        <f t="shared" ref="T37:T48" si="21">IF(K37="","SIN ID MÓDULO",IF(E37="HERRAJE",IF(OR(O37="",O37&lt;=0),"SIN PRECIO HERRAJE","OK"),IF(OR(O37="",O37&lt;=0),"SIN PRECIO MATERIAL",IF(AND(N37&gt;0,OR(Q37="",Q37&lt;=0)),"SIN PRECIO CINTILLA","OK"))))</f>
        <v>OK</v>
      </c>
      <c r="U37" s="95" t="str">
        <f t="shared" ref="U37:U48" si="22">IF(T37="OK","",IF(T37="SIN PRECIO HERRAJE","Capturar precio: "&amp;D37,IF(T37="SIN PRECIO MATERIAL","Configurar material: "&amp;E37,IF(T37="SIN PRECIO CINTILLA","Configurar cintilla: "&amp;E37,IF(T37="SIN ID MÓDULO","Revisar ID del módulo","")))))</f>
        <v/>
      </c>
      <c r="V37" s="96">
        <f t="shared" ref="V37:V48" si="23">IF(T37="OK",0,IF(T37="",0,1))</f>
        <v>0</v>
      </c>
    </row>
    <row r="38" spans="1:22" x14ac:dyDescent="0.2">
      <c r="A38" s="35">
        <v>1</v>
      </c>
      <c r="B38" s="6">
        <v>680</v>
      </c>
      <c r="C38" s="6">
        <v>320</v>
      </c>
      <c r="D38" s="7" t="s">
        <v>66</v>
      </c>
      <c r="E38" s="7" t="s">
        <v>85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9" t="s">
        <v>5</v>
      </c>
      <c r="L38" s="47" t="s">
        <v>67</v>
      </c>
      <c r="M38" s="17">
        <f t="shared" si="16"/>
        <v>0.21759999999999999</v>
      </c>
      <c r="N38" s="18">
        <f t="shared" si="17"/>
        <v>2</v>
      </c>
      <c r="O38" s="19">
        <f>IF(E38="HERRAJE",IFERROR(_xlfn.XLOOKUP(D38,'⚙️ Configuración Costos'!$A$11:$A$20,'⚙️ Configuración Costos'!$B$11:$B$20),""),IFERROR(_xlfn.XLOOKUP(E38,'⚙️ Configuración Costos'!$A$5:$A$6,'⚙️ Configuración Costos'!$B$5:$B$6),""))</f>
        <v>332.85245901639348</v>
      </c>
      <c r="P38" s="19">
        <f t="shared" si="18"/>
        <v>72.42869508196722</v>
      </c>
      <c r="Q38" s="19">
        <f>IF(E38="HERRAJE",0,IFERROR(_xlfn.XLOOKUP(E38,'⚙️ Configuración Costos'!$E$5:$E$6,'⚙️ Configuración Costos'!$F$5:$F$6),""))</f>
        <v>9.5</v>
      </c>
      <c r="R38" s="19">
        <f t="shared" si="19"/>
        <v>19</v>
      </c>
      <c r="S38" s="37">
        <f t="shared" si="20"/>
        <v>91.42869508196722</v>
      </c>
      <c r="T38" s="94" t="str">
        <f t="shared" si="21"/>
        <v>OK</v>
      </c>
      <c r="U38" s="95" t="str">
        <f t="shared" si="22"/>
        <v/>
      </c>
      <c r="V38" s="96">
        <f t="shared" si="23"/>
        <v>0</v>
      </c>
    </row>
    <row r="39" spans="1:22" x14ac:dyDescent="0.2">
      <c r="A39" s="35">
        <v>1</v>
      </c>
      <c r="B39" s="6">
        <v>649</v>
      </c>
      <c r="C39" s="6">
        <v>369</v>
      </c>
      <c r="D39" s="7" t="s">
        <v>68</v>
      </c>
      <c r="E39" s="7" t="s">
        <v>85</v>
      </c>
      <c r="F39" s="8">
        <v>1</v>
      </c>
      <c r="G39" s="8">
        <v>0</v>
      </c>
      <c r="H39" s="8">
        <v>0</v>
      </c>
      <c r="I39" s="8">
        <v>0</v>
      </c>
      <c r="J39" s="8">
        <v>0</v>
      </c>
      <c r="K39" s="9" t="s">
        <v>5</v>
      </c>
      <c r="L39" s="47" t="s">
        <v>107</v>
      </c>
      <c r="M39" s="17">
        <f t="shared" si="16"/>
        <v>0.239481</v>
      </c>
      <c r="N39" s="18">
        <f t="shared" si="17"/>
        <v>0</v>
      </c>
      <c r="O39" s="19">
        <f>IF(E39="HERRAJE",IFERROR(_xlfn.XLOOKUP(D39,'⚙️ Configuración Costos'!$A$11:$A$20,'⚙️ Configuración Costos'!$B$11:$B$20),""),IFERROR(_xlfn.XLOOKUP(E39,'⚙️ Configuración Costos'!$A$5:$A$6,'⚙️ Configuración Costos'!$B$5:$B$6),""))</f>
        <v>332.85245901639348</v>
      </c>
      <c r="P39" s="19">
        <f t="shared" si="18"/>
        <v>79.711839737704921</v>
      </c>
      <c r="Q39" s="19">
        <f>IF(E39="HERRAJE",0,IFERROR(_xlfn.XLOOKUP(E39,'⚙️ Configuración Costos'!$E$5:$E$6,'⚙️ Configuración Costos'!$F$5:$F$6),""))</f>
        <v>9.5</v>
      </c>
      <c r="R39" s="19">
        <f t="shared" si="19"/>
        <v>0</v>
      </c>
      <c r="S39" s="37">
        <f t="shared" si="20"/>
        <v>79.711839737704921</v>
      </c>
      <c r="T39" s="94" t="str">
        <f t="shared" si="21"/>
        <v>OK</v>
      </c>
      <c r="U39" s="95" t="str">
        <f t="shared" si="22"/>
        <v/>
      </c>
      <c r="V39" s="96">
        <f t="shared" si="23"/>
        <v>0</v>
      </c>
    </row>
    <row r="40" spans="1:22" x14ac:dyDescent="0.2">
      <c r="A40" s="35">
        <v>1</v>
      </c>
      <c r="B40" s="6">
        <v>369</v>
      </c>
      <c r="C40" s="6">
        <v>320</v>
      </c>
      <c r="D40" s="7" t="s">
        <v>70</v>
      </c>
      <c r="E40" s="7" t="s">
        <v>85</v>
      </c>
      <c r="F40" s="8">
        <v>1</v>
      </c>
      <c r="G40" s="8">
        <v>1</v>
      </c>
      <c r="H40" s="8">
        <v>1</v>
      </c>
      <c r="I40" s="8">
        <v>0</v>
      </c>
      <c r="J40" s="8">
        <v>0</v>
      </c>
      <c r="K40" s="9" t="s">
        <v>5</v>
      </c>
      <c r="L40" s="47" t="s">
        <v>108</v>
      </c>
      <c r="M40" s="17">
        <f t="shared" si="16"/>
        <v>0.11808</v>
      </c>
      <c r="N40" s="18">
        <f t="shared" si="17"/>
        <v>0.73799999999999999</v>
      </c>
      <c r="O40" s="19">
        <f>IF(E40="HERRAJE",IFERROR(_xlfn.XLOOKUP(D40,'⚙️ Configuración Costos'!$A$11:$A$20,'⚙️ Configuración Costos'!$B$11:$B$20),""),IFERROR(_xlfn.XLOOKUP(E40,'⚙️ Configuración Costos'!$A$5:$A$6,'⚙️ Configuración Costos'!$B$5:$B$6),""))</f>
        <v>332.85245901639348</v>
      </c>
      <c r="P40" s="19">
        <f t="shared" si="18"/>
        <v>39.303218360655741</v>
      </c>
      <c r="Q40" s="19">
        <f>IF(E40="HERRAJE",0,IFERROR(_xlfn.XLOOKUP(E40,'⚙️ Configuración Costos'!$E$5:$E$6,'⚙️ Configuración Costos'!$F$5:$F$6),""))</f>
        <v>9.5</v>
      </c>
      <c r="R40" s="19">
        <f t="shared" si="19"/>
        <v>7.0110000000000001</v>
      </c>
      <c r="S40" s="37">
        <f t="shared" si="20"/>
        <v>46.314218360655744</v>
      </c>
      <c r="T40" s="94" t="str">
        <f t="shared" si="21"/>
        <v>OK</v>
      </c>
      <c r="U40" s="95" t="str">
        <f t="shared" si="22"/>
        <v/>
      </c>
      <c r="V40" s="96">
        <f t="shared" si="23"/>
        <v>0</v>
      </c>
    </row>
    <row r="41" spans="1:22" x14ac:dyDescent="0.2">
      <c r="A41" s="35">
        <v>1</v>
      </c>
      <c r="B41" s="6">
        <v>369</v>
      </c>
      <c r="C41" s="6">
        <v>320</v>
      </c>
      <c r="D41" s="7" t="s">
        <v>72</v>
      </c>
      <c r="E41" s="7" t="s">
        <v>85</v>
      </c>
      <c r="F41" s="8">
        <v>1</v>
      </c>
      <c r="G41" s="8">
        <v>1</v>
      </c>
      <c r="H41" s="8">
        <v>1</v>
      </c>
      <c r="I41" s="8">
        <v>0</v>
      </c>
      <c r="J41" s="8">
        <v>0</v>
      </c>
      <c r="K41" s="9" t="s">
        <v>5</v>
      </c>
      <c r="L41" s="47" t="s">
        <v>109</v>
      </c>
      <c r="M41" s="17">
        <f t="shared" si="16"/>
        <v>0.11808</v>
      </c>
      <c r="N41" s="18">
        <f t="shared" si="17"/>
        <v>0.73799999999999999</v>
      </c>
      <c r="O41" s="19">
        <f>IF(E41="HERRAJE",IFERROR(_xlfn.XLOOKUP(D41,'⚙️ Configuración Costos'!$A$11:$A$20,'⚙️ Configuración Costos'!$B$11:$B$20),""),IFERROR(_xlfn.XLOOKUP(E41,'⚙️ Configuración Costos'!$A$5:$A$6,'⚙️ Configuración Costos'!$B$5:$B$6),""))</f>
        <v>332.85245901639348</v>
      </c>
      <c r="P41" s="19">
        <f t="shared" si="18"/>
        <v>39.303218360655741</v>
      </c>
      <c r="Q41" s="19">
        <f>IF(E41="HERRAJE",0,IFERROR(_xlfn.XLOOKUP(E41,'⚙️ Configuración Costos'!$E$5:$E$6,'⚙️ Configuración Costos'!$F$5:$F$6),""))</f>
        <v>9.5</v>
      </c>
      <c r="R41" s="19">
        <f t="shared" si="19"/>
        <v>7.0110000000000001</v>
      </c>
      <c r="S41" s="37">
        <f t="shared" si="20"/>
        <v>46.314218360655744</v>
      </c>
      <c r="T41" s="94" t="str">
        <f t="shared" si="21"/>
        <v>OK</v>
      </c>
      <c r="U41" s="95" t="str">
        <f t="shared" si="22"/>
        <v/>
      </c>
      <c r="V41" s="96">
        <f t="shared" si="23"/>
        <v>0</v>
      </c>
    </row>
    <row r="42" spans="1:22" x14ac:dyDescent="0.2">
      <c r="A42" s="35">
        <v>1</v>
      </c>
      <c r="B42" s="6">
        <v>369</v>
      </c>
      <c r="C42" s="6">
        <v>256</v>
      </c>
      <c r="D42" s="7" t="s">
        <v>466</v>
      </c>
      <c r="E42" s="7" t="s">
        <v>85</v>
      </c>
      <c r="F42" s="8">
        <v>1</v>
      </c>
      <c r="G42" s="8">
        <v>1</v>
      </c>
      <c r="H42" s="8">
        <v>1</v>
      </c>
      <c r="I42" s="8">
        <v>0</v>
      </c>
      <c r="J42" s="8">
        <v>0</v>
      </c>
      <c r="K42" s="9" t="s">
        <v>5</v>
      </c>
      <c r="L42" s="47" t="s">
        <v>110</v>
      </c>
      <c r="M42" s="17">
        <f t="shared" si="16"/>
        <v>9.4464000000000006E-2</v>
      </c>
      <c r="N42" s="18">
        <f t="shared" si="17"/>
        <v>0.73799999999999999</v>
      </c>
      <c r="O42" s="19">
        <f>IF(E42="HERRAJE",IFERROR(_xlfn.XLOOKUP(D42,'⚙️ Configuración Costos'!$A$11:$A$20,'⚙️ Configuración Costos'!$B$11:$B$20),""),IFERROR(_xlfn.XLOOKUP(E42,'⚙️ Configuración Costos'!$A$5:$A$6,'⚙️ Configuración Costos'!$B$5:$B$6),""))</f>
        <v>332.85245901639348</v>
      </c>
      <c r="P42" s="19">
        <f t="shared" si="18"/>
        <v>31.442574688524594</v>
      </c>
      <c r="Q42" s="19">
        <f>IF(E42="HERRAJE",0,IFERROR(_xlfn.XLOOKUP(E42,'⚙️ Configuración Costos'!$E$5:$E$6,'⚙️ Configuración Costos'!$F$5:$F$6),""))</f>
        <v>9.5</v>
      </c>
      <c r="R42" s="19">
        <f t="shared" si="19"/>
        <v>7.0110000000000001</v>
      </c>
      <c r="S42" s="37">
        <f t="shared" si="20"/>
        <v>38.453574688524597</v>
      </c>
      <c r="T42" s="94" t="str">
        <f t="shared" si="21"/>
        <v>OK</v>
      </c>
      <c r="U42" s="95" t="str">
        <f t="shared" si="22"/>
        <v/>
      </c>
      <c r="V42" s="96">
        <f t="shared" si="23"/>
        <v>0</v>
      </c>
    </row>
    <row r="43" spans="1:22" x14ac:dyDescent="0.2">
      <c r="A43" s="35">
        <v>1</v>
      </c>
      <c r="B43" s="6">
        <v>677</v>
      </c>
      <c r="C43" s="6">
        <v>397</v>
      </c>
      <c r="D43" s="7" t="s">
        <v>84</v>
      </c>
      <c r="E43" s="7" t="s">
        <v>85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9" t="s">
        <v>5</v>
      </c>
      <c r="L43" s="47" t="s">
        <v>111</v>
      </c>
      <c r="M43" s="17">
        <f t="shared" si="16"/>
        <v>0.26876899999999998</v>
      </c>
      <c r="N43" s="18">
        <f t="shared" si="17"/>
        <v>2.1480000000000001</v>
      </c>
      <c r="O43" s="19">
        <f>IF(E43="HERRAJE",IFERROR(_xlfn.XLOOKUP(D43,'⚙️ Configuración Costos'!$A$11:$A$20,'⚙️ Configuración Costos'!$B$11:$B$20),""),IFERROR(_xlfn.XLOOKUP(E43,'⚙️ Configuración Costos'!$A$5:$A$6,'⚙️ Configuración Costos'!$B$5:$B$6),""))</f>
        <v>332.85245901639348</v>
      </c>
      <c r="P43" s="19">
        <f t="shared" si="18"/>
        <v>89.460422557377058</v>
      </c>
      <c r="Q43" s="19">
        <f>IF(E43="HERRAJE",0,IFERROR(_xlfn.XLOOKUP(E43,'⚙️ Configuración Costos'!$E$5:$E$6,'⚙️ Configuración Costos'!$F$5:$F$6),""))</f>
        <v>9.5</v>
      </c>
      <c r="R43" s="19">
        <f t="shared" si="19"/>
        <v>20.406000000000002</v>
      </c>
      <c r="S43" s="37">
        <f t="shared" si="20"/>
        <v>109.86642255737706</v>
      </c>
      <c r="T43" s="94" t="str">
        <f t="shared" si="21"/>
        <v>OK</v>
      </c>
      <c r="U43" s="95" t="str">
        <f t="shared" si="22"/>
        <v/>
      </c>
      <c r="V43" s="96">
        <f t="shared" si="23"/>
        <v>0</v>
      </c>
    </row>
    <row r="44" spans="1:22" x14ac:dyDescent="0.2">
      <c r="A44" s="35">
        <v>2</v>
      </c>
      <c r="B44" s="6">
        <v>0</v>
      </c>
      <c r="C44" s="6">
        <v>0</v>
      </c>
      <c r="D44" s="7" t="s">
        <v>90</v>
      </c>
      <c r="E44" s="7" t="s">
        <v>91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9" t="s">
        <v>5</v>
      </c>
      <c r="L44" s="47" t="s">
        <v>92</v>
      </c>
      <c r="M44" s="17">
        <f t="shared" si="16"/>
        <v>0</v>
      </c>
      <c r="N44" s="18">
        <f t="shared" si="17"/>
        <v>0</v>
      </c>
      <c r="O44" s="19">
        <f>IF(E44="HERRAJE",IFERROR(_xlfn.XLOOKUP(D44,'⚙️ Configuración Costos'!$A$11:$A$20,'⚙️ Configuración Costos'!$B$11:$B$20),""),IFERROR(_xlfn.XLOOKUP(E44,'⚙️ Configuración Costos'!$A$5:$A$6,'⚙️ Configuración Costos'!$B$5:$B$6),""))</f>
        <v>20</v>
      </c>
      <c r="P44" s="19">
        <f t="shared" si="18"/>
        <v>40</v>
      </c>
      <c r="Q44" s="19">
        <f>IF(E44="HERRAJE",0,IFERROR(_xlfn.XLOOKUP(E44,'⚙️ Configuración Costos'!$E$5:$E$6,'⚙️ Configuración Costos'!$F$5:$F$6),""))</f>
        <v>0</v>
      </c>
      <c r="R44" s="19">
        <f t="shared" si="19"/>
        <v>0</v>
      </c>
      <c r="S44" s="37">
        <f t="shared" si="20"/>
        <v>40</v>
      </c>
      <c r="T44" s="94" t="str">
        <f t="shared" si="21"/>
        <v>OK</v>
      </c>
      <c r="U44" s="95" t="str">
        <f t="shared" si="22"/>
        <v/>
      </c>
      <c r="V44" s="96">
        <f t="shared" si="23"/>
        <v>0</v>
      </c>
    </row>
    <row r="45" spans="1:22" x14ac:dyDescent="0.2">
      <c r="A45" s="35">
        <v>1</v>
      </c>
      <c r="B45" s="6">
        <v>0</v>
      </c>
      <c r="C45" s="6">
        <v>0</v>
      </c>
      <c r="D45" s="7" t="s">
        <v>93</v>
      </c>
      <c r="E45" s="7" t="s">
        <v>91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9" t="s">
        <v>5</v>
      </c>
      <c r="L45" s="47" t="s">
        <v>94</v>
      </c>
      <c r="M45" s="17">
        <f t="shared" si="16"/>
        <v>0</v>
      </c>
      <c r="N45" s="18">
        <f t="shared" si="17"/>
        <v>0</v>
      </c>
      <c r="O45" s="19">
        <f>IF(E45="HERRAJE",IFERROR(_xlfn.XLOOKUP(D45,'⚙️ Configuración Costos'!$A$11:$A$20,'⚙️ Configuración Costos'!$B$11:$B$20),""),IFERROR(_xlfn.XLOOKUP(E45,'⚙️ Configuración Costos'!$A$5:$A$6,'⚙️ Configuración Costos'!$B$5:$B$6),""))</f>
        <v>15</v>
      </c>
      <c r="P45" s="19">
        <f t="shared" si="18"/>
        <v>15</v>
      </c>
      <c r="Q45" s="19">
        <f>IF(E45="HERRAJE",0,IFERROR(_xlfn.XLOOKUP(E45,'⚙️ Configuración Costos'!$E$5:$E$6,'⚙️ Configuración Costos'!$F$5:$F$6),""))</f>
        <v>0</v>
      </c>
      <c r="R45" s="19">
        <f t="shared" si="19"/>
        <v>0</v>
      </c>
      <c r="S45" s="37">
        <f t="shared" si="20"/>
        <v>15</v>
      </c>
      <c r="T45" s="94" t="str">
        <f t="shared" si="21"/>
        <v>OK</v>
      </c>
      <c r="U45" s="95" t="str">
        <f t="shared" si="22"/>
        <v/>
      </c>
      <c r="V45" s="96">
        <f t="shared" si="23"/>
        <v>0</v>
      </c>
    </row>
    <row r="46" spans="1:22" x14ac:dyDescent="0.2">
      <c r="A46" s="35">
        <v>4</v>
      </c>
      <c r="B46" s="6">
        <v>0</v>
      </c>
      <c r="C46" s="6">
        <v>0</v>
      </c>
      <c r="D46" s="7" t="s">
        <v>95</v>
      </c>
      <c r="E46" s="7" t="s">
        <v>91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9" t="s">
        <v>5</v>
      </c>
      <c r="L46" s="47" t="s">
        <v>96</v>
      </c>
      <c r="M46" s="17">
        <f t="shared" si="16"/>
        <v>0</v>
      </c>
      <c r="N46" s="18">
        <f t="shared" si="17"/>
        <v>0</v>
      </c>
      <c r="O46" s="19">
        <f>IF(E46="HERRAJE",IFERROR(_xlfn.XLOOKUP(D46,'⚙️ Configuración Costos'!$A$11:$A$20,'⚙️ Configuración Costos'!$B$11:$B$20),""),IFERROR(_xlfn.XLOOKUP(E46,'⚙️ Configuración Costos'!$A$5:$A$6,'⚙️ Configuración Costos'!$B$5:$B$6),""))</f>
        <v>2</v>
      </c>
      <c r="P46" s="19">
        <f t="shared" si="18"/>
        <v>8</v>
      </c>
      <c r="Q46" s="19">
        <f>IF(E46="HERRAJE",0,IFERROR(_xlfn.XLOOKUP(E46,'⚙️ Configuración Costos'!$E$5:$E$6,'⚙️ Configuración Costos'!$F$5:$F$6),""))</f>
        <v>0</v>
      </c>
      <c r="R46" s="19">
        <f t="shared" si="19"/>
        <v>0</v>
      </c>
      <c r="S46" s="37">
        <f t="shared" si="20"/>
        <v>8</v>
      </c>
      <c r="T46" s="94" t="str">
        <f t="shared" si="21"/>
        <v>OK</v>
      </c>
      <c r="U46" s="95" t="str">
        <f t="shared" si="22"/>
        <v/>
      </c>
      <c r="V46" s="96">
        <f t="shared" si="23"/>
        <v>0</v>
      </c>
    </row>
    <row r="47" spans="1:22" x14ac:dyDescent="0.2">
      <c r="A47" s="36">
        <f>4*(IF(LEFT(D37,4)="Base",A37,0)+IF(LEFT(D37,4)="Piso",A37,0)+IF(LEFT(D37,5)="Techo",A37,0)+IF(LEFT(D38,4)="Base",A38,0)+IF(LEFT(D38,4)="Piso",A38,0)+IF(LEFT(D38,5)="Techo",A38,0)+IF(LEFT(D39,4)="Base",A39,0)+IF(LEFT(D39,4)="Piso",A39,0)+IF(LEFT(D39,5)="Techo",A39,0)+IF(LEFT(D40,4)="Base",A40,0)+IF(LEFT(D40,4)="Piso",A40,0)+IF(LEFT(D40,5)="Techo",A40,0)+IF(LEFT(D41,4)="Base",A41,0)+IF(LEFT(D41,4)="Piso",A41,0)+IF(LEFT(D41,5)="Techo",A41,0)+IF(LEFT(D42,4)="Base",A42,0)+IF(LEFT(D42,4)="Piso",A42,0)+IF(LEFT(D42,5)="Techo",A42,0)+IF(LEFT(D43,4)="Base",A43,0)+IF(LEFT(D43,4)="Piso",A43,0)+IF(LEFT(D43,5)="Techo",A43,0))+10*(IF(LEFT(D37,8)="Respaldo",A37,0)+IF(LEFT(D38,8)="Respaldo",A38,0)+IF(LEFT(D39,8)="Respaldo",A39,0)+IF(LEFT(D40,8)="Respaldo",A40,0)+IF(LEFT(D41,8)="Respaldo",A41,0)+IF(LEFT(D42,8)="Respaldo",A42,0)+IF(LEFT(D43,8)="Respaldo",A43,0))+2*(IF(LEFT(D37,8)="Manguete",A37,0)+IF(LEFT(D38,8)="Manguete",A38,0)+IF(LEFT(D39,8)="Manguete",A39,0)+IF(LEFT(D40,8)="Manguete",A40,0)+IF(LEFT(D41,8)="Manguete",A41,0)+IF(LEFT(D42,8)="Manguete",A42,0)+IF(LEFT(D43,8)="Manguete",A43,0))</f>
        <v>18</v>
      </c>
      <c r="B47" s="20">
        <v>0</v>
      </c>
      <c r="C47" s="20">
        <v>0</v>
      </c>
      <c r="D47" s="21" t="s">
        <v>400</v>
      </c>
      <c r="E47" s="21" t="s">
        <v>91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3" t="s">
        <v>5</v>
      </c>
      <c r="L47" s="48" t="s">
        <v>360</v>
      </c>
      <c r="M47" s="17">
        <f t="shared" si="16"/>
        <v>0</v>
      </c>
      <c r="N47" s="18">
        <f t="shared" si="17"/>
        <v>0</v>
      </c>
      <c r="O47" s="19">
        <f>IF(E47="HERRAJE",IFERROR(_xlfn.XLOOKUP(D47,'⚙️ Configuración Costos'!$A$11:$A$20,'⚙️ Configuración Costos'!$B$11:$B$20),""),IFERROR(_xlfn.XLOOKUP(E47,'⚙️ Configuración Costos'!$A$5:$A$6,'⚙️ Configuración Costos'!$B$5:$B$6),""))</f>
        <v>3</v>
      </c>
      <c r="P47" s="19">
        <f t="shared" si="18"/>
        <v>54</v>
      </c>
      <c r="Q47" s="19">
        <f>IF(E47="HERRAJE",0,IFERROR(_xlfn.XLOOKUP(E47,'⚙️ Configuración Costos'!$E$5:$E$6,'⚙️ Configuración Costos'!$F$5:$F$6),""))</f>
        <v>0</v>
      </c>
      <c r="R47" s="19">
        <f t="shared" si="19"/>
        <v>0</v>
      </c>
      <c r="S47" s="37">
        <f t="shared" si="20"/>
        <v>54</v>
      </c>
      <c r="T47" s="94" t="str">
        <f t="shared" si="21"/>
        <v>OK</v>
      </c>
      <c r="U47" s="95" t="str">
        <f t="shared" si="22"/>
        <v/>
      </c>
      <c r="V47" s="96">
        <f t="shared" si="23"/>
        <v>0</v>
      </c>
    </row>
    <row r="48" spans="1:22" x14ac:dyDescent="0.2">
      <c r="A48" s="36">
        <f>6*(IF(LEFT(D37,4)="Base",A37,0)+IF(LEFT(D37,4)="Piso",A37,0)+IF(LEFT(D37,5)="Techo",A37,0)+IF(LEFT(D38,4)="Base",A38,0)+IF(LEFT(D38,4)="Piso",A38,0)+IF(LEFT(D38,5)="Techo",A38,0)+IF(LEFT(D39,4)="Base",A39,0)+IF(LEFT(D39,4)="Piso",A39,0)+IF(LEFT(D39,5)="Techo",A39,0)+IF(LEFT(D40,4)="Base",A40,0)+IF(LEFT(D40,4)="Piso",A40,0)+IF(LEFT(D40,5)="Techo",A40,0)+IF(LEFT(D41,4)="Base",A41,0)+IF(LEFT(D41,4)="Piso",A41,0)+IF(LEFT(D41,5)="Techo",A41,0)+IF(LEFT(D42,4)="Base",A42,0)+IF(LEFT(D42,4)="Piso",A42,0)+IF(LEFT(D42,5)="Techo",A42,0)+IF(LEFT(D43,4)="Base",A43,0)+IF(LEFT(D43,4)="Piso",A43,0)+IF(LEFT(D43,5)="Techo",A43,0))+10*(IF(LEFT(D37,8)="Respaldo",A37,0)+IF(LEFT(D38,8)="Respaldo",A38,0)+IF(LEFT(D39,8)="Respaldo",A39,0)+IF(LEFT(D40,8)="Respaldo",A40,0)+IF(LEFT(D41,8)="Respaldo",A41,0)+IF(LEFT(D42,8)="Respaldo",A42,0)+IF(LEFT(D43,8)="Respaldo",A43,0))+4*(IF(LEFT(D37,8)="Manguete",A37,0)+IF(LEFT(D38,8)="Manguete",A38,0)+IF(LEFT(D39,8)="Manguete",A39,0)+IF(LEFT(D40,8)="Manguete",A40,0)+IF(LEFT(D41,8)="Manguete",A41,0)+IF(LEFT(D42,8)="Manguete",A42,0)+IF(LEFT(D43,8)="Manguete",A43,0))</f>
        <v>22</v>
      </c>
      <c r="B48" s="20">
        <v>0</v>
      </c>
      <c r="C48" s="20">
        <v>0</v>
      </c>
      <c r="D48" s="21" t="s">
        <v>468</v>
      </c>
      <c r="E48" s="21" t="s">
        <v>91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3" t="s">
        <v>5</v>
      </c>
      <c r="L48" s="48" t="s">
        <v>361</v>
      </c>
      <c r="M48" s="17">
        <f t="shared" si="16"/>
        <v>0</v>
      </c>
      <c r="N48" s="18">
        <f t="shared" si="17"/>
        <v>0</v>
      </c>
      <c r="O48" s="19">
        <f>IF(E48="HERRAJE",IFERROR(_xlfn.XLOOKUP(D48,'⚙️ Configuración Costos'!$A$11:$A$20,'⚙️ Configuración Costos'!$B$11:$B$20),""),IFERROR(_xlfn.XLOOKUP(E48,'⚙️ Configuración Costos'!$A$5:$A$6,'⚙️ Configuración Costos'!$B$5:$B$6),""))</f>
        <v>1</v>
      </c>
      <c r="P48" s="19">
        <f t="shared" si="18"/>
        <v>22</v>
      </c>
      <c r="Q48" s="19">
        <f>IF(E48="HERRAJE",0,IFERROR(_xlfn.XLOOKUP(E48,'⚙️ Configuración Costos'!$E$5:$E$6,'⚙️ Configuración Costos'!$F$5:$F$6),""))</f>
        <v>0</v>
      </c>
      <c r="R48" s="19">
        <f t="shared" si="19"/>
        <v>0</v>
      </c>
      <c r="S48" s="37">
        <f t="shared" si="20"/>
        <v>22</v>
      </c>
      <c r="T48" s="94" t="str">
        <f t="shared" si="21"/>
        <v>OK</v>
      </c>
      <c r="U48" s="95" t="str">
        <f t="shared" si="22"/>
        <v/>
      </c>
      <c r="V48" s="96">
        <f t="shared" si="23"/>
        <v>0</v>
      </c>
    </row>
    <row r="49" spans="1:22" x14ac:dyDescent="0.2">
      <c r="A49" s="27" t="s">
        <v>99</v>
      </c>
      <c r="B49" s="27"/>
      <c r="C49" s="27"/>
      <c r="D49" s="28"/>
      <c r="E49" s="28"/>
      <c r="F49" s="29"/>
      <c r="G49" s="29"/>
      <c r="H49" s="29"/>
      <c r="I49" s="29"/>
      <c r="J49" s="29"/>
      <c r="K49" s="30"/>
      <c r="L49" s="49"/>
      <c r="M49" s="31">
        <f>SUM(M37:M48)</f>
        <v>1.2740739999999999</v>
      </c>
      <c r="N49" s="32">
        <f>SUM(N37:N48)</f>
        <v>8.3619999999999983</v>
      </c>
      <c r="O49" s="33"/>
      <c r="P49" s="33">
        <f>SUM(P37:P48)</f>
        <v>563.07866386885257</v>
      </c>
      <c r="Q49" s="33"/>
      <c r="R49" s="33">
        <f>SUM(R37:R48)</f>
        <v>79.439000000000007</v>
      </c>
      <c r="S49" s="33">
        <f>SUM(S37:S48)</f>
        <v>642.51766386885242</v>
      </c>
      <c r="T49" s="97"/>
      <c r="U49" s="98"/>
      <c r="V49" s="99"/>
    </row>
    <row r="50" spans="1:22" x14ac:dyDescent="0.2">
      <c r="A50" s="186" t="s">
        <v>112</v>
      </c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8"/>
      <c r="T50" s="97"/>
      <c r="U50" s="98"/>
      <c r="V50" s="99"/>
    </row>
    <row r="51" spans="1:22" x14ac:dyDescent="0.2">
      <c r="A51" s="34">
        <v>1</v>
      </c>
      <c r="B51" s="13">
        <v>680</v>
      </c>
      <c r="C51" s="13">
        <v>320</v>
      </c>
      <c r="D51" s="14" t="s">
        <v>63</v>
      </c>
      <c r="E51" s="14" t="s">
        <v>85</v>
      </c>
      <c r="F51" s="15">
        <v>1</v>
      </c>
      <c r="G51" s="15">
        <v>1</v>
      </c>
      <c r="H51" s="15">
        <v>1</v>
      </c>
      <c r="I51" s="15">
        <v>1</v>
      </c>
      <c r="J51" s="15">
        <v>1</v>
      </c>
      <c r="K51" s="16" t="s">
        <v>6</v>
      </c>
      <c r="L51" s="46" t="s">
        <v>65</v>
      </c>
      <c r="M51" s="17">
        <f t="shared" ref="M51:M62" si="24">IF(AND(ISNUMBER(B51),ISNUMBER(C51),B51&gt;0,C51&gt;0),A51*(B51*C51/1000000),0)</f>
        <v>0.21759999999999999</v>
      </c>
      <c r="N51" s="18">
        <f t="shared" ref="N51:N62" si="25">IF(AND(ISNUMBER(B51),B51&gt;0),A51*(((G51+H51)*B51+(I51+J51)*C51)/1000),0)</f>
        <v>2</v>
      </c>
      <c r="O51" s="19">
        <f>IF(E51="HERRAJE",IFERROR(_xlfn.XLOOKUP(D51,'⚙️ Configuración Costos'!$A$11:$A$20,'⚙️ Configuración Costos'!$B$11:$B$20),""),IFERROR(_xlfn.XLOOKUP(E51,'⚙️ Configuración Costos'!$A$5:$A$6,'⚙️ Configuración Costos'!$B$5:$B$6),""))</f>
        <v>332.85245901639348</v>
      </c>
      <c r="P51" s="19">
        <f t="shared" ref="P51:P62" si="26">IF(E51="HERRAJE",A51*O51,M51*O51)</f>
        <v>72.42869508196722</v>
      </c>
      <c r="Q51" s="19">
        <f>IF(E51="HERRAJE",0,IFERROR(_xlfn.XLOOKUP(E51,'⚙️ Configuración Costos'!$E$5:$E$6,'⚙️ Configuración Costos'!$F$5:$F$6),""))</f>
        <v>9.5</v>
      </c>
      <c r="R51" s="19">
        <f t="shared" ref="R51:R62" si="27">N51*Q51</f>
        <v>19</v>
      </c>
      <c r="S51" s="37">
        <f t="shared" ref="S51:S62" si="28">P51+R51</f>
        <v>91.42869508196722</v>
      </c>
      <c r="T51" s="94" t="str">
        <f t="shared" ref="T51:T62" si="29">IF(K51="","SIN ID MÓDULO",IF(E51="HERRAJE",IF(OR(O51="",O51&lt;=0),"SIN PRECIO HERRAJE","OK"),IF(OR(O51="",O51&lt;=0),"SIN PRECIO MATERIAL",IF(AND(N51&gt;0,OR(Q51="",Q51&lt;=0)),"SIN PRECIO CINTILLA","OK"))))</f>
        <v>OK</v>
      </c>
      <c r="U51" s="95" t="str">
        <f t="shared" ref="U51:U62" si="30">IF(T51="OK","",IF(T51="SIN PRECIO HERRAJE","Capturar precio: "&amp;D51,IF(T51="SIN PRECIO MATERIAL","Configurar material: "&amp;E51,IF(T51="SIN PRECIO CINTILLA","Configurar cintilla: "&amp;E51,IF(T51="SIN ID MÓDULO","Revisar ID del módulo","")))))</f>
        <v/>
      </c>
      <c r="V51" s="96">
        <f t="shared" ref="V51:V62" si="31">IF(T51="OK",0,IF(T51="",0,1))</f>
        <v>0</v>
      </c>
    </row>
    <row r="52" spans="1:22" x14ac:dyDescent="0.2">
      <c r="A52" s="35">
        <v>1</v>
      </c>
      <c r="B52" s="6">
        <v>680</v>
      </c>
      <c r="C52" s="6">
        <v>320</v>
      </c>
      <c r="D52" s="7" t="s">
        <v>66</v>
      </c>
      <c r="E52" s="7" t="s">
        <v>85</v>
      </c>
      <c r="F52" s="8">
        <v>1</v>
      </c>
      <c r="G52" s="8">
        <v>1</v>
      </c>
      <c r="H52" s="8">
        <v>1</v>
      </c>
      <c r="I52" s="8">
        <v>1</v>
      </c>
      <c r="J52" s="8">
        <v>1</v>
      </c>
      <c r="K52" s="9" t="s">
        <v>6</v>
      </c>
      <c r="L52" s="47" t="s">
        <v>67</v>
      </c>
      <c r="M52" s="17">
        <f t="shared" si="24"/>
        <v>0.21759999999999999</v>
      </c>
      <c r="N52" s="18">
        <f t="shared" si="25"/>
        <v>2</v>
      </c>
      <c r="O52" s="19">
        <f>IF(E52="HERRAJE",IFERROR(_xlfn.XLOOKUP(D52,'⚙️ Configuración Costos'!$A$11:$A$20,'⚙️ Configuración Costos'!$B$11:$B$20),""),IFERROR(_xlfn.XLOOKUP(E52,'⚙️ Configuración Costos'!$A$5:$A$6,'⚙️ Configuración Costos'!$B$5:$B$6),""))</f>
        <v>332.85245901639348</v>
      </c>
      <c r="P52" s="19">
        <f t="shared" si="26"/>
        <v>72.42869508196722</v>
      </c>
      <c r="Q52" s="19">
        <f>IF(E52="HERRAJE",0,IFERROR(_xlfn.XLOOKUP(E52,'⚙️ Configuración Costos'!$E$5:$E$6,'⚙️ Configuración Costos'!$F$5:$F$6),""))</f>
        <v>9.5</v>
      </c>
      <c r="R52" s="19">
        <f t="shared" si="27"/>
        <v>19</v>
      </c>
      <c r="S52" s="37">
        <f t="shared" si="28"/>
        <v>91.42869508196722</v>
      </c>
      <c r="T52" s="94" t="str">
        <f t="shared" si="29"/>
        <v>OK</v>
      </c>
      <c r="U52" s="95" t="str">
        <f t="shared" si="30"/>
        <v/>
      </c>
      <c r="V52" s="96">
        <f t="shared" si="31"/>
        <v>0</v>
      </c>
    </row>
    <row r="53" spans="1:22" x14ac:dyDescent="0.2">
      <c r="A53" s="35">
        <v>1</v>
      </c>
      <c r="B53" s="6">
        <v>649</v>
      </c>
      <c r="C53" s="6">
        <v>469</v>
      </c>
      <c r="D53" s="7" t="s">
        <v>68</v>
      </c>
      <c r="E53" s="7" t="s">
        <v>85</v>
      </c>
      <c r="F53" s="8">
        <v>1</v>
      </c>
      <c r="G53" s="8">
        <v>0</v>
      </c>
      <c r="H53" s="8">
        <v>0</v>
      </c>
      <c r="I53" s="8">
        <v>0</v>
      </c>
      <c r="J53" s="8">
        <v>0</v>
      </c>
      <c r="K53" s="9" t="s">
        <v>6</v>
      </c>
      <c r="L53" s="47" t="s">
        <v>113</v>
      </c>
      <c r="M53" s="17">
        <f t="shared" si="24"/>
        <v>0.30438100000000001</v>
      </c>
      <c r="N53" s="18">
        <f t="shared" si="25"/>
        <v>0</v>
      </c>
      <c r="O53" s="19">
        <f>IF(E53="HERRAJE",IFERROR(_xlfn.XLOOKUP(D53,'⚙️ Configuración Costos'!$A$11:$A$20,'⚙️ Configuración Costos'!$B$11:$B$20),""),IFERROR(_xlfn.XLOOKUP(E53,'⚙️ Configuración Costos'!$A$5:$A$6,'⚙️ Configuración Costos'!$B$5:$B$6),""))</f>
        <v>332.85245901639348</v>
      </c>
      <c r="P53" s="19">
        <f t="shared" si="26"/>
        <v>101.31396432786887</v>
      </c>
      <c r="Q53" s="19">
        <f>IF(E53="HERRAJE",0,IFERROR(_xlfn.XLOOKUP(E53,'⚙️ Configuración Costos'!$E$5:$E$6,'⚙️ Configuración Costos'!$F$5:$F$6),""))</f>
        <v>9.5</v>
      </c>
      <c r="R53" s="19">
        <f t="shared" si="27"/>
        <v>0</v>
      </c>
      <c r="S53" s="37">
        <f t="shared" si="28"/>
        <v>101.31396432786887</v>
      </c>
      <c r="T53" s="94" t="str">
        <f t="shared" si="29"/>
        <v>OK</v>
      </c>
      <c r="U53" s="95" t="str">
        <f t="shared" si="30"/>
        <v/>
      </c>
      <c r="V53" s="96">
        <f t="shared" si="31"/>
        <v>0</v>
      </c>
    </row>
    <row r="54" spans="1:22" x14ac:dyDescent="0.2">
      <c r="A54" s="35">
        <v>1</v>
      </c>
      <c r="B54" s="6">
        <v>469</v>
      </c>
      <c r="C54" s="6">
        <v>320</v>
      </c>
      <c r="D54" s="7" t="s">
        <v>70</v>
      </c>
      <c r="E54" s="7" t="s">
        <v>85</v>
      </c>
      <c r="F54" s="8">
        <v>1</v>
      </c>
      <c r="G54" s="8">
        <v>1</v>
      </c>
      <c r="H54" s="8">
        <v>1</v>
      </c>
      <c r="I54" s="8">
        <v>0</v>
      </c>
      <c r="J54" s="8">
        <v>0</v>
      </c>
      <c r="K54" s="9" t="s">
        <v>6</v>
      </c>
      <c r="L54" s="47" t="s">
        <v>114</v>
      </c>
      <c r="M54" s="17">
        <f t="shared" si="24"/>
        <v>0.15007999999999999</v>
      </c>
      <c r="N54" s="18">
        <f t="shared" si="25"/>
        <v>0.93799999999999994</v>
      </c>
      <c r="O54" s="19">
        <f>IF(E54="HERRAJE",IFERROR(_xlfn.XLOOKUP(D54,'⚙️ Configuración Costos'!$A$11:$A$20,'⚙️ Configuración Costos'!$B$11:$B$20),""),IFERROR(_xlfn.XLOOKUP(E54,'⚙️ Configuración Costos'!$A$5:$A$6,'⚙️ Configuración Costos'!$B$5:$B$6),""))</f>
        <v>332.85245901639348</v>
      </c>
      <c r="P54" s="19">
        <f t="shared" si="26"/>
        <v>49.954497049180333</v>
      </c>
      <c r="Q54" s="19">
        <f>IF(E54="HERRAJE",0,IFERROR(_xlfn.XLOOKUP(E54,'⚙️ Configuración Costos'!$E$5:$E$6,'⚙️ Configuración Costos'!$F$5:$F$6),""))</f>
        <v>9.5</v>
      </c>
      <c r="R54" s="19">
        <f t="shared" si="27"/>
        <v>8.9109999999999996</v>
      </c>
      <c r="S54" s="37">
        <f t="shared" si="28"/>
        <v>58.865497049180334</v>
      </c>
      <c r="T54" s="94" t="str">
        <f t="shared" si="29"/>
        <v>OK</v>
      </c>
      <c r="U54" s="95" t="str">
        <f t="shared" si="30"/>
        <v/>
      </c>
      <c r="V54" s="96">
        <f t="shared" si="31"/>
        <v>0</v>
      </c>
    </row>
    <row r="55" spans="1:22" x14ac:dyDescent="0.2">
      <c r="A55" s="35">
        <v>1</v>
      </c>
      <c r="B55" s="6">
        <v>469</v>
      </c>
      <c r="C55" s="6">
        <v>320</v>
      </c>
      <c r="D55" s="7" t="s">
        <v>72</v>
      </c>
      <c r="E55" s="7" t="s">
        <v>85</v>
      </c>
      <c r="F55" s="8">
        <v>1</v>
      </c>
      <c r="G55" s="8">
        <v>1</v>
      </c>
      <c r="H55" s="8">
        <v>1</v>
      </c>
      <c r="I55" s="8">
        <v>0</v>
      </c>
      <c r="J55" s="8">
        <v>0</v>
      </c>
      <c r="K55" s="9" t="s">
        <v>6</v>
      </c>
      <c r="L55" s="47" t="s">
        <v>115</v>
      </c>
      <c r="M55" s="17">
        <f t="shared" si="24"/>
        <v>0.15007999999999999</v>
      </c>
      <c r="N55" s="18">
        <f t="shared" si="25"/>
        <v>0.93799999999999994</v>
      </c>
      <c r="O55" s="19">
        <f>IF(E55="HERRAJE",IFERROR(_xlfn.XLOOKUP(D55,'⚙️ Configuración Costos'!$A$11:$A$20,'⚙️ Configuración Costos'!$B$11:$B$20),""),IFERROR(_xlfn.XLOOKUP(E55,'⚙️ Configuración Costos'!$A$5:$A$6,'⚙️ Configuración Costos'!$B$5:$B$6),""))</f>
        <v>332.85245901639348</v>
      </c>
      <c r="P55" s="19">
        <f t="shared" si="26"/>
        <v>49.954497049180333</v>
      </c>
      <c r="Q55" s="19">
        <f>IF(E55="HERRAJE",0,IFERROR(_xlfn.XLOOKUP(E55,'⚙️ Configuración Costos'!$E$5:$E$6,'⚙️ Configuración Costos'!$F$5:$F$6),""))</f>
        <v>9.5</v>
      </c>
      <c r="R55" s="19">
        <f t="shared" si="27"/>
        <v>8.9109999999999996</v>
      </c>
      <c r="S55" s="37">
        <f t="shared" si="28"/>
        <v>58.865497049180334</v>
      </c>
      <c r="T55" s="94" t="str">
        <f t="shared" si="29"/>
        <v>OK</v>
      </c>
      <c r="U55" s="95" t="str">
        <f t="shared" si="30"/>
        <v/>
      </c>
      <c r="V55" s="96">
        <f t="shared" si="31"/>
        <v>0</v>
      </c>
    </row>
    <row r="56" spans="1:22" x14ac:dyDescent="0.2">
      <c r="A56" s="35">
        <v>1</v>
      </c>
      <c r="B56" s="6">
        <v>469</v>
      </c>
      <c r="C56" s="6">
        <v>256</v>
      </c>
      <c r="D56" s="7" t="s">
        <v>466</v>
      </c>
      <c r="E56" s="7" t="s">
        <v>85</v>
      </c>
      <c r="F56" s="8">
        <v>1</v>
      </c>
      <c r="G56" s="8">
        <v>1</v>
      </c>
      <c r="H56" s="8">
        <v>1</v>
      </c>
      <c r="I56" s="8">
        <v>0</v>
      </c>
      <c r="J56" s="8">
        <v>0</v>
      </c>
      <c r="K56" s="9" t="s">
        <v>6</v>
      </c>
      <c r="L56" s="47" t="s">
        <v>116</v>
      </c>
      <c r="M56" s="17">
        <f t="shared" si="24"/>
        <v>0.120064</v>
      </c>
      <c r="N56" s="18">
        <f t="shared" si="25"/>
        <v>0.93799999999999994</v>
      </c>
      <c r="O56" s="19">
        <f>IF(E56="HERRAJE",IFERROR(_xlfn.XLOOKUP(D56,'⚙️ Configuración Costos'!$A$11:$A$20,'⚙️ Configuración Costos'!$B$11:$B$20),""),IFERROR(_xlfn.XLOOKUP(E56,'⚙️ Configuración Costos'!$A$5:$A$6,'⚙️ Configuración Costos'!$B$5:$B$6),""))</f>
        <v>332.85245901639348</v>
      </c>
      <c r="P56" s="19">
        <f t="shared" si="26"/>
        <v>39.963597639344272</v>
      </c>
      <c r="Q56" s="19">
        <f>IF(E56="HERRAJE",0,IFERROR(_xlfn.XLOOKUP(E56,'⚙️ Configuración Costos'!$E$5:$E$6,'⚙️ Configuración Costos'!$F$5:$F$6),""))</f>
        <v>9.5</v>
      </c>
      <c r="R56" s="19">
        <f t="shared" si="27"/>
        <v>8.9109999999999996</v>
      </c>
      <c r="S56" s="37">
        <f t="shared" si="28"/>
        <v>48.874597639344273</v>
      </c>
      <c r="T56" s="94" t="str">
        <f t="shared" si="29"/>
        <v>OK</v>
      </c>
      <c r="U56" s="95" t="str">
        <f t="shared" si="30"/>
        <v/>
      </c>
      <c r="V56" s="96">
        <f t="shared" si="31"/>
        <v>0</v>
      </c>
    </row>
    <row r="57" spans="1:22" x14ac:dyDescent="0.2">
      <c r="A57" s="35">
        <v>1</v>
      </c>
      <c r="B57" s="6">
        <v>677</v>
      </c>
      <c r="C57" s="6">
        <v>497</v>
      </c>
      <c r="D57" s="7" t="s">
        <v>84</v>
      </c>
      <c r="E57" s="7" t="s">
        <v>85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9" t="s">
        <v>6</v>
      </c>
      <c r="L57" s="47" t="s">
        <v>117</v>
      </c>
      <c r="M57" s="17">
        <f t="shared" si="24"/>
        <v>0.33646900000000002</v>
      </c>
      <c r="N57" s="18">
        <f t="shared" si="25"/>
        <v>2.3479999999999999</v>
      </c>
      <c r="O57" s="19">
        <f>IF(E57="HERRAJE",IFERROR(_xlfn.XLOOKUP(D57,'⚙️ Configuración Costos'!$A$11:$A$20,'⚙️ Configuración Costos'!$B$11:$B$20),""),IFERROR(_xlfn.XLOOKUP(E57,'⚙️ Configuración Costos'!$A$5:$A$6,'⚙️ Configuración Costos'!$B$5:$B$6),""))</f>
        <v>332.85245901639348</v>
      </c>
      <c r="P57" s="19">
        <f t="shared" si="26"/>
        <v>111.9945340327869</v>
      </c>
      <c r="Q57" s="19">
        <f>IF(E57="HERRAJE",0,IFERROR(_xlfn.XLOOKUP(E57,'⚙️ Configuración Costos'!$E$5:$E$6,'⚙️ Configuración Costos'!$F$5:$F$6),""))</f>
        <v>9.5</v>
      </c>
      <c r="R57" s="19">
        <f t="shared" si="27"/>
        <v>22.305999999999997</v>
      </c>
      <c r="S57" s="37">
        <f t="shared" si="28"/>
        <v>134.30053403278691</v>
      </c>
      <c r="T57" s="94" t="str">
        <f t="shared" si="29"/>
        <v>OK</v>
      </c>
      <c r="U57" s="95" t="str">
        <f t="shared" si="30"/>
        <v/>
      </c>
      <c r="V57" s="96">
        <f t="shared" si="31"/>
        <v>0</v>
      </c>
    </row>
    <row r="58" spans="1:22" x14ac:dyDescent="0.2">
      <c r="A58" s="35">
        <v>2</v>
      </c>
      <c r="B58" s="6">
        <v>0</v>
      </c>
      <c r="C58" s="6">
        <v>0</v>
      </c>
      <c r="D58" s="7" t="s">
        <v>90</v>
      </c>
      <c r="E58" s="7" t="s">
        <v>91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" t="s">
        <v>6</v>
      </c>
      <c r="L58" s="47" t="s">
        <v>92</v>
      </c>
      <c r="M58" s="17">
        <f t="shared" si="24"/>
        <v>0</v>
      </c>
      <c r="N58" s="18">
        <f t="shared" si="25"/>
        <v>0</v>
      </c>
      <c r="O58" s="19">
        <f>IF(E58="HERRAJE",IFERROR(_xlfn.XLOOKUP(D58,'⚙️ Configuración Costos'!$A$11:$A$20,'⚙️ Configuración Costos'!$B$11:$B$20),""),IFERROR(_xlfn.XLOOKUP(E58,'⚙️ Configuración Costos'!$A$5:$A$6,'⚙️ Configuración Costos'!$B$5:$B$6),""))</f>
        <v>20</v>
      </c>
      <c r="P58" s="19">
        <f t="shared" si="26"/>
        <v>40</v>
      </c>
      <c r="Q58" s="19">
        <f>IF(E58="HERRAJE",0,IFERROR(_xlfn.XLOOKUP(E58,'⚙️ Configuración Costos'!$E$5:$E$6,'⚙️ Configuración Costos'!$F$5:$F$6),""))</f>
        <v>0</v>
      </c>
      <c r="R58" s="19">
        <f t="shared" si="27"/>
        <v>0</v>
      </c>
      <c r="S58" s="37">
        <f t="shared" si="28"/>
        <v>40</v>
      </c>
      <c r="T58" s="94" t="str">
        <f t="shared" si="29"/>
        <v>OK</v>
      </c>
      <c r="U58" s="95" t="str">
        <f t="shared" si="30"/>
        <v/>
      </c>
      <c r="V58" s="96">
        <f t="shared" si="31"/>
        <v>0</v>
      </c>
    </row>
    <row r="59" spans="1:22" x14ac:dyDescent="0.2">
      <c r="A59" s="35">
        <v>1</v>
      </c>
      <c r="B59" s="6">
        <v>0</v>
      </c>
      <c r="C59" s="6">
        <v>0</v>
      </c>
      <c r="D59" s="7" t="s">
        <v>93</v>
      </c>
      <c r="E59" s="7" t="s">
        <v>91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9" t="s">
        <v>6</v>
      </c>
      <c r="L59" s="47" t="s">
        <v>94</v>
      </c>
      <c r="M59" s="17">
        <f t="shared" si="24"/>
        <v>0</v>
      </c>
      <c r="N59" s="18">
        <f t="shared" si="25"/>
        <v>0</v>
      </c>
      <c r="O59" s="19">
        <f>IF(E59="HERRAJE",IFERROR(_xlfn.XLOOKUP(D59,'⚙️ Configuración Costos'!$A$11:$A$20,'⚙️ Configuración Costos'!$B$11:$B$20),""),IFERROR(_xlfn.XLOOKUP(E59,'⚙️ Configuración Costos'!$A$5:$A$6,'⚙️ Configuración Costos'!$B$5:$B$6),""))</f>
        <v>15</v>
      </c>
      <c r="P59" s="19">
        <f t="shared" si="26"/>
        <v>15</v>
      </c>
      <c r="Q59" s="19">
        <f>IF(E59="HERRAJE",0,IFERROR(_xlfn.XLOOKUP(E59,'⚙️ Configuración Costos'!$E$5:$E$6,'⚙️ Configuración Costos'!$F$5:$F$6),""))</f>
        <v>0</v>
      </c>
      <c r="R59" s="19">
        <f t="shared" si="27"/>
        <v>0</v>
      </c>
      <c r="S59" s="37">
        <f t="shared" si="28"/>
        <v>15</v>
      </c>
      <c r="T59" s="94" t="str">
        <f t="shared" si="29"/>
        <v>OK</v>
      </c>
      <c r="U59" s="95" t="str">
        <f t="shared" si="30"/>
        <v/>
      </c>
      <c r="V59" s="96">
        <f t="shared" si="31"/>
        <v>0</v>
      </c>
    </row>
    <row r="60" spans="1:22" x14ac:dyDescent="0.2">
      <c r="A60" s="35">
        <v>4</v>
      </c>
      <c r="B60" s="6">
        <v>0</v>
      </c>
      <c r="C60" s="6">
        <v>0</v>
      </c>
      <c r="D60" s="7" t="s">
        <v>95</v>
      </c>
      <c r="E60" s="7" t="s">
        <v>91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9" t="s">
        <v>6</v>
      </c>
      <c r="L60" s="47" t="s">
        <v>96</v>
      </c>
      <c r="M60" s="17">
        <f t="shared" si="24"/>
        <v>0</v>
      </c>
      <c r="N60" s="18">
        <f t="shared" si="25"/>
        <v>0</v>
      </c>
      <c r="O60" s="19">
        <f>IF(E60="HERRAJE",IFERROR(_xlfn.XLOOKUP(D60,'⚙️ Configuración Costos'!$A$11:$A$20,'⚙️ Configuración Costos'!$B$11:$B$20),""),IFERROR(_xlfn.XLOOKUP(E60,'⚙️ Configuración Costos'!$A$5:$A$6,'⚙️ Configuración Costos'!$B$5:$B$6),""))</f>
        <v>2</v>
      </c>
      <c r="P60" s="19">
        <f t="shared" si="26"/>
        <v>8</v>
      </c>
      <c r="Q60" s="19">
        <f>IF(E60="HERRAJE",0,IFERROR(_xlfn.XLOOKUP(E60,'⚙️ Configuración Costos'!$E$5:$E$6,'⚙️ Configuración Costos'!$F$5:$F$6),""))</f>
        <v>0</v>
      </c>
      <c r="R60" s="19">
        <f t="shared" si="27"/>
        <v>0</v>
      </c>
      <c r="S60" s="37">
        <f t="shared" si="28"/>
        <v>8</v>
      </c>
      <c r="T60" s="94" t="str">
        <f t="shared" si="29"/>
        <v>OK</v>
      </c>
      <c r="U60" s="95" t="str">
        <f t="shared" si="30"/>
        <v/>
      </c>
      <c r="V60" s="96">
        <f t="shared" si="31"/>
        <v>0</v>
      </c>
    </row>
    <row r="61" spans="1:22" x14ac:dyDescent="0.2">
      <c r="A61" s="36">
        <f>4*(IF(LEFT(D51,4)="Base",A51,0)+IF(LEFT(D51,4)="Piso",A51,0)+IF(LEFT(D51,5)="Techo",A51,0)+IF(LEFT(D52,4)="Base",A52,0)+IF(LEFT(D52,4)="Piso",A52,0)+IF(LEFT(D52,5)="Techo",A52,0)+IF(LEFT(D53,4)="Base",A53,0)+IF(LEFT(D53,4)="Piso",A53,0)+IF(LEFT(D53,5)="Techo",A53,0)+IF(LEFT(D54,4)="Base",A54,0)+IF(LEFT(D54,4)="Piso",A54,0)+IF(LEFT(D54,5)="Techo",A54,0)+IF(LEFT(D55,4)="Base",A55,0)+IF(LEFT(D55,4)="Piso",A55,0)+IF(LEFT(D55,5)="Techo",A55,0)+IF(LEFT(D56,4)="Base",A56,0)+IF(LEFT(D56,4)="Piso",A56,0)+IF(LEFT(D56,5)="Techo",A56,0)+IF(LEFT(D57,4)="Base",A57,0)+IF(LEFT(D57,4)="Piso",A57,0)+IF(LEFT(D57,5)="Techo",A57,0))+10*(IF(LEFT(D51,8)="Respaldo",A51,0)+IF(LEFT(D52,8)="Respaldo",A52,0)+IF(LEFT(D53,8)="Respaldo",A53,0)+IF(LEFT(D54,8)="Respaldo",A54,0)+IF(LEFT(D55,8)="Respaldo",A55,0)+IF(LEFT(D56,8)="Respaldo",A56,0)+IF(LEFT(D57,8)="Respaldo",A57,0))+2*(IF(LEFT(D51,8)="Manguete",A51,0)+IF(LEFT(D52,8)="Manguete",A52,0)+IF(LEFT(D53,8)="Manguete",A53,0)+IF(LEFT(D54,8)="Manguete",A54,0)+IF(LEFT(D55,8)="Manguete",A55,0)+IF(LEFT(D56,8)="Manguete",A56,0)+IF(LEFT(D57,8)="Manguete",A57,0))</f>
        <v>18</v>
      </c>
      <c r="B61" s="20">
        <v>0</v>
      </c>
      <c r="C61" s="20">
        <v>0</v>
      </c>
      <c r="D61" s="21" t="s">
        <v>400</v>
      </c>
      <c r="E61" s="21" t="s">
        <v>91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3" t="s">
        <v>6</v>
      </c>
      <c r="L61" s="48" t="s">
        <v>360</v>
      </c>
      <c r="M61" s="17">
        <f t="shared" si="24"/>
        <v>0</v>
      </c>
      <c r="N61" s="18">
        <f t="shared" si="25"/>
        <v>0</v>
      </c>
      <c r="O61" s="19">
        <f>IF(E61="HERRAJE",IFERROR(_xlfn.XLOOKUP(D61,'⚙️ Configuración Costos'!$A$11:$A$20,'⚙️ Configuración Costos'!$B$11:$B$20),""),IFERROR(_xlfn.XLOOKUP(E61,'⚙️ Configuración Costos'!$A$5:$A$6,'⚙️ Configuración Costos'!$B$5:$B$6),""))</f>
        <v>3</v>
      </c>
      <c r="P61" s="19">
        <f t="shared" si="26"/>
        <v>54</v>
      </c>
      <c r="Q61" s="19">
        <f>IF(E61="HERRAJE",0,IFERROR(_xlfn.XLOOKUP(E61,'⚙️ Configuración Costos'!$E$5:$E$6,'⚙️ Configuración Costos'!$F$5:$F$6),""))</f>
        <v>0</v>
      </c>
      <c r="R61" s="19">
        <f t="shared" si="27"/>
        <v>0</v>
      </c>
      <c r="S61" s="37">
        <f t="shared" si="28"/>
        <v>54</v>
      </c>
      <c r="T61" s="94" t="str">
        <f t="shared" si="29"/>
        <v>OK</v>
      </c>
      <c r="U61" s="95" t="str">
        <f t="shared" si="30"/>
        <v/>
      </c>
      <c r="V61" s="96">
        <f t="shared" si="31"/>
        <v>0</v>
      </c>
    </row>
    <row r="62" spans="1:22" x14ac:dyDescent="0.2">
      <c r="A62" s="36">
        <f>6*(IF(LEFT(D51,4)="Base",A51,0)+IF(LEFT(D51,4)="Piso",A51,0)+IF(LEFT(D51,5)="Techo",A51,0)+IF(LEFT(D52,4)="Base",A52,0)+IF(LEFT(D52,4)="Piso",A52,0)+IF(LEFT(D52,5)="Techo",A52,0)+IF(LEFT(D53,4)="Base",A53,0)+IF(LEFT(D53,4)="Piso",A53,0)+IF(LEFT(D53,5)="Techo",A53,0)+IF(LEFT(D54,4)="Base",A54,0)+IF(LEFT(D54,4)="Piso",A54,0)+IF(LEFT(D54,5)="Techo",A54,0)+IF(LEFT(D55,4)="Base",A55,0)+IF(LEFT(D55,4)="Piso",A55,0)+IF(LEFT(D55,5)="Techo",A55,0)+IF(LEFT(D56,4)="Base",A56,0)+IF(LEFT(D56,4)="Piso",A56,0)+IF(LEFT(D56,5)="Techo",A56,0)+IF(LEFT(D57,4)="Base",A57,0)+IF(LEFT(D57,4)="Piso",A57,0)+IF(LEFT(D57,5)="Techo",A57,0))+10*(IF(LEFT(D51,8)="Respaldo",A51,0)+IF(LEFT(D52,8)="Respaldo",A52,0)+IF(LEFT(D53,8)="Respaldo",A53,0)+IF(LEFT(D54,8)="Respaldo",A54,0)+IF(LEFT(D55,8)="Respaldo",A55,0)+IF(LEFT(D56,8)="Respaldo",A56,0)+IF(LEFT(D57,8)="Respaldo",A57,0))+4*(IF(LEFT(D51,8)="Manguete",A51,0)+IF(LEFT(D52,8)="Manguete",A52,0)+IF(LEFT(D53,8)="Manguete",A53,0)+IF(LEFT(D54,8)="Manguete",A54,0)+IF(LEFT(D55,8)="Manguete",A55,0)+IF(LEFT(D56,8)="Manguete",A56,0)+IF(LEFT(D57,8)="Manguete",A57,0))</f>
        <v>22</v>
      </c>
      <c r="B62" s="20">
        <v>0</v>
      </c>
      <c r="C62" s="20">
        <v>0</v>
      </c>
      <c r="D62" s="21" t="s">
        <v>468</v>
      </c>
      <c r="E62" s="21" t="s">
        <v>91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3" t="s">
        <v>6</v>
      </c>
      <c r="L62" s="48" t="s">
        <v>361</v>
      </c>
      <c r="M62" s="17">
        <f t="shared" si="24"/>
        <v>0</v>
      </c>
      <c r="N62" s="18">
        <f t="shared" si="25"/>
        <v>0</v>
      </c>
      <c r="O62" s="19">
        <f>IF(E62="HERRAJE",IFERROR(_xlfn.XLOOKUP(D62,'⚙️ Configuración Costos'!$A$11:$A$20,'⚙️ Configuración Costos'!$B$11:$B$20),""),IFERROR(_xlfn.XLOOKUP(E62,'⚙️ Configuración Costos'!$A$5:$A$6,'⚙️ Configuración Costos'!$B$5:$B$6),""))</f>
        <v>1</v>
      </c>
      <c r="P62" s="19">
        <f t="shared" si="26"/>
        <v>22</v>
      </c>
      <c r="Q62" s="19">
        <f>IF(E62="HERRAJE",0,IFERROR(_xlfn.XLOOKUP(E62,'⚙️ Configuración Costos'!$E$5:$E$6,'⚙️ Configuración Costos'!$F$5:$F$6),""))</f>
        <v>0</v>
      </c>
      <c r="R62" s="19">
        <f t="shared" si="27"/>
        <v>0</v>
      </c>
      <c r="S62" s="37">
        <f t="shared" si="28"/>
        <v>22</v>
      </c>
      <c r="T62" s="94" t="str">
        <f t="shared" si="29"/>
        <v>OK</v>
      </c>
      <c r="U62" s="95" t="str">
        <f t="shared" si="30"/>
        <v/>
      </c>
      <c r="V62" s="96">
        <f t="shared" si="31"/>
        <v>0</v>
      </c>
    </row>
    <row r="63" spans="1:22" x14ac:dyDescent="0.2">
      <c r="A63" s="27" t="s">
        <v>99</v>
      </c>
      <c r="B63" s="27"/>
      <c r="C63" s="27"/>
      <c r="D63" s="28"/>
      <c r="E63" s="28"/>
      <c r="F63" s="29"/>
      <c r="G63" s="29"/>
      <c r="H63" s="29"/>
      <c r="I63" s="29"/>
      <c r="J63" s="29"/>
      <c r="K63" s="30"/>
      <c r="L63" s="49"/>
      <c r="M63" s="31">
        <f>SUM(M51:M62)</f>
        <v>1.4962740000000001</v>
      </c>
      <c r="N63" s="32">
        <f>SUM(N51:N62)</f>
        <v>9.161999999999999</v>
      </c>
      <c r="O63" s="33"/>
      <c r="P63" s="33">
        <f>SUM(P51:P62)</f>
        <v>637.03848026229502</v>
      </c>
      <c r="Q63" s="33"/>
      <c r="R63" s="33">
        <f>SUM(R51:R62)</f>
        <v>87.039000000000001</v>
      </c>
      <c r="S63" s="33">
        <f>SUM(S51:S62)</f>
        <v>724.07748026229524</v>
      </c>
      <c r="T63" s="97"/>
      <c r="U63" s="98"/>
      <c r="V63" s="99"/>
    </row>
    <row r="64" spans="1:22" x14ac:dyDescent="0.2">
      <c r="A64" s="186" t="s">
        <v>118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8"/>
      <c r="T64" s="97"/>
      <c r="U64" s="98"/>
      <c r="V64" s="99"/>
    </row>
    <row r="65" spans="1:22" x14ac:dyDescent="0.2">
      <c r="A65" s="34">
        <v>1</v>
      </c>
      <c r="B65" s="13">
        <v>680</v>
      </c>
      <c r="C65" s="13">
        <v>320</v>
      </c>
      <c r="D65" s="14" t="s">
        <v>63</v>
      </c>
      <c r="E65" s="14" t="s">
        <v>85</v>
      </c>
      <c r="F65" s="15">
        <v>1</v>
      </c>
      <c r="G65" s="15">
        <v>1</v>
      </c>
      <c r="H65" s="15">
        <v>1</v>
      </c>
      <c r="I65" s="15">
        <v>1</v>
      </c>
      <c r="J65" s="15">
        <v>1</v>
      </c>
      <c r="K65" s="16" t="s">
        <v>7</v>
      </c>
      <c r="L65" s="46" t="s">
        <v>65</v>
      </c>
      <c r="M65" s="17">
        <f t="shared" ref="M65:M76" si="32">IF(AND(ISNUMBER(B65),ISNUMBER(C65),B65&gt;0,C65&gt;0),A65*(B65*C65/1000000),0)</f>
        <v>0.21759999999999999</v>
      </c>
      <c r="N65" s="18">
        <f t="shared" ref="N65:N76" si="33">IF(AND(ISNUMBER(B65),B65&gt;0),A65*(((G65+H65)*B65+(I65+J65)*C65)/1000),0)</f>
        <v>2</v>
      </c>
      <c r="O65" s="19">
        <f>IF(E65="HERRAJE",IFERROR(_xlfn.XLOOKUP(D65,'⚙️ Configuración Costos'!$A$11:$A$20,'⚙️ Configuración Costos'!$B$11:$B$20),""),IFERROR(_xlfn.XLOOKUP(E65,'⚙️ Configuración Costos'!$A$5:$A$6,'⚙️ Configuración Costos'!$B$5:$B$6),""))</f>
        <v>332.85245901639348</v>
      </c>
      <c r="P65" s="19">
        <f t="shared" ref="P65:P76" si="34">IF(E65="HERRAJE",A65*O65,M65*O65)</f>
        <v>72.42869508196722</v>
      </c>
      <c r="Q65" s="19">
        <f>IF(E65="HERRAJE",0,IFERROR(_xlfn.XLOOKUP(E65,'⚙️ Configuración Costos'!$E$5:$E$6,'⚙️ Configuración Costos'!$F$5:$F$6),""))</f>
        <v>9.5</v>
      </c>
      <c r="R65" s="19">
        <f t="shared" ref="R65:R76" si="35">N65*Q65</f>
        <v>19</v>
      </c>
      <c r="S65" s="37">
        <f t="shared" ref="S65:S76" si="36">P65+R65</f>
        <v>91.42869508196722</v>
      </c>
      <c r="T65" s="94" t="str">
        <f t="shared" ref="T65:T76" si="37">IF(K65="","SIN ID MÓDULO",IF(E65="HERRAJE",IF(OR(O65="",O65&lt;=0),"SIN PRECIO HERRAJE","OK"),IF(OR(O65="",O65&lt;=0),"SIN PRECIO MATERIAL",IF(AND(N65&gt;0,OR(Q65="",Q65&lt;=0)),"SIN PRECIO CINTILLA","OK"))))</f>
        <v>OK</v>
      </c>
      <c r="U65" s="95" t="str">
        <f t="shared" ref="U65:U76" si="38">IF(T65="OK","",IF(T65="SIN PRECIO HERRAJE","Capturar precio: "&amp;D65,IF(T65="SIN PRECIO MATERIAL","Configurar material: "&amp;E65,IF(T65="SIN PRECIO CINTILLA","Configurar cintilla: "&amp;E65,IF(T65="SIN ID MÓDULO","Revisar ID del módulo","")))))</f>
        <v/>
      </c>
      <c r="V65" s="96">
        <f t="shared" ref="V65:V76" si="39">IF(T65="OK",0,IF(T65="",0,1))</f>
        <v>0</v>
      </c>
    </row>
    <row r="66" spans="1:22" x14ac:dyDescent="0.2">
      <c r="A66" s="35">
        <v>1</v>
      </c>
      <c r="B66" s="6">
        <v>680</v>
      </c>
      <c r="C66" s="6">
        <v>320</v>
      </c>
      <c r="D66" s="7" t="s">
        <v>66</v>
      </c>
      <c r="E66" s="7" t="s">
        <v>85</v>
      </c>
      <c r="F66" s="8">
        <v>1</v>
      </c>
      <c r="G66" s="8">
        <v>1</v>
      </c>
      <c r="H66" s="8">
        <v>1</v>
      </c>
      <c r="I66" s="8">
        <v>1</v>
      </c>
      <c r="J66" s="8">
        <v>1</v>
      </c>
      <c r="K66" s="9" t="s">
        <v>7</v>
      </c>
      <c r="L66" s="47" t="s">
        <v>67</v>
      </c>
      <c r="M66" s="17">
        <f t="shared" si="32"/>
        <v>0.21759999999999999</v>
      </c>
      <c r="N66" s="18">
        <f t="shared" si="33"/>
        <v>2</v>
      </c>
      <c r="O66" s="19">
        <f>IF(E66="HERRAJE",IFERROR(_xlfn.XLOOKUP(D66,'⚙️ Configuración Costos'!$A$11:$A$20,'⚙️ Configuración Costos'!$B$11:$B$20),""),IFERROR(_xlfn.XLOOKUP(E66,'⚙️ Configuración Costos'!$A$5:$A$6,'⚙️ Configuración Costos'!$B$5:$B$6),""))</f>
        <v>332.85245901639348</v>
      </c>
      <c r="P66" s="19">
        <f t="shared" si="34"/>
        <v>72.42869508196722</v>
      </c>
      <c r="Q66" s="19">
        <f>IF(E66="HERRAJE",0,IFERROR(_xlfn.XLOOKUP(E66,'⚙️ Configuración Costos'!$E$5:$E$6,'⚙️ Configuración Costos'!$F$5:$F$6),""))</f>
        <v>9.5</v>
      </c>
      <c r="R66" s="19">
        <f t="shared" si="35"/>
        <v>19</v>
      </c>
      <c r="S66" s="37">
        <f t="shared" si="36"/>
        <v>91.42869508196722</v>
      </c>
      <c r="T66" s="94" t="str">
        <f t="shared" si="37"/>
        <v>OK</v>
      </c>
      <c r="U66" s="95" t="str">
        <f t="shared" si="38"/>
        <v/>
      </c>
      <c r="V66" s="96">
        <f t="shared" si="39"/>
        <v>0</v>
      </c>
    </row>
    <row r="67" spans="1:22" x14ac:dyDescent="0.2">
      <c r="A67" s="35">
        <v>1</v>
      </c>
      <c r="B67" s="6">
        <v>649</v>
      </c>
      <c r="C67" s="6">
        <v>569</v>
      </c>
      <c r="D67" s="7" t="s">
        <v>68</v>
      </c>
      <c r="E67" s="7" t="s">
        <v>85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9" t="s">
        <v>7</v>
      </c>
      <c r="L67" s="47" t="s">
        <v>119</v>
      </c>
      <c r="M67" s="17">
        <f t="shared" si="32"/>
        <v>0.36928100000000003</v>
      </c>
      <c r="N67" s="18">
        <f t="shared" si="33"/>
        <v>0</v>
      </c>
      <c r="O67" s="19">
        <f>IF(E67="HERRAJE",IFERROR(_xlfn.XLOOKUP(D67,'⚙️ Configuración Costos'!$A$11:$A$20,'⚙️ Configuración Costos'!$B$11:$B$20),""),IFERROR(_xlfn.XLOOKUP(E67,'⚙️ Configuración Costos'!$A$5:$A$6,'⚙️ Configuración Costos'!$B$5:$B$6),""))</f>
        <v>332.85245901639348</v>
      </c>
      <c r="P67" s="19">
        <f t="shared" si="34"/>
        <v>122.91608891803281</v>
      </c>
      <c r="Q67" s="19">
        <f>IF(E67="HERRAJE",0,IFERROR(_xlfn.XLOOKUP(E67,'⚙️ Configuración Costos'!$E$5:$E$6,'⚙️ Configuración Costos'!$F$5:$F$6),""))</f>
        <v>9.5</v>
      </c>
      <c r="R67" s="19">
        <f t="shared" si="35"/>
        <v>0</v>
      </c>
      <c r="S67" s="37">
        <f t="shared" si="36"/>
        <v>122.91608891803281</v>
      </c>
      <c r="T67" s="94" t="str">
        <f t="shared" si="37"/>
        <v>OK</v>
      </c>
      <c r="U67" s="95" t="str">
        <f t="shared" si="38"/>
        <v/>
      </c>
      <c r="V67" s="96">
        <f t="shared" si="39"/>
        <v>0</v>
      </c>
    </row>
    <row r="68" spans="1:22" x14ac:dyDescent="0.2">
      <c r="A68" s="35">
        <v>1</v>
      </c>
      <c r="B68" s="6">
        <v>569</v>
      </c>
      <c r="C68" s="6">
        <v>320</v>
      </c>
      <c r="D68" s="7" t="s">
        <v>70</v>
      </c>
      <c r="E68" s="7" t="s">
        <v>85</v>
      </c>
      <c r="F68" s="8">
        <v>1</v>
      </c>
      <c r="G68" s="8">
        <v>1</v>
      </c>
      <c r="H68" s="8">
        <v>1</v>
      </c>
      <c r="I68" s="8">
        <v>0</v>
      </c>
      <c r="J68" s="8">
        <v>0</v>
      </c>
      <c r="K68" s="9" t="s">
        <v>7</v>
      </c>
      <c r="L68" s="47" t="s">
        <v>120</v>
      </c>
      <c r="M68" s="17">
        <f t="shared" si="32"/>
        <v>0.18207999999999999</v>
      </c>
      <c r="N68" s="18">
        <f t="shared" si="33"/>
        <v>1.1379999999999999</v>
      </c>
      <c r="O68" s="19">
        <f>IF(E68="HERRAJE",IFERROR(_xlfn.XLOOKUP(D68,'⚙️ Configuración Costos'!$A$11:$A$20,'⚙️ Configuración Costos'!$B$11:$B$20),""),IFERROR(_xlfn.XLOOKUP(E68,'⚙️ Configuración Costos'!$A$5:$A$6,'⚙️ Configuración Costos'!$B$5:$B$6),""))</f>
        <v>332.85245901639348</v>
      </c>
      <c r="P68" s="19">
        <f t="shared" si="34"/>
        <v>60.605775737704924</v>
      </c>
      <c r="Q68" s="19">
        <f>IF(E68="HERRAJE",0,IFERROR(_xlfn.XLOOKUP(E68,'⚙️ Configuración Costos'!$E$5:$E$6,'⚙️ Configuración Costos'!$F$5:$F$6),""))</f>
        <v>9.5</v>
      </c>
      <c r="R68" s="19">
        <f t="shared" si="35"/>
        <v>10.811</v>
      </c>
      <c r="S68" s="37">
        <f t="shared" si="36"/>
        <v>71.416775737704924</v>
      </c>
      <c r="T68" s="94" t="str">
        <f t="shared" si="37"/>
        <v>OK</v>
      </c>
      <c r="U68" s="95" t="str">
        <f t="shared" si="38"/>
        <v/>
      </c>
      <c r="V68" s="96">
        <f t="shared" si="39"/>
        <v>0</v>
      </c>
    </row>
    <row r="69" spans="1:22" x14ac:dyDescent="0.2">
      <c r="A69" s="35">
        <v>1</v>
      </c>
      <c r="B69" s="6">
        <v>569</v>
      </c>
      <c r="C69" s="6">
        <v>320</v>
      </c>
      <c r="D69" s="7" t="s">
        <v>72</v>
      </c>
      <c r="E69" s="7" t="s">
        <v>85</v>
      </c>
      <c r="F69" s="8">
        <v>1</v>
      </c>
      <c r="G69" s="8">
        <v>1</v>
      </c>
      <c r="H69" s="8">
        <v>1</v>
      </c>
      <c r="I69" s="8">
        <v>0</v>
      </c>
      <c r="J69" s="8">
        <v>0</v>
      </c>
      <c r="K69" s="9" t="s">
        <v>7</v>
      </c>
      <c r="L69" s="47" t="s">
        <v>121</v>
      </c>
      <c r="M69" s="17">
        <f t="shared" si="32"/>
        <v>0.18207999999999999</v>
      </c>
      <c r="N69" s="18">
        <f t="shared" si="33"/>
        <v>1.1379999999999999</v>
      </c>
      <c r="O69" s="19">
        <f>IF(E69="HERRAJE",IFERROR(_xlfn.XLOOKUP(D69,'⚙️ Configuración Costos'!$A$11:$A$20,'⚙️ Configuración Costos'!$B$11:$B$20),""),IFERROR(_xlfn.XLOOKUP(E69,'⚙️ Configuración Costos'!$A$5:$A$6,'⚙️ Configuración Costos'!$B$5:$B$6),""))</f>
        <v>332.85245901639348</v>
      </c>
      <c r="P69" s="19">
        <f t="shared" si="34"/>
        <v>60.605775737704924</v>
      </c>
      <c r="Q69" s="19">
        <f>IF(E69="HERRAJE",0,IFERROR(_xlfn.XLOOKUP(E69,'⚙️ Configuración Costos'!$E$5:$E$6,'⚙️ Configuración Costos'!$F$5:$F$6),""))</f>
        <v>9.5</v>
      </c>
      <c r="R69" s="19">
        <f t="shared" si="35"/>
        <v>10.811</v>
      </c>
      <c r="S69" s="37">
        <f t="shared" si="36"/>
        <v>71.416775737704924</v>
      </c>
      <c r="T69" s="94" t="str">
        <f t="shared" si="37"/>
        <v>OK</v>
      </c>
      <c r="U69" s="95" t="str">
        <f t="shared" si="38"/>
        <v/>
      </c>
      <c r="V69" s="96">
        <f t="shared" si="39"/>
        <v>0</v>
      </c>
    </row>
    <row r="70" spans="1:22" x14ac:dyDescent="0.2">
      <c r="A70" s="35">
        <v>1</v>
      </c>
      <c r="B70" s="6">
        <v>569</v>
      </c>
      <c r="C70" s="6">
        <v>256</v>
      </c>
      <c r="D70" s="7" t="s">
        <v>466</v>
      </c>
      <c r="E70" s="7" t="s">
        <v>85</v>
      </c>
      <c r="F70" s="8">
        <v>1</v>
      </c>
      <c r="G70" s="8">
        <v>1</v>
      </c>
      <c r="H70" s="8">
        <v>1</v>
      </c>
      <c r="I70" s="8">
        <v>0</v>
      </c>
      <c r="J70" s="8">
        <v>0</v>
      </c>
      <c r="K70" s="9" t="s">
        <v>7</v>
      </c>
      <c r="L70" s="47" t="s">
        <v>122</v>
      </c>
      <c r="M70" s="17">
        <f t="shared" si="32"/>
        <v>0.14566399999999999</v>
      </c>
      <c r="N70" s="18">
        <f t="shared" si="33"/>
        <v>1.1379999999999999</v>
      </c>
      <c r="O70" s="19">
        <f>IF(E70="HERRAJE",IFERROR(_xlfn.XLOOKUP(D70,'⚙️ Configuración Costos'!$A$11:$A$20,'⚙️ Configuración Costos'!$B$11:$B$20),""),IFERROR(_xlfn.XLOOKUP(E70,'⚙️ Configuración Costos'!$A$5:$A$6,'⚙️ Configuración Costos'!$B$5:$B$6),""))</f>
        <v>332.85245901639348</v>
      </c>
      <c r="P70" s="19">
        <f t="shared" si="34"/>
        <v>48.484620590163935</v>
      </c>
      <c r="Q70" s="19">
        <f>IF(E70="HERRAJE",0,IFERROR(_xlfn.XLOOKUP(E70,'⚙️ Configuración Costos'!$E$5:$E$6,'⚙️ Configuración Costos'!$F$5:$F$6),""))</f>
        <v>9.5</v>
      </c>
      <c r="R70" s="19">
        <f t="shared" si="35"/>
        <v>10.811</v>
      </c>
      <c r="S70" s="37">
        <f t="shared" si="36"/>
        <v>59.295620590163935</v>
      </c>
      <c r="T70" s="94" t="str">
        <f t="shared" si="37"/>
        <v>OK</v>
      </c>
      <c r="U70" s="95" t="str">
        <f t="shared" si="38"/>
        <v/>
      </c>
      <c r="V70" s="96">
        <f t="shared" si="39"/>
        <v>0</v>
      </c>
    </row>
    <row r="71" spans="1:22" x14ac:dyDescent="0.2">
      <c r="A71" s="35">
        <v>1</v>
      </c>
      <c r="B71" s="6">
        <v>677</v>
      </c>
      <c r="C71" s="6">
        <v>597</v>
      </c>
      <c r="D71" s="7" t="s">
        <v>84</v>
      </c>
      <c r="E71" s="7" t="s">
        <v>85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9" t="s">
        <v>7</v>
      </c>
      <c r="L71" s="47" t="s">
        <v>123</v>
      </c>
      <c r="M71" s="17">
        <f t="shared" si="32"/>
        <v>0.404169</v>
      </c>
      <c r="N71" s="18">
        <f t="shared" si="33"/>
        <v>2.548</v>
      </c>
      <c r="O71" s="19">
        <f>IF(E71="HERRAJE",IFERROR(_xlfn.XLOOKUP(D71,'⚙️ Configuración Costos'!$A$11:$A$20,'⚙️ Configuración Costos'!$B$11:$B$20),""),IFERROR(_xlfn.XLOOKUP(E71,'⚙️ Configuración Costos'!$A$5:$A$6,'⚙️ Configuración Costos'!$B$5:$B$6),""))</f>
        <v>332.85245901639348</v>
      </c>
      <c r="P71" s="19">
        <f t="shared" si="34"/>
        <v>134.52864550819675</v>
      </c>
      <c r="Q71" s="19">
        <f>IF(E71="HERRAJE",0,IFERROR(_xlfn.XLOOKUP(E71,'⚙️ Configuración Costos'!$E$5:$E$6,'⚙️ Configuración Costos'!$F$5:$F$6),""))</f>
        <v>9.5</v>
      </c>
      <c r="R71" s="19">
        <f t="shared" si="35"/>
        <v>24.206</v>
      </c>
      <c r="S71" s="37">
        <f t="shared" si="36"/>
        <v>158.73464550819673</v>
      </c>
      <c r="T71" s="94" t="str">
        <f t="shared" si="37"/>
        <v>OK</v>
      </c>
      <c r="U71" s="95" t="str">
        <f t="shared" si="38"/>
        <v/>
      </c>
      <c r="V71" s="96">
        <f t="shared" si="39"/>
        <v>0</v>
      </c>
    </row>
    <row r="72" spans="1:22" x14ac:dyDescent="0.2">
      <c r="A72" s="35">
        <v>2</v>
      </c>
      <c r="B72" s="6">
        <v>0</v>
      </c>
      <c r="C72" s="6">
        <v>0</v>
      </c>
      <c r="D72" s="7" t="s">
        <v>90</v>
      </c>
      <c r="E72" s="7" t="s">
        <v>91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9" t="s">
        <v>7</v>
      </c>
      <c r="L72" s="47" t="s">
        <v>92</v>
      </c>
      <c r="M72" s="17">
        <f t="shared" si="32"/>
        <v>0</v>
      </c>
      <c r="N72" s="18">
        <f t="shared" si="33"/>
        <v>0</v>
      </c>
      <c r="O72" s="19">
        <f>IF(E72="HERRAJE",IFERROR(_xlfn.XLOOKUP(D72,'⚙️ Configuración Costos'!$A$11:$A$20,'⚙️ Configuración Costos'!$B$11:$B$20),""),IFERROR(_xlfn.XLOOKUP(E72,'⚙️ Configuración Costos'!$A$5:$A$6,'⚙️ Configuración Costos'!$B$5:$B$6),""))</f>
        <v>20</v>
      </c>
      <c r="P72" s="19">
        <f t="shared" si="34"/>
        <v>40</v>
      </c>
      <c r="Q72" s="19">
        <f>IF(E72="HERRAJE",0,IFERROR(_xlfn.XLOOKUP(E72,'⚙️ Configuración Costos'!$E$5:$E$6,'⚙️ Configuración Costos'!$F$5:$F$6),""))</f>
        <v>0</v>
      </c>
      <c r="R72" s="19">
        <f t="shared" si="35"/>
        <v>0</v>
      </c>
      <c r="S72" s="37">
        <f t="shared" si="36"/>
        <v>40</v>
      </c>
      <c r="T72" s="94" t="str">
        <f t="shared" si="37"/>
        <v>OK</v>
      </c>
      <c r="U72" s="95" t="str">
        <f t="shared" si="38"/>
        <v/>
      </c>
      <c r="V72" s="96">
        <f t="shared" si="39"/>
        <v>0</v>
      </c>
    </row>
    <row r="73" spans="1:22" x14ac:dyDescent="0.2">
      <c r="A73" s="35">
        <v>1</v>
      </c>
      <c r="B73" s="6">
        <v>0</v>
      </c>
      <c r="C73" s="6">
        <v>0</v>
      </c>
      <c r="D73" s="7" t="s">
        <v>93</v>
      </c>
      <c r="E73" s="7" t="s">
        <v>91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9" t="s">
        <v>7</v>
      </c>
      <c r="L73" s="47" t="s">
        <v>94</v>
      </c>
      <c r="M73" s="17">
        <f t="shared" si="32"/>
        <v>0</v>
      </c>
      <c r="N73" s="18">
        <f t="shared" si="33"/>
        <v>0</v>
      </c>
      <c r="O73" s="19">
        <f>IF(E73="HERRAJE",IFERROR(_xlfn.XLOOKUP(D73,'⚙️ Configuración Costos'!$A$11:$A$20,'⚙️ Configuración Costos'!$B$11:$B$20),""),IFERROR(_xlfn.XLOOKUP(E73,'⚙️ Configuración Costos'!$A$5:$A$6,'⚙️ Configuración Costos'!$B$5:$B$6),""))</f>
        <v>15</v>
      </c>
      <c r="P73" s="19">
        <f t="shared" si="34"/>
        <v>15</v>
      </c>
      <c r="Q73" s="19">
        <f>IF(E73="HERRAJE",0,IFERROR(_xlfn.XLOOKUP(E73,'⚙️ Configuración Costos'!$E$5:$E$6,'⚙️ Configuración Costos'!$F$5:$F$6),""))</f>
        <v>0</v>
      </c>
      <c r="R73" s="19">
        <f t="shared" si="35"/>
        <v>0</v>
      </c>
      <c r="S73" s="37">
        <f t="shared" si="36"/>
        <v>15</v>
      </c>
      <c r="T73" s="94" t="str">
        <f t="shared" si="37"/>
        <v>OK</v>
      </c>
      <c r="U73" s="95" t="str">
        <f t="shared" si="38"/>
        <v/>
      </c>
      <c r="V73" s="96">
        <f t="shared" si="39"/>
        <v>0</v>
      </c>
    </row>
    <row r="74" spans="1:22" x14ac:dyDescent="0.2">
      <c r="A74" s="35">
        <v>4</v>
      </c>
      <c r="B74" s="6">
        <v>0</v>
      </c>
      <c r="C74" s="6">
        <v>0</v>
      </c>
      <c r="D74" s="7" t="s">
        <v>95</v>
      </c>
      <c r="E74" s="7" t="s">
        <v>91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9" t="s">
        <v>7</v>
      </c>
      <c r="L74" s="47" t="s">
        <v>96</v>
      </c>
      <c r="M74" s="17">
        <f t="shared" si="32"/>
        <v>0</v>
      </c>
      <c r="N74" s="18">
        <f t="shared" si="33"/>
        <v>0</v>
      </c>
      <c r="O74" s="19">
        <f>IF(E74="HERRAJE",IFERROR(_xlfn.XLOOKUP(D74,'⚙️ Configuración Costos'!$A$11:$A$20,'⚙️ Configuración Costos'!$B$11:$B$20),""),IFERROR(_xlfn.XLOOKUP(E74,'⚙️ Configuración Costos'!$A$5:$A$6,'⚙️ Configuración Costos'!$B$5:$B$6),""))</f>
        <v>2</v>
      </c>
      <c r="P74" s="19">
        <f t="shared" si="34"/>
        <v>8</v>
      </c>
      <c r="Q74" s="19">
        <f>IF(E74="HERRAJE",0,IFERROR(_xlfn.XLOOKUP(E74,'⚙️ Configuración Costos'!$E$5:$E$6,'⚙️ Configuración Costos'!$F$5:$F$6),""))</f>
        <v>0</v>
      </c>
      <c r="R74" s="19">
        <f t="shared" si="35"/>
        <v>0</v>
      </c>
      <c r="S74" s="37">
        <f t="shared" si="36"/>
        <v>8</v>
      </c>
      <c r="T74" s="94" t="str">
        <f t="shared" si="37"/>
        <v>OK</v>
      </c>
      <c r="U74" s="95" t="str">
        <f t="shared" si="38"/>
        <v/>
      </c>
      <c r="V74" s="96">
        <f t="shared" si="39"/>
        <v>0</v>
      </c>
    </row>
    <row r="75" spans="1:22" x14ac:dyDescent="0.2">
      <c r="A75" s="36">
        <f>4*(IF(LEFT(D65,4)="Base",A65,0)+IF(LEFT(D65,4)="Piso",A65,0)+IF(LEFT(D65,5)="Techo",A65,0)+IF(LEFT(D66,4)="Base",A66,0)+IF(LEFT(D66,4)="Piso",A66,0)+IF(LEFT(D66,5)="Techo",A66,0)+IF(LEFT(D67,4)="Base",A67,0)+IF(LEFT(D67,4)="Piso",A67,0)+IF(LEFT(D67,5)="Techo",A67,0)+IF(LEFT(D68,4)="Base",A68,0)+IF(LEFT(D68,4)="Piso",A68,0)+IF(LEFT(D68,5)="Techo",A68,0)+IF(LEFT(D69,4)="Base",A69,0)+IF(LEFT(D69,4)="Piso",A69,0)+IF(LEFT(D69,5)="Techo",A69,0)+IF(LEFT(D70,4)="Base",A70,0)+IF(LEFT(D70,4)="Piso",A70,0)+IF(LEFT(D70,5)="Techo",A70,0)+IF(LEFT(D71,4)="Base",A71,0)+IF(LEFT(D71,4)="Piso",A71,0)+IF(LEFT(D71,5)="Techo",A71,0))+10*(IF(LEFT(D65,8)="Respaldo",A65,0)+IF(LEFT(D66,8)="Respaldo",A66,0)+IF(LEFT(D67,8)="Respaldo",A67,0)+IF(LEFT(D68,8)="Respaldo",A68,0)+IF(LEFT(D69,8)="Respaldo",A69,0)+IF(LEFT(D70,8)="Respaldo",A70,0)+IF(LEFT(D71,8)="Respaldo",A71,0))+2*(IF(LEFT(D65,8)="Manguete",A65,0)+IF(LEFT(D66,8)="Manguete",A66,0)+IF(LEFT(D67,8)="Manguete",A67,0)+IF(LEFT(D68,8)="Manguete",A68,0)+IF(LEFT(D69,8)="Manguete",A69,0)+IF(LEFT(D70,8)="Manguete",A70,0)+IF(LEFT(D71,8)="Manguete",A71,0))</f>
        <v>18</v>
      </c>
      <c r="B75" s="20">
        <v>0</v>
      </c>
      <c r="C75" s="20">
        <v>0</v>
      </c>
      <c r="D75" s="21" t="s">
        <v>400</v>
      </c>
      <c r="E75" s="21" t="s">
        <v>91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3" t="s">
        <v>7</v>
      </c>
      <c r="L75" s="48" t="s">
        <v>360</v>
      </c>
      <c r="M75" s="17">
        <f t="shared" si="32"/>
        <v>0</v>
      </c>
      <c r="N75" s="18">
        <f t="shared" si="33"/>
        <v>0</v>
      </c>
      <c r="O75" s="19">
        <f>IF(E75="HERRAJE",IFERROR(_xlfn.XLOOKUP(D75,'⚙️ Configuración Costos'!$A$11:$A$20,'⚙️ Configuración Costos'!$B$11:$B$20),""),IFERROR(_xlfn.XLOOKUP(E75,'⚙️ Configuración Costos'!$A$5:$A$6,'⚙️ Configuración Costos'!$B$5:$B$6),""))</f>
        <v>3</v>
      </c>
      <c r="P75" s="19">
        <f t="shared" si="34"/>
        <v>54</v>
      </c>
      <c r="Q75" s="19">
        <f>IF(E75="HERRAJE",0,IFERROR(_xlfn.XLOOKUP(E75,'⚙️ Configuración Costos'!$E$5:$E$6,'⚙️ Configuración Costos'!$F$5:$F$6),""))</f>
        <v>0</v>
      </c>
      <c r="R75" s="19">
        <f t="shared" si="35"/>
        <v>0</v>
      </c>
      <c r="S75" s="37">
        <f t="shared" si="36"/>
        <v>54</v>
      </c>
      <c r="T75" s="94" t="str">
        <f t="shared" si="37"/>
        <v>OK</v>
      </c>
      <c r="U75" s="95" t="str">
        <f t="shared" si="38"/>
        <v/>
      </c>
      <c r="V75" s="96">
        <f t="shared" si="39"/>
        <v>0</v>
      </c>
    </row>
    <row r="76" spans="1:22" x14ac:dyDescent="0.2">
      <c r="A76" s="36">
        <f>6*(IF(LEFT(D65,4)="Base",A65,0)+IF(LEFT(D65,4)="Piso",A65,0)+IF(LEFT(D65,5)="Techo",A65,0)+IF(LEFT(D66,4)="Base",A66,0)+IF(LEFT(D66,4)="Piso",A66,0)+IF(LEFT(D66,5)="Techo",A66,0)+IF(LEFT(D67,4)="Base",A67,0)+IF(LEFT(D67,4)="Piso",A67,0)+IF(LEFT(D67,5)="Techo",A67,0)+IF(LEFT(D68,4)="Base",A68,0)+IF(LEFT(D68,4)="Piso",A68,0)+IF(LEFT(D68,5)="Techo",A68,0)+IF(LEFT(D69,4)="Base",A69,0)+IF(LEFT(D69,4)="Piso",A69,0)+IF(LEFT(D69,5)="Techo",A69,0)+IF(LEFT(D70,4)="Base",A70,0)+IF(LEFT(D70,4)="Piso",A70,0)+IF(LEFT(D70,5)="Techo",A70,0)+IF(LEFT(D71,4)="Base",A71,0)+IF(LEFT(D71,4)="Piso",A71,0)+IF(LEFT(D71,5)="Techo",A71,0))+10*(IF(LEFT(D65,8)="Respaldo",A65,0)+IF(LEFT(D66,8)="Respaldo",A66,0)+IF(LEFT(D67,8)="Respaldo",A67,0)+IF(LEFT(D68,8)="Respaldo",A68,0)+IF(LEFT(D69,8)="Respaldo",A69,0)+IF(LEFT(D70,8)="Respaldo",A70,0)+IF(LEFT(D71,8)="Respaldo",A71,0))+4*(IF(LEFT(D65,8)="Manguete",A65,0)+IF(LEFT(D66,8)="Manguete",A66,0)+IF(LEFT(D67,8)="Manguete",A67,0)+IF(LEFT(D68,8)="Manguete",A68,0)+IF(LEFT(D69,8)="Manguete",A69,0)+IF(LEFT(D70,8)="Manguete",A70,0)+IF(LEFT(D71,8)="Manguete",A71,0))</f>
        <v>22</v>
      </c>
      <c r="B76" s="20">
        <v>0</v>
      </c>
      <c r="C76" s="20">
        <v>0</v>
      </c>
      <c r="D76" s="21" t="s">
        <v>468</v>
      </c>
      <c r="E76" s="21" t="s">
        <v>91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3" t="s">
        <v>7</v>
      </c>
      <c r="L76" s="48" t="s">
        <v>361</v>
      </c>
      <c r="M76" s="17">
        <f t="shared" si="32"/>
        <v>0</v>
      </c>
      <c r="N76" s="18">
        <f t="shared" si="33"/>
        <v>0</v>
      </c>
      <c r="O76" s="19">
        <f>IF(E76="HERRAJE",IFERROR(_xlfn.XLOOKUP(D76,'⚙️ Configuración Costos'!$A$11:$A$20,'⚙️ Configuración Costos'!$B$11:$B$20),""),IFERROR(_xlfn.XLOOKUP(E76,'⚙️ Configuración Costos'!$A$5:$A$6,'⚙️ Configuración Costos'!$B$5:$B$6),""))</f>
        <v>1</v>
      </c>
      <c r="P76" s="19">
        <f t="shared" si="34"/>
        <v>22</v>
      </c>
      <c r="Q76" s="19">
        <f>IF(E76="HERRAJE",0,IFERROR(_xlfn.XLOOKUP(E76,'⚙️ Configuración Costos'!$E$5:$E$6,'⚙️ Configuración Costos'!$F$5:$F$6),""))</f>
        <v>0</v>
      </c>
      <c r="R76" s="19">
        <f t="shared" si="35"/>
        <v>0</v>
      </c>
      <c r="S76" s="37">
        <f t="shared" si="36"/>
        <v>22</v>
      </c>
      <c r="T76" s="94" t="str">
        <f t="shared" si="37"/>
        <v>OK</v>
      </c>
      <c r="U76" s="95" t="str">
        <f t="shared" si="38"/>
        <v/>
      </c>
      <c r="V76" s="96">
        <f t="shared" si="39"/>
        <v>0</v>
      </c>
    </row>
    <row r="77" spans="1:22" x14ac:dyDescent="0.2">
      <c r="A77" s="27" t="s">
        <v>99</v>
      </c>
      <c r="B77" s="27"/>
      <c r="C77" s="27"/>
      <c r="D77" s="28"/>
      <c r="E77" s="28"/>
      <c r="F77" s="29"/>
      <c r="G77" s="29"/>
      <c r="H77" s="29"/>
      <c r="I77" s="29"/>
      <c r="J77" s="29"/>
      <c r="K77" s="30"/>
      <c r="L77" s="49"/>
      <c r="M77" s="31">
        <f>SUM(M65:M76)</f>
        <v>1.7184740000000001</v>
      </c>
      <c r="N77" s="32">
        <f>SUM(N65:N76)</f>
        <v>9.9619999999999997</v>
      </c>
      <c r="O77" s="33"/>
      <c r="P77" s="33">
        <f>SUM(P65:P76)</f>
        <v>710.9982966557377</v>
      </c>
      <c r="Q77" s="33"/>
      <c r="R77" s="33">
        <f>SUM(R65:R76)</f>
        <v>94.638999999999996</v>
      </c>
      <c r="S77" s="33">
        <f>SUM(S65:S76)</f>
        <v>805.63729665573783</v>
      </c>
      <c r="T77" s="97"/>
      <c r="U77" s="98"/>
      <c r="V77" s="99"/>
    </row>
    <row r="78" spans="1:22" x14ac:dyDescent="0.2">
      <c r="A78" s="186" t="s">
        <v>124</v>
      </c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8"/>
      <c r="T78" s="97"/>
      <c r="U78" s="98"/>
      <c r="V78" s="99"/>
    </row>
    <row r="79" spans="1:22" x14ac:dyDescent="0.2">
      <c r="A79" s="35">
        <v>1</v>
      </c>
      <c r="B79" s="6">
        <v>680</v>
      </c>
      <c r="C79" s="6">
        <v>320</v>
      </c>
      <c r="D79" s="7" t="s">
        <v>63</v>
      </c>
      <c r="E79" s="7" t="s">
        <v>85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9" t="s">
        <v>8</v>
      </c>
      <c r="L79" s="47" t="s">
        <v>65</v>
      </c>
      <c r="M79" s="17">
        <f t="shared" ref="M79:M91" si="40">IF(AND(ISNUMBER(B79),ISNUMBER(C79),B79&gt;0,C79&gt;0),A79*(B79*C79/1000000),0)</f>
        <v>0.21759999999999999</v>
      </c>
      <c r="N79" s="18">
        <f t="shared" ref="N79:N91" si="41">IF(AND(ISNUMBER(B79),B79&gt;0),A79*(((G79+H79)*B79+(I79+J79)*C79)/1000),0)</f>
        <v>2</v>
      </c>
      <c r="O79" s="19">
        <f>IF(E79="HERRAJE",IFERROR(_xlfn.XLOOKUP(D79,'⚙️ Configuración Costos'!$A$11:$A$20,'⚙️ Configuración Costos'!$B$11:$B$20),""),IFERROR(_xlfn.XLOOKUP(E79,'⚙️ Configuración Costos'!$A$5:$A$6,'⚙️ Configuración Costos'!$B$5:$B$6),""))</f>
        <v>332.85245901639348</v>
      </c>
      <c r="P79" s="19">
        <f t="shared" ref="P79:P91" si="42">IF(E79="HERRAJE",A79*O79,M79*O79)</f>
        <v>72.42869508196722</v>
      </c>
      <c r="Q79" s="19">
        <f>IF(E79="HERRAJE",0,IFERROR(_xlfn.XLOOKUP(E79,'⚙️ Configuración Costos'!$E$5:$E$6,'⚙️ Configuración Costos'!$F$5:$F$6),""))</f>
        <v>9.5</v>
      </c>
      <c r="R79" s="19">
        <f t="shared" ref="R79:R91" si="43">N79*Q79</f>
        <v>19</v>
      </c>
      <c r="S79" s="37">
        <f t="shared" ref="S79:S91" si="44">P79+R79</f>
        <v>91.42869508196722</v>
      </c>
      <c r="T79" s="94" t="str">
        <f t="shared" ref="T79:T91" si="45">IF(K79="","SIN ID MÓDULO",IF(E79="HERRAJE",IF(OR(O79="",O79&lt;=0),"SIN PRECIO HERRAJE","OK"),IF(OR(O79="",O79&lt;=0),"SIN PRECIO MATERIAL",IF(AND(N79&gt;0,OR(Q79="",Q79&lt;=0)),"SIN PRECIO CINTILLA","OK"))))</f>
        <v>OK</v>
      </c>
      <c r="U79" s="95" t="str">
        <f t="shared" ref="U79:U91" si="46">IF(T79="OK","",IF(T79="SIN PRECIO HERRAJE","Capturar precio: "&amp;D79,IF(T79="SIN PRECIO MATERIAL","Configurar material: "&amp;E79,IF(T79="SIN PRECIO CINTILLA","Configurar cintilla: "&amp;E79,IF(T79="SIN ID MÓDULO","Revisar ID del módulo","")))))</f>
        <v/>
      </c>
      <c r="V79" s="96">
        <f t="shared" ref="V79:V91" si="47">IF(T79="OK",0,IF(T79="",0,1))</f>
        <v>0</v>
      </c>
    </row>
    <row r="80" spans="1:22" x14ac:dyDescent="0.2">
      <c r="A80" s="35">
        <v>1</v>
      </c>
      <c r="B80" s="6">
        <v>680</v>
      </c>
      <c r="C80" s="6">
        <v>320</v>
      </c>
      <c r="D80" s="7" t="s">
        <v>66</v>
      </c>
      <c r="E80" s="7" t="s">
        <v>85</v>
      </c>
      <c r="F80" s="8">
        <v>1</v>
      </c>
      <c r="G80" s="8">
        <v>1</v>
      </c>
      <c r="H80" s="8">
        <v>1</v>
      </c>
      <c r="I80" s="8">
        <v>1</v>
      </c>
      <c r="J80" s="8">
        <v>1</v>
      </c>
      <c r="K80" s="9" t="s">
        <v>8</v>
      </c>
      <c r="L80" s="47" t="s">
        <v>67</v>
      </c>
      <c r="M80" s="17">
        <f t="shared" si="40"/>
        <v>0.21759999999999999</v>
      </c>
      <c r="N80" s="18">
        <f t="shared" si="41"/>
        <v>2</v>
      </c>
      <c r="O80" s="19">
        <f>IF(E80="HERRAJE",IFERROR(_xlfn.XLOOKUP(D80,'⚙️ Configuración Costos'!$A$11:$A$20,'⚙️ Configuración Costos'!$B$11:$B$20),""),IFERROR(_xlfn.XLOOKUP(E80,'⚙️ Configuración Costos'!$A$5:$A$6,'⚙️ Configuración Costos'!$B$5:$B$6),""))</f>
        <v>332.85245901639348</v>
      </c>
      <c r="P80" s="19">
        <f t="shared" si="42"/>
        <v>72.42869508196722</v>
      </c>
      <c r="Q80" s="19">
        <f>IF(E80="HERRAJE",0,IFERROR(_xlfn.XLOOKUP(E80,'⚙️ Configuración Costos'!$E$5:$E$6,'⚙️ Configuración Costos'!$F$5:$F$6),""))</f>
        <v>9.5</v>
      </c>
      <c r="R80" s="19">
        <f t="shared" si="43"/>
        <v>19</v>
      </c>
      <c r="S80" s="37">
        <f t="shared" si="44"/>
        <v>91.42869508196722</v>
      </c>
      <c r="T80" s="94" t="str">
        <f t="shared" si="45"/>
        <v>OK</v>
      </c>
      <c r="U80" s="95" t="str">
        <f t="shared" si="46"/>
        <v/>
      </c>
      <c r="V80" s="96">
        <f t="shared" si="47"/>
        <v>0</v>
      </c>
    </row>
    <row r="81" spans="1:22" x14ac:dyDescent="0.2">
      <c r="A81" s="34">
        <v>1</v>
      </c>
      <c r="B81" s="13">
        <v>649</v>
      </c>
      <c r="C81" s="6">
        <v>669</v>
      </c>
      <c r="D81" s="14" t="s">
        <v>68</v>
      </c>
      <c r="E81" s="14" t="s">
        <v>85</v>
      </c>
      <c r="F81" s="15">
        <v>1</v>
      </c>
      <c r="G81" s="15">
        <v>0</v>
      </c>
      <c r="H81" s="15">
        <v>0</v>
      </c>
      <c r="I81" s="15">
        <v>0</v>
      </c>
      <c r="J81" s="15">
        <v>0</v>
      </c>
      <c r="K81" s="16" t="s">
        <v>8</v>
      </c>
      <c r="L81" s="46" t="s">
        <v>125</v>
      </c>
      <c r="M81" s="17">
        <f t="shared" si="40"/>
        <v>0.43418099999999998</v>
      </c>
      <c r="N81" s="18">
        <f t="shared" si="41"/>
        <v>0</v>
      </c>
      <c r="O81" s="19">
        <f>IF(E81="HERRAJE",IFERROR(_xlfn.XLOOKUP(D81,'⚙️ Configuración Costos'!$A$11:$A$20,'⚙️ Configuración Costos'!$B$11:$B$20),""),IFERROR(_xlfn.XLOOKUP(E81,'⚙️ Configuración Costos'!$A$5:$A$6,'⚙️ Configuración Costos'!$B$5:$B$6),""))</f>
        <v>332.85245901639348</v>
      </c>
      <c r="P81" s="19">
        <f t="shared" si="42"/>
        <v>144.51821350819674</v>
      </c>
      <c r="Q81" s="19">
        <f>IF(E81="HERRAJE",0,IFERROR(_xlfn.XLOOKUP(E81,'⚙️ Configuración Costos'!$E$5:$E$6,'⚙️ Configuración Costos'!$F$5:$F$6),""))</f>
        <v>9.5</v>
      </c>
      <c r="R81" s="19">
        <f t="shared" si="43"/>
        <v>0</v>
      </c>
      <c r="S81" s="37">
        <f t="shared" si="44"/>
        <v>144.51821350819674</v>
      </c>
      <c r="T81" s="94" t="str">
        <f t="shared" si="45"/>
        <v>OK</v>
      </c>
      <c r="U81" s="95" t="str">
        <f t="shared" si="46"/>
        <v/>
      </c>
      <c r="V81" s="96">
        <f t="shared" si="47"/>
        <v>0</v>
      </c>
    </row>
    <row r="82" spans="1:22" x14ac:dyDescent="0.2">
      <c r="A82" s="35">
        <v>1</v>
      </c>
      <c r="B82" s="6">
        <v>669</v>
      </c>
      <c r="C82" s="6">
        <v>320</v>
      </c>
      <c r="D82" s="7" t="s">
        <v>70</v>
      </c>
      <c r="E82" s="7" t="s">
        <v>85</v>
      </c>
      <c r="F82" s="8">
        <v>1</v>
      </c>
      <c r="G82" s="8">
        <v>1</v>
      </c>
      <c r="H82" s="8">
        <v>1</v>
      </c>
      <c r="I82" s="8">
        <v>0</v>
      </c>
      <c r="J82" s="8">
        <v>0</v>
      </c>
      <c r="K82" s="9" t="s">
        <v>8</v>
      </c>
      <c r="L82" s="47" t="s">
        <v>126</v>
      </c>
      <c r="M82" s="17">
        <f t="shared" si="40"/>
        <v>0.21407999999999999</v>
      </c>
      <c r="N82" s="18">
        <f t="shared" si="41"/>
        <v>1.3380000000000001</v>
      </c>
      <c r="O82" s="19">
        <f>IF(E82="HERRAJE",IFERROR(_xlfn.XLOOKUP(D82,'⚙️ Configuración Costos'!$A$11:$A$20,'⚙️ Configuración Costos'!$B$11:$B$20),""),IFERROR(_xlfn.XLOOKUP(E82,'⚙️ Configuración Costos'!$A$5:$A$6,'⚙️ Configuración Costos'!$B$5:$B$6),""))</f>
        <v>332.85245901639348</v>
      </c>
      <c r="P82" s="19">
        <f t="shared" si="42"/>
        <v>71.257054426229516</v>
      </c>
      <c r="Q82" s="19">
        <f>IF(E82="HERRAJE",0,IFERROR(_xlfn.XLOOKUP(E82,'⚙️ Configuración Costos'!$E$5:$E$6,'⚙️ Configuración Costos'!$F$5:$F$6),""))</f>
        <v>9.5</v>
      </c>
      <c r="R82" s="19">
        <f t="shared" si="43"/>
        <v>12.711</v>
      </c>
      <c r="S82" s="37">
        <f t="shared" si="44"/>
        <v>83.968054426229514</v>
      </c>
      <c r="T82" s="94" t="str">
        <f t="shared" si="45"/>
        <v>OK</v>
      </c>
      <c r="U82" s="95" t="str">
        <f t="shared" si="46"/>
        <v/>
      </c>
      <c r="V82" s="96">
        <f t="shared" si="47"/>
        <v>0</v>
      </c>
    </row>
    <row r="83" spans="1:22" x14ac:dyDescent="0.2">
      <c r="A83" s="35">
        <v>1</v>
      </c>
      <c r="B83" s="6">
        <v>669</v>
      </c>
      <c r="C83" s="6">
        <v>320</v>
      </c>
      <c r="D83" s="7" t="s">
        <v>72</v>
      </c>
      <c r="E83" s="7" t="s">
        <v>85</v>
      </c>
      <c r="F83" s="8">
        <v>1</v>
      </c>
      <c r="G83" s="8">
        <v>1</v>
      </c>
      <c r="H83" s="8">
        <v>1</v>
      </c>
      <c r="I83" s="8">
        <v>0</v>
      </c>
      <c r="J83" s="8">
        <v>0</v>
      </c>
      <c r="K83" s="9" t="s">
        <v>8</v>
      </c>
      <c r="L83" s="47" t="s">
        <v>127</v>
      </c>
      <c r="M83" s="17">
        <f t="shared" si="40"/>
        <v>0.21407999999999999</v>
      </c>
      <c r="N83" s="18">
        <f t="shared" si="41"/>
        <v>1.3380000000000001</v>
      </c>
      <c r="O83" s="19">
        <f>IF(E83="HERRAJE",IFERROR(_xlfn.XLOOKUP(D83,'⚙️ Configuración Costos'!$A$11:$A$20,'⚙️ Configuración Costos'!$B$11:$B$20),""),IFERROR(_xlfn.XLOOKUP(E83,'⚙️ Configuración Costos'!$A$5:$A$6,'⚙️ Configuración Costos'!$B$5:$B$6),""))</f>
        <v>332.85245901639348</v>
      </c>
      <c r="P83" s="19">
        <f t="shared" si="42"/>
        <v>71.257054426229516</v>
      </c>
      <c r="Q83" s="19">
        <f>IF(E83="HERRAJE",0,IFERROR(_xlfn.XLOOKUP(E83,'⚙️ Configuración Costos'!$E$5:$E$6,'⚙️ Configuración Costos'!$F$5:$F$6),""))</f>
        <v>9.5</v>
      </c>
      <c r="R83" s="19">
        <f t="shared" si="43"/>
        <v>12.711</v>
      </c>
      <c r="S83" s="37">
        <f t="shared" si="44"/>
        <v>83.968054426229514</v>
      </c>
      <c r="T83" s="94" t="str">
        <f t="shared" si="45"/>
        <v>OK</v>
      </c>
      <c r="U83" s="95" t="str">
        <f t="shared" si="46"/>
        <v/>
      </c>
      <c r="V83" s="96">
        <f t="shared" si="47"/>
        <v>0</v>
      </c>
    </row>
    <row r="84" spans="1:22" x14ac:dyDescent="0.2">
      <c r="A84" s="35">
        <v>1</v>
      </c>
      <c r="B84" s="6">
        <v>669</v>
      </c>
      <c r="C84" s="6">
        <v>256</v>
      </c>
      <c r="D84" s="7" t="s">
        <v>466</v>
      </c>
      <c r="E84" s="7" t="s">
        <v>85</v>
      </c>
      <c r="F84" s="8">
        <v>1</v>
      </c>
      <c r="G84" s="8">
        <v>1</v>
      </c>
      <c r="H84" s="8">
        <v>1</v>
      </c>
      <c r="I84" s="8">
        <v>0</v>
      </c>
      <c r="J84" s="8">
        <v>0</v>
      </c>
      <c r="K84" s="9" t="s">
        <v>8</v>
      </c>
      <c r="L84" s="47" t="s">
        <v>128</v>
      </c>
      <c r="M84" s="17">
        <f t="shared" si="40"/>
        <v>0.171264</v>
      </c>
      <c r="N84" s="18">
        <f t="shared" si="41"/>
        <v>1.3380000000000001</v>
      </c>
      <c r="O84" s="19">
        <f>IF(E84="HERRAJE",IFERROR(_xlfn.XLOOKUP(D84,'⚙️ Configuración Costos'!$A$11:$A$20,'⚙️ Configuración Costos'!$B$11:$B$20),""),IFERROR(_xlfn.XLOOKUP(E84,'⚙️ Configuración Costos'!$A$5:$A$6,'⚙️ Configuración Costos'!$B$5:$B$6),""))</f>
        <v>332.85245901639348</v>
      </c>
      <c r="P84" s="19">
        <f t="shared" si="42"/>
        <v>57.005643540983613</v>
      </c>
      <c r="Q84" s="19">
        <f>IF(E84="HERRAJE",0,IFERROR(_xlfn.XLOOKUP(E84,'⚙️ Configuración Costos'!$E$5:$E$6,'⚙️ Configuración Costos'!$F$5:$F$6),""))</f>
        <v>9.5</v>
      </c>
      <c r="R84" s="19">
        <f t="shared" si="43"/>
        <v>12.711</v>
      </c>
      <c r="S84" s="37">
        <f t="shared" si="44"/>
        <v>69.716643540983611</v>
      </c>
      <c r="T84" s="94" t="str">
        <f t="shared" si="45"/>
        <v>OK</v>
      </c>
      <c r="U84" s="95" t="str">
        <f t="shared" si="46"/>
        <v/>
      </c>
      <c r="V84" s="96">
        <f t="shared" si="47"/>
        <v>0</v>
      </c>
    </row>
    <row r="85" spans="1:22" x14ac:dyDescent="0.2">
      <c r="A85" s="35">
        <v>1</v>
      </c>
      <c r="B85" s="6">
        <v>677</v>
      </c>
      <c r="C85" s="6">
        <v>347</v>
      </c>
      <c r="D85" s="7" t="s">
        <v>469</v>
      </c>
      <c r="E85" s="7" t="s">
        <v>85</v>
      </c>
      <c r="F85" s="8">
        <v>1</v>
      </c>
      <c r="G85" s="8">
        <v>1</v>
      </c>
      <c r="H85" s="8">
        <v>1</v>
      </c>
      <c r="I85" s="8">
        <v>1</v>
      </c>
      <c r="J85" s="8">
        <v>1</v>
      </c>
      <c r="K85" s="9" t="s">
        <v>8</v>
      </c>
      <c r="L85" s="47" t="s">
        <v>130</v>
      </c>
      <c r="M85" s="17">
        <f t="shared" si="40"/>
        <v>0.23491899999999999</v>
      </c>
      <c r="N85" s="18">
        <f t="shared" si="41"/>
        <v>2.048</v>
      </c>
      <c r="O85" s="19">
        <f>IF(E85="HERRAJE",IFERROR(_xlfn.XLOOKUP(D85,'⚙️ Configuración Costos'!$A$11:$A$20,'⚙️ Configuración Costos'!$B$11:$B$20),""),IFERROR(_xlfn.XLOOKUP(E85,'⚙️ Configuración Costos'!$A$5:$A$6,'⚙️ Configuración Costos'!$B$5:$B$6),""))</f>
        <v>332.85245901639348</v>
      </c>
      <c r="P85" s="19">
        <f t="shared" si="42"/>
        <v>78.193366819672136</v>
      </c>
      <c r="Q85" s="19">
        <f>IF(E85="HERRAJE",0,IFERROR(_xlfn.XLOOKUP(E85,'⚙️ Configuración Costos'!$E$5:$E$6,'⚙️ Configuración Costos'!$F$5:$F$6),""))</f>
        <v>9.5</v>
      </c>
      <c r="R85" s="19">
        <f t="shared" si="43"/>
        <v>19.456</v>
      </c>
      <c r="S85" s="37">
        <f t="shared" si="44"/>
        <v>97.649366819672139</v>
      </c>
      <c r="T85" s="94" t="str">
        <f t="shared" si="45"/>
        <v>OK</v>
      </c>
      <c r="U85" s="95" t="str">
        <f t="shared" si="46"/>
        <v/>
      </c>
      <c r="V85" s="96">
        <f t="shared" si="47"/>
        <v>0</v>
      </c>
    </row>
    <row r="86" spans="1:22" x14ac:dyDescent="0.2">
      <c r="A86" s="35">
        <v>1</v>
      </c>
      <c r="B86" s="6">
        <v>677</v>
      </c>
      <c r="C86" s="6">
        <v>347</v>
      </c>
      <c r="D86" s="7" t="s">
        <v>470</v>
      </c>
      <c r="E86" s="7" t="s">
        <v>85</v>
      </c>
      <c r="F86" s="8">
        <v>1</v>
      </c>
      <c r="G86" s="8">
        <v>1</v>
      </c>
      <c r="H86" s="8">
        <v>1</v>
      </c>
      <c r="I86" s="8">
        <v>1</v>
      </c>
      <c r="J86" s="8">
        <v>1</v>
      </c>
      <c r="K86" s="9" t="s">
        <v>8</v>
      </c>
      <c r="L86" s="47" t="s">
        <v>132</v>
      </c>
      <c r="M86" s="17">
        <f t="shared" si="40"/>
        <v>0.23491899999999999</v>
      </c>
      <c r="N86" s="18">
        <f t="shared" si="41"/>
        <v>2.048</v>
      </c>
      <c r="O86" s="19">
        <f>IF(E86="HERRAJE",IFERROR(_xlfn.XLOOKUP(D86,'⚙️ Configuración Costos'!$A$11:$A$20,'⚙️ Configuración Costos'!$B$11:$B$20),""),IFERROR(_xlfn.XLOOKUP(E86,'⚙️ Configuración Costos'!$A$5:$A$6,'⚙️ Configuración Costos'!$B$5:$B$6),""))</f>
        <v>332.85245901639348</v>
      </c>
      <c r="P86" s="19">
        <f t="shared" si="42"/>
        <v>78.193366819672136</v>
      </c>
      <c r="Q86" s="19">
        <f>IF(E86="HERRAJE",0,IFERROR(_xlfn.XLOOKUP(E86,'⚙️ Configuración Costos'!$E$5:$E$6,'⚙️ Configuración Costos'!$F$5:$F$6),""))</f>
        <v>9.5</v>
      </c>
      <c r="R86" s="19">
        <f t="shared" si="43"/>
        <v>19.456</v>
      </c>
      <c r="S86" s="37">
        <f t="shared" si="44"/>
        <v>97.649366819672139</v>
      </c>
      <c r="T86" s="94" t="str">
        <f t="shared" si="45"/>
        <v>OK</v>
      </c>
      <c r="U86" s="95" t="str">
        <f t="shared" si="46"/>
        <v/>
      </c>
      <c r="V86" s="96">
        <f t="shared" si="47"/>
        <v>0</v>
      </c>
    </row>
    <row r="87" spans="1:22" x14ac:dyDescent="0.2">
      <c r="A87" s="35">
        <v>4</v>
      </c>
      <c r="B87" s="6">
        <v>0</v>
      </c>
      <c r="C87" s="6">
        <v>0</v>
      </c>
      <c r="D87" s="7" t="s">
        <v>90</v>
      </c>
      <c r="E87" s="7" t="s">
        <v>91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9" t="s">
        <v>8</v>
      </c>
      <c r="L87" s="47" t="s">
        <v>92</v>
      </c>
      <c r="M87" s="17">
        <f t="shared" si="40"/>
        <v>0</v>
      </c>
      <c r="N87" s="18">
        <f t="shared" si="41"/>
        <v>0</v>
      </c>
      <c r="O87" s="19">
        <f>IF(E87="HERRAJE",IFERROR(_xlfn.XLOOKUP(D87,'⚙️ Configuración Costos'!$A$11:$A$20,'⚙️ Configuración Costos'!$B$11:$B$20),""),IFERROR(_xlfn.XLOOKUP(E87,'⚙️ Configuración Costos'!$A$5:$A$6,'⚙️ Configuración Costos'!$B$5:$B$6),""))</f>
        <v>20</v>
      </c>
      <c r="P87" s="19">
        <f t="shared" si="42"/>
        <v>80</v>
      </c>
      <c r="Q87" s="19">
        <f>IF(E87="HERRAJE",0,IFERROR(_xlfn.XLOOKUP(E87,'⚙️ Configuración Costos'!$E$5:$E$6,'⚙️ Configuración Costos'!$F$5:$F$6),""))</f>
        <v>0</v>
      </c>
      <c r="R87" s="19">
        <f t="shared" si="43"/>
        <v>0</v>
      </c>
      <c r="S87" s="37">
        <f t="shared" si="44"/>
        <v>80</v>
      </c>
      <c r="T87" s="94" t="str">
        <f t="shared" si="45"/>
        <v>OK</v>
      </c>
      <c r="U87" s="95" t="str">
        <f t="shared" si="46"/>
        <v/>
      </c>
      <c r="V87" s="96">
        <f t="shared" si="47"/>
        <v>0</v>
      </c>
    </row>
    <row r="88" spans="1:22" x14ac:dyDescent="0.2">
      <c r="A88" s="35">
        <v>2</v>
      </c>
      <c r="B88" s="6">
        <v>0</v>
      </c>
      <c r="C88" s="6">
        <v>0</v>
      </c>
      <c r="D88" s="7" t="s">
        <v>93</v>
      </c>
      <c r="E88" s="7" t="s">
        <v>91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9" t="s">
        <v>8</v>
      </c>
      <c r="L88" s="47" t="s">
        <v>94</v>
      </c>
      <c r="M88" s="17">
        <f t="shared" si="40"/>
        <v>0</v>
      </c>
      <c r="N88" s="18">
        <f t="shared" si="41"/>
        <v>0</v>
      </c>
      <c r="O88" s="19">
        <f>IF(E88="HERRAJE",IFERROR(_xlfn.XLOOKUP(D88,'⚙️ Configuración Costos'!$A$11:$A$20,'⚙️ Configuración Costos'!$B$11:$B$20),""),IFERROR(_xlfn.XLOOKUP(E88,'⚙️ Configuración Costos'!$A$5:$A$6,'⚙️ Configuración Costos'!$B$5:$B$6),""))</f>
        <v>15</v>
      </c>
      <c r="P88" s="19">
        <f t="shared" si="42"/>
        <v>30</v>
      </c>
      <c r="Q88" s="19">
        <f>IF(E88="HERRAJE",0,IFERROR(_xlfn.XLOOKUP(E88,'⚙️ Configuración Costos'!$E$5:$E$6,'⚙️ Configuración Costos'!$F$5:$F$6),""))</f>
        <v>0</v>
      </c>
      <c r="R88" s="19">
        <f t="shared" si="43"/>
        <v>0</v>
      </c>
      <c r="S88" s="37">
        <f t="shared" si="44"/>
        <v>30</v>
      </c>
      <c r="T88" s="94" t="str">
        <f t="shared" si="45"/>
        <v>OK</v>
      </c>
      <c r="U88" s="95" t="str">
        <f t="shared" si="46"/>
        <v/>
      </c>
      <c r="V88" s="96">
        <f t="shared" si="47"/>
        <v>0</v>
      </c>
    </row>
    <row r="89" spans="1:22" x14ac:dyDescent="0.2">
      <c r="A89" s="35">
        <v>4</v>
      </c>
      <c r="B89" s="6">
        <v>0</v>
      </c>
      <c r="C89" s="6">
        <v>0</v>
      </c>
      <c r="D89" s="7" t="s">
        <v>95</v>
      </c>
      <c r="E89" s="7" t="s">
        <v>91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9" t="s">
        <v>8</v>
      </c>
      <c r="L89" s="47" t="s">
        <v>96</v>
      </c>
      <c r="M89" s="17">
        <f t="shared" si="40"/>
        <v>0</v>
      </c>
      <c r="N89" s="18">
        <f t="shared" si="41"/>
        <v>0</v>
      </c>
      <c r="O89" s="19">
        <f>IF(E89="HERRAJE",IFERROR(_xlfn.XLOOKUP(D89,'⚙️ Configuración Costos'!$A$11:$A$20,'⚙️ Configuración Costos'!$B$11:$B$20),""),IFERROR(_xlfn.XLOOKUP(E89,'⚙️ Configuración Costos'!$A$5:$A$6,'⚙️ Configuración Costos'!$B$5:$B$6),""))</f>
        <v>2</v>
      </c>
      <c r="P89" s="19">
        <f t="shared" si="42"/>
        <v>8</v>
      </c>
      <c r="Q89" s="19">
        <f>IF(E89="HERRAJE",0,IFERROR(_xlfn.XLOOKUP(E89,'⚙️ Configuración Costos'!$E$5:$E$6,'⚙️ Configuración Costos'!$F$5:$F$6),""))</f>
        <v>0</v>
      </c>
      <c r="R89" s="19">
        <f t="shared" si="43"/>
        <v>0</v>
      </c>
      <c r="S89" s="37">
        <f t="shared" si="44"/>
        <v>8</v>
      </c>
      <c r="T89" s="94" t="str">
        <f t="shared" si="45"/>
        <v>OK</v>
      </c>
      <c r="U89" s="95" t="str">
        <f t="shared" si="46"/>
        <v/>
      </c>
      <c r="V89" s="96">
        <f t="shared" si="47"/>
        <v>0</v>
      </c>
    </row>
    <row r="90" spans="1:22" x14ac:dyDescent="0.2">
      <c r="A90" s="36">
        <f>4*(IF(LEFT(D79,4)="Base",A79,0)+IF(LEFT(D79,4)="Piso",A79,0)+IF(LEFT(D79,5)="Techo",A79,0)+IF(LEFT(D80,4)="Base",A80,0)+IF(LEFT(D80,4)="Piso",A80,0)+IF(LEFT(D80,5)="Techo",A80,0)+IF(LEFT(D81,4)="Base",A81,0)+IF(LEFT(D81,4)="Piso",A81,0)+IF(LEFT(D81,5)="Techo",A81,0)+IF(LEFT(D82,4)="Base",A82,0)+IF(LEFT(D82,4)="Piso",A82,0)+IF(LEFT(D82,5)="Techo",A82,0)+IF(LEFT(D83,4)="Base",A83,0)+IF(LEFT(D83,4)="Piso",A83,0)+IF(LEFT(D83,5)="Techo",A83,0)+IF(LEFT(D84,4)="Base",A84,0)+IF(LEFT(D84,4)="Piso",A84,0)+IF(LEFT(D84,5)="Techo",A84,0)+IF(LEFT(D85,4)="Base",A85,0)+IF(LEFT(D85,4)="Piso",A85,0)+IF(LEFT(D85,5)="Techo",A85,0)+IF(LEFT(D86,4)="Base",A86,0)+IF(LEFT(D86,4)="Piso",A86,0)+IF(LEFT(D86,5)="Techo",A86,0))+10*(IF(LEFT(D79,8)="Respaldo",A79,0)+IF(LEFT(D80,8)="Respaldo",A80,0)+IF(LEFT(D81,8)="Respaldo",A81,0)+IF(LEFT(D82,8)="Respaldo",A82,0)+IF(LEFT(D83,8)="Respaldo",A83,0)+IF(LEFT(D84,8)="Respaldo",A84,0)+IF(LEFT(D85,8)="Respaldo",A85,0)+IF(LEFT(D86,8)="Respaldo",A86,0))+2*(IF(LEFT(D79,8)="Manguete",A79,0)+IF(LEFT(D80,8)="Manguete",A80,0)+IF(LEFT(D81,8)="Manguete",A81,0)+IF(LEFT(D82,8)="Manguete",A82,0)+IF(LEFT(D83,8)="Manguete",A83,0)+IF(LEFT(D84,8)="Manguete",A84,0)+IF(LEFT(D85,8)="Manguete",A85,0)+IF(LEFT(D86,8)="Manguete",A86,0))</f>
        <v>18</v>
      </c>
      <c r="B90" s="20">
        <v>0</v>
      </c>
      <c r="C90" s="20">
        <v>0</v>
      </c>
      <c r="D90" s="21" t="s">
        <v>400</v>
      </c>
      <c r="E90" s="21" t="s">
        <v>91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3" t="s">
        <v>8</v>
      </c>
      <c r="L90" s="48" t="s">
        <v>360</v>
      </c>
      <c r="M90" s="17">
        <f t="shared" si="40"/>
        <v>0</v>
      </c>
      <c r="N90" s="18">
        <f t="shared" si="41"/>
        <v>0</v>
      </c>
      <c r="O90" s="19">
        <f>IF(E90="HERRAJE",IFERROR(_xlfn.XLOOKUP(D90,'⚙️ Configuración Costos'!$A$11:$A$20,'⚙️ Configuración Costos'!$B$11:$B$20),""),IFERROR(_xlfn.XLOOKUP(E90,'⚙️ Configuración Costos'!$A$5:$A$6,'⚙️ Configuración Costos'!$B$5:$B$6),""))</f>
        <v>3</v>
      </c>
      <c r="P90" s="19">
        <f t="shared" si="42"/>
        <v>54</v>
      </c>
      <c r="Q90" s="19">
        <f>IF(E90="HERRAJE",0,IFERROR(_xlfn.XLOOKUP(E90,'⚙️ Configuración Costos'!$E$5:$E$6,'⚙️ Configuración Costos'!$F$5:$F$6),""))</f>
        <v>0</v>
      </c>
      <c r="R90" s="19">
        <f t="shared" si="43"/>
        <v>0</v>
      </c>
      <c r="S90" s="37">
        <f t="shared" si="44"/>
        <v>54</v>
      </c>
      <c r="T90" s="94" t="str">
        <f t="shared" si="45"/>
        <v>OK</v>
      </c>
      <c r="U90" s="95" t="str">
        <f t="shared" si="46"/>
        <v/>
      </c>
      <c r="V90" s="96">
        <f t="shared" si="47"/>
        <v>0</v>
      </c>
    </row>
    <row r="91" spans="1:22" x14ac:dyDescent="0.2">
      <c r="A91" s="36">
        <f>6*(IF(LEFT(D79,4)="Base",A79,0)+IF(LEFT(D79,4)="Piso",A79,0)+IF(LEFT(D79,5)="Techo",A79,0)+IF(LEFT(D80,4)="Base",A80,0)+IF(LEFT(D80,4)="Piso",A80,0)+IF(LEFT(D80,5)="Techo",A80,0)+IF(LEFT(D81,4)="Base",A81,0)+IF(LEFT(D81,4)="Piso",A81,0)+IF(LEFT(D81,5)="Techo",A81,0)+IF(LEFT(D82,4)="Base",A82,0)+IF(LEFT(D82,4)="Piso",A82,0)+IF(LEFT(D82,5)="Techo",A82,0)+IF(LEFT(D83,4)="Base",A83,0)+IF(LEFT(D83,4)="Piso",A83,0)+IF(LEFT(D83,5)="Techo",A83,0)+IF(LEFT(D84,4)="Base",A84,0)+IF(LEFT(D84,4)="Piso",A84,0)+IF(LEFT(D84,5)="Techo",A84,0)+IF(LEFT(D85,4)="Base",A85,0)+IF(LEFT(D85,4)="Piso",A85,0)+IF(LEFT(D85,5)="Techo",A85,0)+IF(LEFT(D86,4)="Base",A86,0)+IF(LEFT(D86,4)="Piso",A86,0)+IF(LEFT(D86,5)="Techo",A86,0))+10*(IF(LEFT(D79,8)="Respaldo",A79,0)+IF(LEFT(D80,8)="Respaldo",A80,0)+IF(LEFT(D81,8)="Respaldo",A81,0)+IF(LEFT(D82,8)="Respaldo",A82,0)+IF(LEFT(D83,8)="Respaldo",A83,0)+IF(LEFT(D84,8)="Respaldo",A84,0)+IF(LEFT(D85,8)="Respaldo",A85,0)+IF(LEFT(D86,8)="Respaldo",A86,0))+4*(IF(LEFT(D79,8)="Manguete",A79,0)+IF(LEFT(D80,8)="Manguete",A80,0)+IF(LEFT(D81,8)="Manguete",A81,0)+IF(LEFT(D82,8)="Manguete",A82,0)+IF(LEFT(D83,8)="Manguete",A83,0)+IF(LEFT(D84,8)="Manguete",A84,0)+IF(LEFT(D85,8)="Manguete",A85,0)+IF(LEFT(D86,8)="Manguete",A86,0))</f>
        <v>22</v>
      </c>
      <c r="B91" s="20">
        <v>0</v>
      </c>
      <c r="C91" s="20">
        <v>0</v>
      </c>
      <c r="D91" s="21" t="s">
        <v>468</v>
      </c>
      <c r="E91" s="21" t="s">
        <v>91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3" t="s">
        <v>8</v>
      </c>
      <c r="L91" s="48" t="s">
        <v>361</v>
      </c>
      <c r="M91" s="17">
        <f t="shared" si="40"/>
        <v>0</v>
      </c>
      <c r="N91" s="18">
        <f t="shared" si="41"/>
        <v>0</v>
      </c>
      <c r="O91" s="19">
        <f>IF(E91="HERRAJE",IFERROR(_xlfn.XLOOKUP(D91,'⚙️ Configuración Costos'!$A$11:$A$20,'⚙️ Configuración Costos'!$B$11:$B$20),""),IFERROR(_xlfn.XLOOKUP(E91,'⚙️ Configuración Costos'!$A$5:$A$6,'⚙️ Configuración Costos'!$B$5:$B$6),""))</f>
        <v>1</v>
      </c>
      <c r="P91" s="19">
        <f t="shared" si="42"/>
        <v>22</v>
      </c>
      <c r="Q91" s="19">
        <f>IF(E91="HERRAJE",0,IFERROR(_xlfn.XLOOKUP(E91,'⚙️ Configuración Costos'!$E$5:$E$6,'⚙️ Configuración Costos'!$F$5:$F$6),""))</f>
        <v>0</v>
      </c>
      <c r="R91" s="19">
        <f t="shared" si="43"/>
        <v>0</v>
      </c>
      <c r="S91" s="37">
        <f t="shared" si="44"/>
        <v>22</v>
      </c>
      <c r="T91" s="94" t="str">
        <f t="shared" si="45"/>
        <v>OK</v>
      </c>
      <c r="U91" s="95" t="str">
        <f t="shared" si="46"/>
        <v/>
      </c>
      <c r="V91" s="96">
        <f t="shared" si="47"/>
        <v>0</v>
      </c>
    </row>
    <row r="92" spans="1:22" x14ac:dyDescent="0.2">
      <c r="A92" s="27" t="s">
        <v>99</v>
      </c>
      <c r="B92" s="27"/>
      <c r="C92" s="27"/>
      <c r="D92" s="28"/>
      <c r="E92" s="28"/>
      <c r="F92" s="29"/>
      <c r="G92" s="29"/>
      <c r="H92" s="29"/>
      <c r="I92" s="29"/>
      <c r="J92" s="29"/>
      <c r="K92" s="30"/>
      <c r="L92" s="49"/>
      <c r="M92" s="31">
        <f>SUM(M79:M91)</f>
        <v>1.9386430000000003</v>
      </c>
      <c r="N92" s="32">
        <f>SUM(N79:N91)</f>
        <v>12.11</v>
      </c>
      <c r="O92" s="33"/>
      <c r="P92" s="33">
        <f>SUM(P79:P91)</f>
        <v>839.28208970491812</v>
      </c>
      <c r="Q92" s="33"/>
      <c r="R92" s="33">
        <f>SUM(R79:R91)</f>
        <v>115.045</v>
      </c>
      <c r="S92" s="33">
        <f>SUM(S79:S91)</f>
        <v>954.32708970491808</v>
      </c>
      <c r="T92" s="97"/>
      <c r="U92" s="98"/>
      <c r="V92" s="99"/>
    </row>
    <row r="93" spans="1:22" x14ac:dyDescent="0.2">
      <c r="A93" s="186" t="s">
        <v>133</v>
      </c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8"/>
      <c r="T93" s="97"/>
      <c r="U93" s="98"/>
      <c r="V93" s="99"/>
    </row>
    <row r="94" spans="1:22" x14ac:dyDescent="0.2">
      <c r="A94" s="35">
        <v>1</v>
      </c>
      <c r="B94" s="6">
        <v>680</v>
      </c>
      <c r="C94" s="6">
        <v>320</v>
      </c>
      <c r="D94" s="7" t="s">
        <v>63</v>
      </c>
      <c r="E94" s="7" t="s">
        <v>85</v>
      </c>
      <c r="F94" s="8">
        <v>1</v>
      </c>
      <c r="G94" s="8">
        <v>1</v>
      </c>
      <c r="H94" s="8">
        <v>1</v>
      </c>
      <c r="I94" s="8">
        <v>1</v>
      </c>
      <c r="J94" s="8">
        <v>1</v>
      </c>
      <c r="K94" s="9" t="s">
        <v>9</v>
      </c>
      <c r="L94" s="47" t="s">
        <v>65</v>
      </c>
      <c r="M94" s="17">
        <f t="shared" ref="M94:M106" si="48">IF(AND(ISNUMBER(B94),ISNUMBER(C94),B94&gt;0,C94&gt;0),A94*(B94*C94/1000000),0)</f>
        <v>0.21759999999999999</v>
      </c>
      <c r="N94" s="18">
        <f t="shared" ref="N94:N106" si="49">IF(AND(ISNUMBER(B94),B94&gt;0),A94*(((G94+H94)*B94+(I94+J94)*C94)/1000),0)</f>
        <v>2</v>
      </c>
      <c r="O94" s="19">
        <f>IF(E94="HERRAJE",IFERROR(_xlfn.XLOOKUP(D94,'⚙️ Configuración Costos'!$A$11:$A$20,'⚙️ Configuración Costos'!$B$11:$B$20),""),IFERROR(_xlfn.XLOOKUP(E94,'⚙️ Configuración Costos'!$A$5:$A$6,'⚙️ Configuración Costos'!$B$5:$B$6),""))</f>
        <v>332.85245901639348</v>
      </c>
      <c r="P94" s="19">
        <f t="shared" ref="P94:P106" si="50">IF(E94="HERRAJE",A94*O94,M94*O94)</f>
        <v>72.42869508196722</v>
      </c>
      <c r="Q94" s="19">
        <f>IF(E94="HERRAJE",0,IFERROR(_xlfn.XLOOKUP(E94,'⚙️ Configuración Costos'!$E$5:$E$6,'⚙️ Configuración Costos'!$F$5:$F$6),""))</f>
        <v>9.5</v>
      </c>
      <c r="R94" s="19">
        <f t="shared" ref="R94:R106" si="51">N94*Q94</f>
        <v>19</v>
      </c>
      <c r="S94" s="37">
        <f t="shared" ref="S94:S106" si="52">P94+R94</f>
        <v>91.42869508196722</v>
      </c>
      <c r="T94" s="94" t="str">
        <f t="shared" ref="T94:T106" si="53">IF(K94="","SIN ID MÓDULO",IF(E94="HERRAJE",IF(OR(O94="",O94&lt;=0),"SIN PRECIO HERRAJE","OK"),IF(OR(O94="",O94&lt;=0),"SIN PRECIO MATERIAL",IF(AND(N94&gt;0,OR(Q94="",Q94&lt;=0)),"SIN PRECIO CINTILLA","OK"))))</f>
        <v>OK</v>
      </c>
      <c r="U94" s="95" t="str">
        <f t="shared" ref="U94:U106" si="54">IF(T94="OK","",IF(T94="SIN PRECIO HERRAJE","Capturar precio: "&amp;D94,IF(T94="SIN PRECIO MATERIAL","Configurar material: "&amp;E94,IF(T94="SIN PRECIO CINTILLA","Configurar cintilla: "&amp;E94,IF(T94="SIN ID MÓDULO","Revisar ID del módulo","")))))</f>
        <v/>
      </c>
      <c r="V94" s="96">
        <f t="shared" ref="V94:V106" si="55">IF(T94="OK",0,IF(T94="",0,1))</f>
        <v>0</v>
      </c>
    </row>
    <row r="95" spans="1:22" x14ac:dyDescent="0.2">
      <c r="A95" s="35">
        <v>1</v>
      </c>
      <c r="B95" s="6">
        <v>680</v>
      </c>
      <c r="C95" s="6">
        <v>320</v>
      </c>
      <c r="D95" s="7" t="s">
        <v>66</v>
      </c>
      <c r="E95" s="7" t="s">
        <v>85</v>
      </c>
      <c r="F95" s="8">
        <v>1</v>
      </c>
      <c r="G95" s="8">
        <v>1</v>
      </c>
      <c r="H95" s="8">
        <v>1</v>
      </c>
      <c r="I95" s="8">
        <v>1</v>
      </c>
      <c r="J95" s="8">
        <v>1</v>
      </c>
      <c r="K95" s="9" t="s">
        <v>9</v>
      </c>
      <c r="L95" s="47" t="s">
        <v>67</v>
      </c>
      <c r="M95" s="17">
        <f t="shared" si="48"/>
        <v>0.21759999999999999</v>
      </c>
      <c r="N95" s="18">
        <f t="shared" si="49"/>
        <v>2</v>
      </c>
      <c r="O95" s="19">
        <f>IF(E95="HERRAJE",IFERROR(_xlfn.XLOOKUP(D95,'⚙️ Configuración Costos'!$A$11:$A$20,'⚙️ Configuración Costos'!$B$11:$B$20),""),IFERROR(_xlfn.XLOOKUP(E95,'⚙️ Configuración Costos'!$A$5:$A$6,'⚙️ Configuración Costos'!$B$5:$B$6),""))</f>
        <v>332.85245901639348</v>
      </c>
      <c r="P95" s="19">
        <f t="shared" si="50"/>
        <v>72.42869508196722</v>
      </c>
      <c r="Q95" s="19">
        <f>IF(E95="HERRAJE",0,IFERROR(_xlfn.XLOOKUP(E95,'⚙️ Configuración Costos'!$E$5:$E$6,'⚙️ Configuración Costos'!$F$5:$F$6),""))</f>
        <v>9.5</v>
      </c>
      <c r="R95" s="19">
        <f t="shared" si="51"/>
        <v>19</v>
      </c>
      <c r="S95" s="37">
        <f t="shared" si="52"/>
        <v>91.42869508196722</v>
      </c>
      <c r="T95" s="94" t="str">
        <f t="shared" si="53"/>
        <v>OK</v>
      </c>
      <c r="U95" s="95" t="str">
        <f t="shared" si="54"/>
        <v/>
      </c>
      <c r="V95" s="96">
        <f t="shared" si="55"/>
        <v>0</v>
      </c>
    </row>
    <row r="96" spans="1:22" x14ac:dyDescent="0.2">
      <c r="A96" s="34">
        <v>1</v>
      </c>
      <c r="B96" s="13">
        <v>649</v>
      </c>
      <c r="C96" s="6">
        <v>769</v>
      </c>
      <c r="D96" s="14" t="s">
        <v>68</v>
      </c>
      <c r="E96" s="14" t="s">
        <v>85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6" t="s">
        <v>9</v>
      </c>
      <c r="L96" s="46" t="s">
        <v>125</v>
      </c>
      <c r="M96" s="17">
        <f t="shared" si="48"/>
        <v>0.499081</v>
      </c>
      <c r="N96" s="18">
        <f t="shared" si="49"/>
        <v>0</v>
      </c>
      <c r="O96" s="19">
        <f>IF(E96="HERRAJE",IFERROR(_xlfn.XLOOKUP(D96,'⚙️ Configuración Costos'!$A$11:$A$20,'⚙️ Configuración Costos'!$B$11:$B$20),""),IFERROR(_xlfn.XLOOKUP(E96,'⚙️ Configuración Costos'!$A$5:$A$6,'⚙️ Configuración Costos'!$B$5:$B$6),""))</f>
        <v>332.85245901639348</v>
      </c>
      <c r="P96" s="19">
        <f t="shared" si="50"/>
        <v>166.12033809836066</v>
      </c>
      <c r="Q96" s="19">
        <f>IF(E96="HERRAJE",0,IFERROR(_xlfn.XLOOKUP(E96,'⚙️ Configuración Costos'!$E$5:$E$6,'⚙️ Configuración Costos'!$F$5:$F$6),""))</f>
        <v>9.5</v>
      </c>
      <c r="R96" s="19">
        <f t="shared" si="51"/>
        <v>0</v>
      </c>
      <c r="S96" s="37">
        <f t="shared" si="52"/>
        <v>166.12033809836066</v>
      </c>
      <c r="T96" s="94" t="str">
        <f t="shared" si="53"/>
        <v>OK</v>
      </c>
      <c r="U96" s="95" t="str">
        <f t="shared" si="54"/>
        <v/>
      </c>
      <c r="V96" s="96">
        <f t="shared" si="55"/>
        <v>0</v>
      </c>
    </row>
    <row r="97" spans="1:22" x14ac:dyDescent="0.2">
      <c r="A97" s="35">
        <v>1</v>
      </c>
      <c r="B97" s="6">
        <v>769</v>
      </c>
      <c r="C97" s="6">
        <v>320</v>
      </c>
      <c r="D97" s="7" t="s">
        <v>70</v>
      </c>
      <c r="E97" s="7" t="s">
        <v>85</v>
      </c>
      <c r="F97" s="8">
        <v>1</v>
      </c>
      <c r="G97" s="8">
        <v>1</v>
      </c>
      <c r="H97" s="8">
        <v>1</v>
      </c>
      <c r="I97" s="8">
        <v>0</v>
      </c>
      <c r="J97" s="8">
        <v>0</v>
      </c>
      <c r="K97" s="9" t="s">
        <v>9</v>
      </c>
      <c r="L97" s="47" t="s">
        <v>126</v>
      </c>
      <c r="M97" s="17">
        <f t="shared" si="48"/>
        <v>0.24607999999999999</v>
      </c>
      <c r="N97" s="18">
        <f t="shared" si="49"/>
        <v>1.538</v>
      </c>
      <c r="O97" s="19">
        <f>IF(E97="HERRAJE",IFERROR(_xlfn.XLOOKUP(D97,'⚙️ Configuración Costos'!$A$11:$A$20,'⚙️ Configuración Costos'!$B$11:$B$20),""),IFERROR(_xlfn.XLOOKUP(E97,'⚙️ Configuración Costos'!$A$5:$A$6,'⚙️ Configuración Costos'!$B$5:$B$6),""))</f>
        <v>332.85245901639348</v>
      </c>
      <c r="P97" s="19">
        <f t="shared" si="50"/>
        <v>81.9083331147541</v>
      </c>
      <c r="Q97" s="19">
        <f>IF(E97="HERRAJE",0,IFERROR(_xlfn.XLOOKUP(E97,'⚙️ Configuración Costos'!$E$5:$E$6,'⚙️ Configuración Costos'!$F$5:$F$6),""))</f>
        <v>9.5</v>
      </c>
      <c r="R97" s="19">
        <f t="shared" si="51"/>
        <v>14.611000000000001</v>
      </c>
      <c r="S97" s="37">
        <f t="shared" si="52"/>
        <v>96.519333114754104</v>
      </c>
      <c r="T97" s="94" t="str">
        <f t="shared" si="53"/>
        <v>OK</v>
      </c>
      <c r="U97" s="95" t="str">
        <f t="shared" si="54"/>
        <v/>
      </c>
      <c r="V97" s="96">
        <f t="shared" si="55"/>
        <v>0</v>
      </c>
    </row>
    <row r="98" spans="1:22" x14ac:dyDescent="0.2">
      <c r="A98" s="35">
        <v>1</v>
      </c>
      <c r="B98" s="6">
        <v>769</v>
      </c>
      <c r="C98" s="6">
        <v>320</v>
      </c>
      <c r="D98" s="7" t="s">
        <v>72</v>
      </c>
      <c r="E98" s="7" t="s">
        <v>85</v>
      </c>
      <c r="F98" s="8">
        <v>1</v>
      </c>
      <c r="G98" s="8">
        <v>1</v>
      </c>
      <c r="H98" s="8">
        <v>1</v>
      </c>
      <c r="I98" s="8">
        <v>0</v>
      </c>
      <c r="J98" s="8">
        <v>0</v>
      </c>
      <c r="K98" s="9" t="s">
        <v>9</v>
      </c>
      <c r="L98" s="47" t="s">
        <v>127</v>
      </c>
      <c r="M98" s="17">
        <f t="shared" si="48"/>
        <v>0.24607999999999999</v>
      </c>
      <c r="N98" s="18">
        <f t="shared" si="49"/>
        <v>1.538</v>
      </c>
      <c r="O98" s="19">
        <f>IF(E98="HERRAJE",IFERROR(_xlfn.XLOOKUP(D98,'⚙️ Configuración Costos'!$A$11:$A$20,'⚙️ Configuración Costos'!$B$11:$B$20),""),IFERROR(_xlfn.XLOOKUP(E98,'⚙️ Configuración Costos'!$A$5:$A$6,'⚙️ Configuración Costos'!$B$5:$B$6),""))</f>
        <v>332.85245901639348</v>
      </c>
      <c r="P98" s="19">
        <f t="shared" si="50"/>
        <v>81.9083331147541</v>
      </c>
      <c r="Q98" s="19">
        <f>IF(E98="HERRAJE",0,IFERROR(_xlfn.XLOOKUP(E98,'⚙️ Configuración Costos'!$E$5:$E$6,'⚙️ Configuración Costos'!$F$5:$F$6),""))</f>
        <v>9.5</v>
      </c>
      <c r="R98" s="19">
        <f t="shared" si="51"/>
        <v>14.611000000000001</v>
      </c>
      <c r="S98" s="37">
        <f t="shared" si="52"/>
        <v>96.519333114754104</v>
      </c>
      <c r="T98" s="94" t="str">
        <f t="shared" si="53"/>
        <v>OK</v>
      </c>
      <c r="U98" s="95" t="str">
        <f t="shared" si="54"/>
        <v/>
      </c>
      <c r="V98" s="96">
        <f t="shared" si="55"/>
        <v>0</v>
      </c>
    </row>
    <row r="99" spans="1:22" x14ac:dyDescent="0.2">
      <c r="A99" s="35">
        <v>1</v>
      </c>
      <c r="B99" s="6">
        <v>769</v>
      </c>
      <c r="C99" s="6">
        <v>256</v>
      </c>
      <c r="D99" s="7" t="s">
        <v>466</v>
      </c>
      <c r="E99" s="7" t="s">
        <v>85</v>
      </c>
      <c r="F99" s="8">
        <v>1</v>
      </c>
      <c r="G99" s="8">
        <v>1</v>
      </c>
      <c r="H99" s="8">
        <v>1</v>
      </c>
      <c r="I99" s="8">
        <v>0</v>
      </c>
      <c r="J99" s="8">
        <v>0</v>
      </c>
      <c r="K99" s="9" t="s">
        <v>9</v>
      </c>
      <c r="L99" s="47" t="s">
        <v>128</v>
      </c>
      <c r="M99" s="17">
        <f t="shared" si="48"/>
        <v>0.19686400000000001</v>
      </c>
      <c r="N99" s="18">
        <f t="shared" si="49"/>
        <v>1.538</v>
      </c>
      <c r="O99" s="19">
        <f>IF(E99="HERRAJE",IFERROR(_xlfn.XLOOKUP(D99,'⚙️ Configuración Costos'!$A$11:$A$20,'⚙️ Configuración Costos'!$B$11:$B$20),""),IFERROR(_xlfn.XLOOKUP(E99,'⚙️ Configuración Costos'!$A$5:$A$6,'⚙️ Configuración Costos'!$B$5:$B$6),""))</f>
        <v>332.85245901639348</v>
      </c>
      <c r="P99" s="19">
        <f t="shared" si="50"/>
        <v>65.526666491803283</v>
      </c>
      <c r="Q99" s="19">
        <f>IF(E99="HERRAJE",0,IFERROR(_xlfn.XLOOKUP(E99,'⚙️ Configuración Costos'!$E$5:$E$6,'⚙️ Configuración Costos'!$F$5:$F$6),""))</f>
        <v>9.5</v>
      </c>
      <c r="R99" s="19">
        <f t="shared" si="51"/>
        <v>14.611000000000001</v>
      </c>
      <c r="S99" s="37">
        <f t="shared" si="52"/>
        <v>80.137666491803287</v>
      </c>
      <c r="T99" s="94" t="str">
        <f t="shared" si="53"/>
        <v>OK</v>
      </c>
      <c r="U99" s="95" t="str">
        <f t="shared" si="54"/>
        <v/>
      </c>
      <c r="V99" s="96">
        <f t="shared" si="55"/>
        <v>0</v>
      </c>
    </row>
    <row r="100" spans="1:22" x14ac:dyDescent="0.2">
      <c r="A100" s="35">
        <v>1</v>
      </c>
      <c r="B100" s="6">
        <v>677</v>
      </c>
      <c r="C100" s="6">
        <v>397</v>
      </c>
      <c r="D100" s="7" t="s">
        <v>469</v>
      </c>
      <c r="E100" s="7" t="s">
        <v>85</v>
      </c>
      <c r="F100" s="8">
        <v>1</v>
      </c>
      <c r="G100" s="8">
        <v>1</v>
      </c>
      <c r="H100" s="8">
        <v>1</v>
      </c>
      <c r="I100" s="8">
        <v>1</v>
      </c>
      <c r="J100" s="8">
        <v>1</v>
      </c>
      <c r="K100" s="9" t="s">
        <v>9</v>
      </c>
      <c r="L100" s="47" t="s">
        <v>130</v>
      </c>
      <c r="M100" s="17">
        <f t="shared" si="48"/>
        <v>0.26876899999999998</v>
      </c>
      <c r="N100" s="18">
        <f t="shared" si="49"/>
        <v>2.1480000000000001</v>
      </c>
      <c r="O100" s="19">
        <f>IF(E100="HERRAJE",IFERROR(_xlfn.XLOOKUP(D100,'⚙️ Configuración Costos'!$A$11:$A$20,'⚙️ Configuración Costos'!$B$11:$B$20),""),IFERROR(_xlfn.XLOOKUP(E100,'⚙️ Configuración Costos'!$A$5:$A$6,'⚙️ Configuración Costos'!$B$5:$B$6),""))</f>
        <v>332.85245901639348</v>
      </c>
      <c r="P100" s="19">
        <f t="shared" si="50"/>
        <v>89.460422557377058</v>
      </c>
      <c r="Q100" s="19">
        <f>IF(E100="HERRAJE",0,IFERROR(_xlfn.XLOOKUP(E100,'⚙️ Configuración Costos'!$E$5:$E$6,'⚙️ Configuración Costos'!$F$5:$F$6),""))</f>
        <v>9.5</v>
      </c>
      <c r="R100" s="19">
        <f t="shared" si="51"/>
        <v>20.406000000000002</v>
      </c>
      <c r="S100" s="37">
        <f t="shared" si="52"/>
        <v>109.86642255737706</v>
      </c>
      <c r="T100" s="94" t="str">
        <f t="shared" si="53"/>
        <v>OK</v>
      </c>
      <c r="U100" s="95" t="str">
        <f t="shared" si="54"/>
        <v/>
      </c>
      <c r="V100" s="96">
        <f t="shared" si="55"/>
        <v>0</v>
      </c>
    </row>
    <row r="101" spans="1:22" x14ac:dyDescent="0.2">
      <c r="A101" s="35">
        <v>1</v>
      </c>
      <c r="B101" s="6">
        <v>677</v>
      </c>
      <c r="C101" s="6">
        <v>397</v>
      </c>
      <c r="D101" s="7" t="s">
        <v>470</v>
      </c>
      <c r="E101" s="7" t="s">
        <v>85</v>
      </c>
      <c r="F101" s="8">
        <v>1</v>
      </c>
      <c r="G101" s="8">
        <v>1</v>
      </c>
      <c r="H101" s="8">
        <v>1</v>
      </c>
      <c r="I101" s="8">
        <v>1</v>
      </c>
      <c r="J101" s="8">
        <v>1</v>
      </c>
      <c r="K101" s="9" t="s">
        <v>9</v>
      </c>
      <c r="L101" s="47" t="s">
        <v>132</v>
      </c>
      <c r="M101" s="17">
        <f t="shared" si="48"/>
        <v>0.26876899999999998</v>
      </c>
      <c r="N101" s="18">
        <f t="shared" si="49"/>
        <v>2.1480000000000001</v>
      </c>
      <c r="O101" s="19">
        <f>IF(E101="HERRAJE",IFERROR(_xlfn.XLOOKUP(D101,'⚙️ Configuración Costos'!$A$11:$A$20,'⚙️ Configuración Costos'!$B$11:$B$20),""),IFERROR(_xlfn.XLOOKUP(E101,'⚙️ Configuración Costos'!$A$5:$A$6,'⚙️ Configuración Costos'!$B$5:$B$6),""))</f>
        <v>332.85245901639348</v>
      </c>
      <c r="P101" s="19">
        <f t="shared" si="50"/>
        <v>89.460422557377058</v>
      </c>
      <c r="Q101" s="19">
        <f>IF(E101="HERRAJE",0,IFERROR(_xlfn.XLOOKUP(E101,'⚙️ Configuración Costos'!$E$5:$E$6,'⚙️ Configuración Costos'!$F$5:$F$6),""))</f>
        <v>9.5</v>
      </c>
      <c r="R101" s="19">
        <f t="shared" si="51"/>
        <v>20.406000000000002</v>
      </c>
      <c r="S101" s="37">
        <f t="shared" si="52"/>
        <v>109.86642255737706</v>
      </c>
      <c r="T101" s="94" t="str">
        <f t="shared" si="53"/>
        <v>OK</v>
      </c>
      <c r="U101" s="95" t="str">
        <f t="shared" si="54"/>
        <v/>
      </c>
      <c r="V101" s="96">
        <f t="shared" si="55"/>
        <v>0</v>
      </c>
    </row>
    <row r="102" spans="1:22" x14ac:dyDescent="0.2">
      <c r="A102" s="35">
        <v>4</v>
      </c>
      <c r="B102" s="6">
        <v>0</v>
      </c>
      <c r="C102" s="6">
        <v>0</v>
      </c>
      <c r="D102" s="7" t="s">
        <v>90</v>
      </c>
      <c r="E102" s="7" t="s">
        <v>91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9" t="s">
        <v>9</v>
      </c>
      <c r="L102" s="47" t="s">
        <v>92</v>
      </c>
      <c r="M102" s="17">
        <f t="shared" si="48"/>
        <v>0</v>
      </c>
      <c r="N102" s="18">
        <f t="shared" si="49"/>
        <v>0</v>
      </c>
      <c r="O102" s="19">
        <f>IF(E102="HERRAJE",IFERROR(_xlfn.XLOOKUP(D102,'⚙️ Configuración Costos'!$A$11:$A$20,'⚙️ Configuración Costos'!$B$11:$B$20),""),IFERROR(_xlfn.XLOOKUP(E102,'⚙️ Configuración Costos'!$A$5:$A$6,'⚙️ Configuración Costos'!$B$5:$B$6),""))</f>
        <v>20</v>
      </c>
      <c r="P102" s="19">
        <f t="shared" si="50"/>
        <v>80</v>
      </c>
      <c r="Q102" s="19">
        <f>IF(E102="HERRAJE",0,IFERROR(_xlfn.XLOOKUP(E102,'⚙️ Configuración Costos'!$E$5:$E$6,'⚙️ Configuración Costos'!$F$5:$F$6),""))</f>
        <v>0</v>
      </c>
      <c r="R102" s="19">
        <f t="shared" si="51"/>
        <v>0</v>
      </c>
      <c r="S102" s="37">
        <f t="shared" si="52"/>
        <v>80</v>
      </c>
      <c r="T102" s="94" t="str">
        <f t="shared" si="53"/>
        <v>OK</v>
      </c>
      <c r="U102" s="95" t="str">
        <f t="shared" si="54"/>
        <v/>
      </c>
      <c r="V102" s="96">
        <f t="shared" si="55"/>
        <v>0</v>
      </c>
    </row>
    <row r="103" spans="1:22" x14ac:dyDescent="0.2">
      <c r="A103" s="35">
        <v>2</v>
      </c>
      <c r="B103" s="6">
        <v>0</v>
      </c>
      <c r="C103" s="6">
        <v>0</v>
      </c>
      <c r="D103" s="7" t="s">
        <v>93</v>
      </c>
      <c r="E103" s="7" t="s">
        <v>91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9" t="s">
        <v>9</v>
      </c>
      <c r="L103" s="47" t="s">
        <v>94</v>
      </c>
      <c r="M103" s="17">
        <f t="shared" si="48"/>
        <v>0</v>
      </c>
      <c r="N103" s="18">
        <f t="shared" si="49"/>
        <v>0</v>
      </c>
      <c r="O103" s="19">
        <f>IF(E103="HERRAJE",IFERROR(_xlfn.XLOOKUP(D103,'⚙️ Configuración Costos'!$A$11:$A$20,'⚙️ Configuración Costos'!$B$11:$B$20),""),IFERROR(_xlfn.XLOOKUP(E103,'⚙️ Configuración Costos'!$A$5:$A$6,'⚙️ Configuración Costos'!$B$5:$B$6),""))</f>
        <v>15</v>
      </c>
      <c r="P103" s="19">
        <f t="shared" si="50"/>
        <v>30</v>
      </c>
      <c r="Q103" s="19">
        <f>IF(E103="HERRAJE",0,IFERROR(_xlfn.XLOOKUP(E103,'⚙️ Configuración Costos'!$E$5:$E$6,'⚙️ Configuración Costos'!$F$5:$F$6),""))</f>
        <v>0</v>
      </c>
      <c r="R103" s="19">
        <f t="shared" si="51"/>
        <v>0</v>
      </c>
      <c r="S103" s="37">
        <f t="shared" si="52"/>
        <v>30</v>
      </c>
      <c r="T103" s="94" t="str">
        <f t="shared" si="53"/>
        <v>OK</v>
      </c>
      <c r="U103" s="95" t="str">
        <f t="shared" si="54"/>
        <v/>
      </c>
      <c r="V103" s="96">
        <f t="shared" si="55"/>
        <v>0</v>
      </c>
    </row>
    <row r="104" spans="1:22" x14ac:dyDescent="0.2">
      <c r="A104" s="35">
        <v>4</v>
      </c>
      <c r="B104" s="6">
        <v>0</v>
      </c>
      <c r="C104" s="6">
        <v>0</v>
      </c>
      <c r="D104" s="7" t="s">
        <v>95</v>
      </c>
      <c r="E104" s="7" t="s">
        <v>91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9" t="s">
        <v>9</v>
      </c>
      <c r="L104" s="47" t="s">
        <v>96</v>
      </c>
      <c r="M104" s="17">
        <f t="shared" si="48"/>
        <v>0</v>
      </c>
      <c r="N104" s="18">
        <f t="shared" si="49"/>
        <v>0</v>
      </c>
      <c r="O104" s="19">
        <f>IF(E104="HERRAJE",IFERROR(_xlfn.XLOOKUP(D104,'⚙️ Configuración Costos'!$A$11:$A$20,'⚙️ Configuración Costos'!$B$11:$B$20),""),IFERROR(_xlfn.XLOOKUP(E104,'⚙️ Configuración Costos'!$A$5:$A$6,'⚙️ Configuración Costos'!$B$5:$B$6),""))</f>
        <v>2</v>
      </c>
      <c r="P104" s="19">
        <f t="shared" si="50"/>
        <v>8</v>
      </c>
      <c r="Q104" s="19">
        <f>IF(E104="HERRAJE",0,IFERROR(_xlfn.XLOOKUP(E104,'⚙️ Configuración Costos'!$E$5:$E$6,'⚙️ Configuración Costos'!$F$5:$F$6),""))</f>
        <v>0</v>
      </c>
      <c r="R104" s="19">
        <f t="shared" si="51"/>
        <v>0</v>
      </c>
      <c r="S104" s="37">
        <f t="shared" si="52"/>
        <v>8</v>
      </c>
      <c r="T104" s="94" t="str">
        <f t="shared" si="53"/>
        <v>OK</v>
      </c>
      <c r="U104" s="95" t="str">
        <f t="shared" si="54"/>
        <v/>
      </c>
      <c r="V104" s="96">
        <f t="shared" si="55"/>
        <v>0</v>
      </c>
    </row>
    <row r="105" spans="1:22" x14ac:dyDescent="0.2">
      <c r="A105" s="36">
        <f>4*(IF(LEFT(D94,4)="Base",A94,0)+IF(LEFT(D94,4)="Piso",A94,0)+IF(LEFT(D94,5)="Techo",A94,0)+IF(LEFT(D95,4)="Base",A95,0)+IF(LEFT(D95,4)="Piso",A95,0)+IF(LEFT(D95,5)="Techo",A95,0)+IF(LEFT(D96,4)="Base",A96,0)+IF(LEFT(D96,4)="Piso",A96,0)+IF(LEFT(D96,5)="Techo",A96,0)+IF(LEFT(D97,4)="Base",A97,0)+IF(LEFT(D97,4)="Piso",A97,0)+IF(LEFT(D97,5)="Techo",A97,0)+IF(LEFT(D98,4)="Base",A98,0)+IF(LEFT(D98,4)="Piso",A98,0)+IF(LEFT(D98,5)="Techo",A98,0)+IF(LEFT(D99,4)="Base",A99,0)+IF(LEFT(D99,4)="Piso",A99,0)+IF(LEFT(D99,5)="Techo",A99,0)+IF(LEFT(D100,4)="Base",A100,0)+IF(LEFT(D100,4)="Piso",A100,0)+IF(LEFT(D100,5)="Techo",A100,0)+IF(LEFT(D101,4)="Base",A101,0)+IF(LEFT(D101,4)="Piso",A101,0)+IF(LEFT(D101,5)="Techo",A101,0))+10*(IF(LEFT(D94,8)="Respaldo",A94,0)+IF(LEFT(D95,8)="Respaldo",A95,0)+IF(LEFT(D96,8)="Respaldo",A96,0)+IF(LEFT(D97,8)="Respaldo",A97,0)+IF(LEFT(D98,8)="Respaldo",A98,0)+IF(LEFT(D99,8)="Respaldo",A99,0)+IF(LEFT(D100,8)="Respaldo",A100,0)+IF(LEFT(D101,8)="Respaldo",A101,0))+2*(IF(LEFT(D94,8)="Manguete",A94,0)+IF(LEFT(D95,8)="Manguete",A95,0)+IF(LEFT(D96,8)="Manguete",A96,0)+IF(LEFT(D97,8)="Manguete",A97,0)+IF(LEFT(D98,8)="Manguete",A98,0)+IF(LEFT(D99,8)="Manguete",A99,0)+IF(LEFT(D100,8)="Manguete",A100,0)+IF(LEFT(D101,8)="Manguete",A101,0))</f>
        <v>18</v>
      </c>
      <c r="B105" s="20">
        <v>0</v>
      </c>
      <c r="C105" s="20">
        <v>0</v>
      </c>
      <c r="D105" s="21" t="s">
        <v>400</v>
      </c>
      <c r="E105" s="21" t="s">
        <v>91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3" t="s">
        <v>9</v>
      </c>
      <c r="L105" s="48" t="s">
        <v>360</v>
      </c>
      <c r="M105" s="17">
        <f t="shared" si="48"/>
        <v>0</v>
      </c>
      <c r="N105" s="18">
        <f t="shared" si="49"/>
        <v>0</v>
      </c>
      <c r="O105" s="19">
        <f>IF(E105="HERRAJE",IFERROR(_xlfn.XLOOKUP(D105,'⚙️ Configuración Costos'!$A$11:$A$20,'⚙️ Configuración Costos'!$B$11:$B$20),""),IFERROR(_xlfn.XLOOKUP(E105,'⚙️ Configuración Costos'!$A$5:$A$6,'⚙️ Configuración Costos'!$B$5:$B$6),""))</f>
        <v>3</v>
      </c>
      <c r="P105" s="19">
        <f t="shared" si="50"/>
        <v>54</v>
      </c>
      <c r="Q105" s="19">
        <f>IF(E105="HERRAJE",0,IFERROR(_xlfn.XLOOKUP(E105,'⚙️ Configuración Costos'!$E$5:$E$6,'⚙️ Configuración Costos'!$F$5:$F$6),""))</f>
        <v>0</v>
      </c>
      <c r="R105" s="19">
        <f t="shared" si="51"/>
        <v>0</v>
      </c>
      <c r="S105" s="37">
        <f t="shared" si="52"/>
        <v>54</v>
      </c>
      <c r="T105" s="94" t="str">
        <f t="shared" si="53"/>
        <v>OK</v>
      </c>
      <c r="U105" s="95" t="str">
        <f t="shared" si="54"/>
        <v/>
      </c>
      <c r="V105" s="96">
        <f t="shared" si="55"/>
        <v>0</v>
      </c>
    </row>
    <row r="106" spans="1:22" x14ac:dyDescent="0.2">
      <c r="A106" s="36">
        <f>6*(IF(LEFT(D94,4)="Base",A94,0)+IF(LEFT(D94,4)="Piso",A94,0)+IF(LEFT(D94,5)="Techo",A94,0)+IF(LEFT(D95,4)="Base",A95,0)+IF(LEFT(D95,4)="Piso",A95,0)+IF(LEFT(D95,5)="Techo",A95,0)+IF(LEFT(D96,4)="Base",A96,0)+IF(LEFT(D96,4)="Piso",A96,0)+IF(LEFT(D96,5)="Techo",A96,0)+IF(LEFT(D97,4)="Base",A97,0)+IF(LEFT(D97,4)="Piso",A97,0)+IF(LEFT(D97,5)="Techo",A97,0)+IF(LEFT(D98,4)="Base",A98,0)+IF(LEFT(D98,4)="Piso",A98,0)+IF(LEFT(D98,5)="Techo",A98,0)+IF(LEFT(D99,4)="Base",A99,0)+IF(LEFT(D99,4)="Piso",A99,0)+IF(LEFT(D99,5)="Techo",A99,0)+IF(LEFT(D100,4)="Base",A100,0)+IF(LEFT(D100,4)="Piso",A100,0)+IF(LEFT(D100,5)="Techo",A100,0)+IF(LEFT(D101,4)="Base",A101,0)+IF(LEFT(D101,4)="Piso",A101,0)+IF(LEFT(D101,5)="Techo",A101,0))+10*(IF(LEFT(D94,8)="Respaldo",A94,0)+IF(LEFT(D95,8)="Respaldo",A95,0)+IF(LEFT(D96,8)="Respaldo",A96,0)+IF(LEFT(D97,8)="Respaldo",A97,0)+IF(LEFT(D98,8)="Respaldo",A98,0)+IF(LEFT(D99,8)="Respaldo",A99,0)+IF(LEFT(D100,8)="Respaldo",A100,0)+IF(LEFT(D101,8)="Respaldo",A101,0))+4*(IF(LEFT(D94,8)="Manguete",A94,0)+IF(LEFT(D95,8)="Manguete",A95,0)+IF(LEFT(D96,8)="Manguete",A96,0)+IF(LEFT(D97,8)="Manguete",A97,0)+IF(LEFT(D98,8)="Manguete",A98,0)+IF(LEFT(D99,8)="Manguete",A99,0)+IF(LEFT(D100,8)="Manguete",A100,0)+IF(LEFT(D101,8)="Manguete",A101,0))</f>
        <v>22</v>
      </c>
      <c r="B106" s="20">
        <v>0</v>
      </c>
      <c r="C106" s="20">
        <v>0</v>
      </c>
      <c r="D106" s="21" t="s">
        <v>468</v>
      </c>
      <c r="E106" s="21" t="s">
        <v>91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3" t="s">
        <v>9</v>
      </c>
      <c r="L106" s="48" t="s">
        <v>361</v>
      </c>
      <c r="M106" s="17">
        <f t="shared" si="48"/>
        <v>0</v>
      </c>
      <c r="N106" s="18">
        <f t="shared" si="49"/>
        <v>0</v>
      </c>
      <c r="O106" s="19">
        <f>IF(E106="HERRAJE",IFERROR(_xlfn.XLOOKUP(D106,'⚙️ Configuración Costos'!$A$11:$A$20,'⚙️ Configuración Costos'!$B$11:$B$20),""),IFERROR(_xlfn.XLOOKUP(E106,'⚙️ Configuración Costos'!$A$5:$A$6,'⚙️ Configuración Costos'!$B$5:$B$6),""))</f>
        <v>1</v>
      </c>
      <c r="P106" s="19">
        <f t="shared" si="50"/>
        <v>22</v>
      </c>
      <c r="Q106" s="19">
        <f>IF(E106="HERRAJE",0,IFERROR(_xlfn.XLOOKUP(E106,'⚙️ Configuración Costos'!$E$5:$E$6,'⚙️ Configuración Costos'!$F$5:$F$6),""))</f>
        <v>0</v>
      </c>
      <c r="R106" s="19">
        <f t="shared" si="51"/>
        <v>0</v>
      </c>
      <c r="S106" s="37">
        <f t="shared" si="52"/>
        <v>22</v>
      </c>
      <c r="T106" s="94" t="str">
        <f t="shared" si="53"/>
        <v>OK</v>
      </c>
      <c r="U106" s="95" t="str">
        <f t="shared" si="54"/>
        <v/>
      </c>
      <c r="V106" s="96">
        <f t="shared" si="55"/>
        <v>0</v>
      </c>
    </row>
    <row r="107" spans="1:22" x14ac:dyDescent="0.2">
      <c r="A107" s="27" t="s">
        <v>99</v>
      </c>
      <c r="B107" s="27"/>
      <c r="C107" s="27"/>
      <c r="D107" s="28"/>
      <c r="E107" s="28"/>
      <c r="F107" s="29"/>
      <c r="G107" s="29"/>
      <c r="H107" s="29"/>
      <c r="I107" s="29"/>
      <c r="J107" s="29"/>
      <c r="K107" s="30"/>
      <c r="L107" s="49"/>
      <c r="M107" s="31">
        <f>SUM(M94:M106)</f>
        <v>2.1608429999999998</v>
      </c>
      <c r="N107" s="32">
        <f>SUM(N94:N106)</f>
        <v>12.91</v>
      </c>
      <c r="O107" s="33"/>
      <c r="P107" s="33">
        <f>SUM(P94:P106)</f>
        <v>913.24190609836069</v>
      </c>
      <c r="Q107" s="33"/>
      <c r="R107" s="33">
        <f>SUM(R94:R106)</f>
        <v>122.64500000000002</v>
      </c>
      <c r="S107" s="33">
        <f>SUM(S94:S106)</f>
        <v>1035.8869060983607</v>
      </c>
      <c r="T107" s="97"/>
      <c r="U107" s="98"/>
      <c r="V107" s="99"/>
    </row>
    <row r="108" spans="1:22" x14ac:dyDescent="0.2">
      <c r="A108" s="186" t="s">
        <v>134</v>
      </c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8"/>
      <c r="T108" s="97"/>
      <c r="U108" s="98"/>
      <c r="V108" s="99"/>
    </row>
    <row r="109" spans="1:22" x14ac:dyDescent="0.2">
      <c r="A109" s="35">
        <v>1</v>
      </c>
      <c r="B109" s="6">
        <v>680</v>
      </c>
      <c r="C109" s="6">
        <v>320</v>
      </c>
      <c r="D109" s="7" t="s">
        <v>63</v>
      </c>
      <c r="E109" s="7" t="s">
        <v>85</v>
      </c>
      <c r="F109" s="8">
        <v>1</v>
      </c>
      <c r="G109" s="8">
        <v>1</v>
      </c>
      <c r="H109" s="8">
        <v>1</v>
      </c>
      <c r="I109" s="8">
        <v>1</v>
      </c>
      <c r="J109" s="8">
        <v>1</v>
      </c>
      <c r="K109" s="9" t="s">
        <v>10</v>
      </c>
      <c r="L109" s="47" t="s">
        <v>65</v>
      </c>
      <c r="M109" s="17">
        <f t="shared" ref="M109:M121" si="56">IF(AND(ISNUMBER(B109),ISNUMBER(C109),B109&gt;0,C109&gt;0),A109*(B109*C109/1000000),0)</f>
        <v>0.21759999999999999</v>
      </c>
      <c r="N109" s="18">
        <f t="shared" ref="N109:N121" si="57">IF(AND(ISNUMBER(B109),B109&gt;0),A109*(((G109+H109)*B109+(I109+J109)*C109)/1000),0)</f>
        <v>2</v>
      </c>
      <c r="O109" s="19">
        <f>IF(E109="HERRAJE",IFERROR(_xlfn.XLOOKUP(D109,'⚙️ Configuración Costos'!$A$11:$A$20,'⚙️ Configuración Costos'!$B$11:$B$20),""),IFERROR(_xlfn.XLOOKUP(E109,'⚙️ Configuración Costos'!$A$5:$A$6,'⚙️ Configuración Costos'!$B$5:$B$6),""))</f>
        <v>332.85245901639348</v>
      </c>
      <c r="P109" s="19">
        <f t="shared" ref="P109:P121" si="58">IF(E109="HERRAJE",A109*O109,M109*O109)</f>
        <v>72.42869508196722</v>
      </c>
      <c r="Q109" s="19">
        <f>IF(E109="HERRAJE",0,IFERROR(_xlfn.XLOOKUP(E109,'⚙️ Configuración Costos'!$E$5:$E$6,'⚙️ Configuración Costos'!$F$5:$F$6),""))</f>
        <v>9.5</v>
      </c>
      <c r="R109" s="19">
        <f t="shared" ref="R109:R121" si="59">N109*Q109</f>
        <v>19</v>
      </c>
      <c r="S109" s="37">
        <f t="shared" ref="S109:S121" si="60">P109+R109</f>
        <v>91.42869508196722</v>
      </c>
      <c r="T109" s="94" t="str">
        <f t="shared" ref="T109:T121" si="61">IF(K109="","SIN ID MÓDULO",IF(E109="HERRAJE",IF(OR(O109="",O109&lt;=0),"SIN PRECIO HERRAJE","OK"),IF(OR(O109="",O109&lt;=0),"SIN PRECIO MATERIAL",IF(AND(N109&gt;0,OR(Q109="",Q109&lt;=0)),"SIN PRECIO CINTILLA","OK"))))</f>
        <v>OK</v>
      </c>
      <c r="U109" s="95" t="str">
        <f t="shared" ref="U109:U121" si="62">IF(T109="OK","",IF(T109="SIN PRECIO HERRAJE","Capturar precio: "&amp;D109,IF(T109="SIN PRECIO MATERIAL","Configurar material: "&amp;E109,IF(T109="SIN PRECIO CINTILLA","Configurar cintilla: "&amp;E109,IF(T109="SIN ID MÓDULO","Revisar ID del módulo","")))))</f>
        <v/>
      </c>
      <c r="V109" s="96">
        <f t="shared" ref="V109:V121" si="63">IF(T109="OK",0,IF(T109="",0,1))</f>
        <v>0</v>
      </c>
    </row>
    <row r="110" spans="1:22" x14ac:dyDescent="0.2">
      <c r="A110" s="35">
        <v>1</v>
      </c>
      <c r="B110" s="6">
        <v>680</v>
      </c>
      <c r="C110" s="6">
        <v>320</v>
      </c>
      <c r="D110" s="7" t="s">
        <v>66</v>
      </c>
      <c r="E110" s="7" t="s">
        <v>85</v>
      </c>
      <c r="F110" s="8">
        <v>1</v>
      </c>
      <c r="G110" s="8">
        <v>1</v>
      </c>
      <c r="H110" s="8">
        <v>1</v>
      </c>
      <c r="I110" s="8">
        <v>1</v>
      </c>
      <c r="J110" s="8">
        <v>1</v>
      </c>
      <c r="K110" s="9" t="s">
        <v>10</v>
      </c>
      <c r="L110" s="47" t="s">
        <v>67</v>
      </c>
      <c r="M110" s="17">
        <f t="shared" si="56"/>
        <v>0.21759999999999999</v>
      </c>
      <c r="N110" s="18">
        <f t="shared" si="57"/>
        <v>2</v>
      </c>
      <c r="O110" s="19">
        <f>IF(E110="HERRAJE",IFERROR(_xlfn.XLOOKUP(D110,'⚙️ Configuración Costos'!$A$11:$A$20,'⚙️ Configuración Costos'!$B$11:$B$20),""),IFERROR(_xlfn.XLOOKUP(E110,'⚙️ Configuración Costos'!$A$5:$A$6,'⚙️ Configuración Costos'!$B$5:$B$6),""))</f>
        <v>332.85245901639348</v>
      </c>
      <c r="P110" s="19">
        <f t="shared" si="58"/>
        <v>72.42869508196722</v>
      </c>
      <c r="Q110" s="19">
        <f>IF(E110="HERRAJE",0,IFERROR(_xlfn.XLOOKUP(E110,'⚙️ Configuración Costos'!$E$5:$E$6,'⚙️ Configuración Costos'!$F$5:$F$6),""))</f>
        <v>9.5</v>
      </c>
      <c r="R110" s="19">
        <f t="shared" si="59"/>
        <v>19</v>
      </c>
      <c r="S110" s="37">
        <f t="shared" si="60"/>
        <v>91.42869508196722</v>
      </c>
      <c r="T110" s="94" t="str">
        <f t="shared" si="61"/>
        <v>OK</v>
      </c>
      <c r="U110" s="95" t="str">
        <f t="shared" si="62"/>
        <v/>
      </c>
      <c r="V110" s="96">
        <f t="shared" si="63"/>
        <v>0</v>
      </c>
    </row>
    <row r="111" spans="1:22" x14ac:dyDescent="0.2">
      <c r="A111" s="34">
        <v>1</v>
      </c>
      <c r="B111" s="13">
        <v>649</v>
      </c>
      <c r="C111" s="6">
        <v>869</v>
      </c>
      <c r="D111" s="14" t="s">
        <v>68</v>
      </c>
      <c r="E111" s="14" t="s">
        <v>85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6" t="s">
        <v>10</v>
      </c>
      <c r="L111" s="46" t="s">
        <v>135</v>
      </c>
      <c r="M111" s="17">
        <f t="shared" si="56"/>
        <v>0.56398099999999995</v>
      </c>
      <c r="N111" s="18">
        <f t="shared" si="57"/>
        <v>0</v>
      </c>
      <c r="O111" s="19">
        <f>IF(E111="HERRAJE",IFERROR(_xlfn.XLOOKUP(D111,'⚙️ Configuración Costos'!$A$11:$A$20,'⚙️ Configuración Costos'!$B$11:$B$20),""),IFERROR(_xlfn.XLOOKUP(E111,'⚙️ Configuración Costos'!$A$5:$A$6,'⚙️ Configuración Costos'!$B$5:$B$6),""))</f>
        <v>332.85245901639348</v>
      </c>
      <c r="P111" s="19">
        <f t="shared" si="58"/>
        <v>187.72246268852459</v>
      </c>
      <c r="Q111" s="19">
        <f>IF(E111="HERRAJE",0,IFERROR(_xlfn.XLOOKUP(E111,'⚙️ Configuración Costos'!$E$5:$E$6,'⚙️ Configuración Costos'!$F$5:$F$6),""))</f>
        <v>9.5</v>
      </c>
      <c r="R111" s="19">
        <f t="shared" si="59"/>
        <v>0</v>
      </c>
      <c r="S111" s="37">
        <f t="shared" si="60"/>
        <v>187.72246268852459</v>
      </c>
      <c r="T111" s="94" t="str">
        <f t="shared" si="61"/>
        <v>OK</v>
      </c>
      <c r="U111" s="95" t="str">
        <f t="shared" si="62"/>
        <v/>
      </c>
      <c r="V111" s="96">
        <f t="shared" si="63"/>
        <v>0</v>
      </c>
    </row>
    <row r="112" spans="1:22" x14ac:dyDescent="0.2">
      <c r="A112" s="35">
        <v>1</v>
      </c>
      <c r="B112" s="6">
        <v>869</v>
      </c>
      <c r="C112" s="6">
        <v>320</v>
      </c>
      <c r="D112" s="7" t="s">
        <v>70</v>
      </c>
      <c r="E112" s="7" t="s">
        <v>85</v>
      </c>
      <c r="F112" s="8">
        <v>1</v>
      </c>
      <c r="G112" s="8">
        <v>1</v>
      </c>
      <c r="H112" s="8">
        <v>1</v>
      </c>
      <c r="I112" s="8">
        <v>0</v>
      </c>
      <c r="J112" s="8">
        <v>0</v>
      </c>
      <c r="K112" s="9" t="s">
        <v>10</v>
      </c>
      <c r="L112" s="47" t="s">
        <v>136</v>
      </c>
      <c r="M112" s="17">
        <f t="shared" si="56"/>
        <v>0.27807999999999999</v>
      </c>
      <c r="N112" s="18">
        <f t="shared" si="57"/>
        <v>1.738</v>
      </c>
      <c r="O112" s="19">
        <f>IF(E112="HERRAJE",IFERROR(_xlfn.XLOOKUP(D112,'⚙️ Configuración Costos'!$A$11:$A$20,'⚙️ Configuración Costos'!$B$11:$B$20),""),IFERROR(_xlfn.XLOOKUP(E112,'⚙️ Configuración Costos'!$A$5:$A$6,'⚙️ Configuración Costos'!$B$5:$B$6),""))</f>
        <v>332.85245901639348</v>
      </c>
      <c r="P112" s="19">
        <f t="shared" si="58"/>
        <v>92.559611803278699</v>
      </c>
      <c r="Q112" s="19">
        <f>IF(E112="HERRAJE",0,IFERROR(_xlfn.XLOOKUP(E112,'⚙️ Configuración Costos'!$E$5:$E$6,'⚙️ Configuración Costos'!$F$5:$F$6),""))</f>
        <v>9.5</v>
      </c>
      <c r="R112" s="19">
        <f t="shared" si="59"/>
        <v>16.510999999999999</v>
      </c>
      <c r="S112" s="37">
        <f t="shared" si="60"/>
        <v>109.07061180327869</v>
      </c>
      <c r="T112" s="94" t="str">
        <f t="shared" si="61"/>
        <v>OK</v>
      </c>
      <c r="U112" s="95" t="str">
        <f t="shared" si="62"/>
        <v/>
      </c>
      <c r="V112" s="96">
        <f t="shared" si="63"/>
        <v>0</v>
      </c>
    </row>
    <row r="113" spans="1:22" x14ac:dyDescent="0.2">
      <c r="A113" s="35">
        <v>1</v>
      </c>
      <c r="B113" s="6">
        <v>869</v>
      </c>
      <c r="C113" s="6">
        <v>320</v>
      </c>
      <c r="D113" s="7" t="s">
        <v>72</v>
      </c>
      <c r="E113" s="7" t="s">
        <v>85</v>
      </c>
      <c r="F113" s="8">
        <v>1</v>
      </c>
      <c r="G113" s="8">
        <v>1</v>
      </c>
      <c r="H113" s="8">
        <v>1</v>
      </c>
      <c r="I113" s="8">
        <v>0</v>
      </c>
      <c r="J113" s="8">
        <v>0</v>
      </c>
      <c r="K113" s="9" t="s">
        <v>10</v>
      </c>
      <c r="L113" s="47" t="s">
        <v>137</v>
      </c>
      <c r="M113" s="17">
        <f t="shared" si="56"/>
        <v>0.27807999999999999</v>
      </c>
      <c r="N113" s="18">
        <f t="shared" si="57"/>
        <v>1.738</v>
      </c>
      <c r="O113" s="19">
        <f>IF(E113="HERRAJE",IFERROR(_xlfn.XLOOKUP(D113,'⚙️ Configuración Costos'!$A$11:$A$20,'⚙️ Configuración Costos'!$B$11:$B$20),""),IFERROR(_xlfn.XLOOKUP(E113,'⚙️ Configuración Costos'!$A$5:$A$6,'⚙️ Configuración Costos'!$B$5:$B$6),""))</f>
        <v>332.85245901639348</v>
      </c>
      <c r="P113" s="19">
        <f t="shared" si="58"/>
        <v>92.559611803278699</v>
      </c>
      <c r="Q113" s="19">
        <f>IF(E113="HERRAJE",0,IFERROR(_xlfn.XLOOKUP(E113,'⚙️ Configuración Costos'!$E$5:$E$6,'⚙️ Configuración Costos'!$F$5:$F$6),""))</f>
        <v>9.5</v>
      </c>
      <c r="R113" s="19">
        <f t="shared" si="59"/>
        <v>16.510999999999999</v>
      </c>
      <c r="S113" s="37">
        <f t="shared" si="60"/>
        <v>109.07061180327869</v>
      </c>
      <c r="T113" s="94" t="str">
        <f t="shared" si="61"/>
        <v>OK</v>
      </c>
      <c r="U113" s="95" t="str">
        <f t="shared" si="62"/>
        <v/>
      </c>
      <c r="V113" s="96">
        <f t="shared" si="63"/>
        <v>0</v>
      </c>
    </row>
    <row r="114" spans="1:22" x14ac:dyDescent="0.2">
      <c r="A114" s="35">
        <v>1</v>
      </c>
      <c r="B114" s="6">
        <v>869</v>
      </c>
      <c r="C114" s="6">
        <v>256</v>
      </c>
      <c r="D114" s="7" t="s">
        <v>466</v>
      </c>
      <c r="E114" s="7" t="s">
        <v>85</v>
      </c>
      <c r="F114" s="8">
        <v>1</v>
      </c>
      <c r="G114" s="8">
        <v>1</v>
      </c>
      <c r="H114" s="8">
        <v>1</v>
      </c>
      <c r="I114" s="8">
        <v>0</v>
      </c>
      <c r="J114" s="8">
        <v>0</v>
      </c>
      <c r="K114" s="9" t="s">
        <v>10</v>
      </c>
      <c r="L114" s="47" t="s">
        <v>138</v>
      </c>
      <c r="M114" s="17">
        <f t="shared" si="56"/>
        <v>0.222464</v>
      </c>
      <c r="N114" s="18">
        <f t="shared" si="57"/>
        <v>1.738</v>
      </c>
      <c r="O114" s="19">
        <f>IF(E114="HERRAJE",IFERROR(_xlfn.XLOOKUP(D114,'⚙️ Configuración Costos'!$A$11:$A$20,'⚙️ Configuración Costos'!$B$11:$B$20),""),IFERROR(_xlfn.XLOOKUP(E114,'⚙️ Configuración Costos'!$A$5:$A$6,'⚙️ Configuración Costos'!$B$5:$B$6),""))</f>
        <v>332.85245901639348</v>
      </c>
      <c r="P114" s="19">
        <f t="shared" si="58"/>
        <v>74.047689442622953</v>
      </c>
      <c r="Q114" s="19">
        <f>IF(E114="HERRAJE",0,IFERROR(_xlfn.XLOOKUP(E114,'⚙️ Configuración Costos'!$E$5:$E$6,'⚙️ Configuración Costos'!$F$5:$F$6),""))</f>
        <v>9.5</v>
      </c>
      <c r="R114" s="19">
        <f t="shared" si="59"/>
        <v>16.510999999999999</v>
      </c>
      <c r="S114" s="37">
        <f t="shared" si="60"/>
        <v>90.558689442622949</v>
      </c>
      <c r="T114" s="94" t="str">
        <f t="shared" si="61"/>
        <v>OK</v>
      </c>
      <c r="U114" s="95" t="str">
        <f t="shared" si="62"/>
        <v/>
      </c>
      <c r="V114" s="96">
        <f t="shared" si="63"/>
        <v>0</v>
      </c>
    </row>
    <row r="115" spans="1:22" x14ac:dyDescent="0.2">
      <c r="A115" s="35">
        <v>1</v>
      </c>
      <c r="B115" s="6">
        <v>676</v>
      </c>
      <c r="C115" s="6">
        <v>447</v>
      </c>
      <c r="D115" s="7" t="s">
        <v>470</v>
      </c>
      <c r="E115" s="7" t="s">
        <v>85</v>
      </c>
      <c r="F115" s="8">
        <v>1</v>
      </c>
      <c r="G115" s="8">
        <v>1</v>
      </c>
      <c r="H115" s="8">
        <v>1</v>
      </c>
      <c r="I115" s="8">
        <v>1</v>
      </c>
      <c r="J115" s="8">
        <v>1</v>
      </c>
      <c r="K115" s="9" t="s">
        <v>10</v>
      </c>
      <c r="L115" s="47" t="s">
        <v>139</v>
      </c>
      <c r="M115" s="17">
        <f t="shared" si="56"/>
        <v>0.302172</v>
      </c>
      <c r="N115" s="18">
        <f t="shared" si="57"/>
        <v>2.246</v>
      </c>
      <c r="O115" s="19">
        <f>IF(E115="HERRAJE",IFERROR(_xlfn.XLOOKUP(D115,'⚙️ Configuración Costos'!$A$11:$A$20,'⚙️ Configuración Costos'!$B$11:$B$20),""),IFERROR(_xlfn.XLOOKUP(E115,'⚙️ Configuración Costos'!$A$5:$A$6,'⚙️ Configuración Costos'!$B$5:$B$6),""))</f>
        <v>332.85245901639348</v>
      </c>
      <c r="P115" s="19">
        <f t="shared" si="58"/>
        <v>100.57869324590165</v>
      </c>
      <c r="Q115" s="19">
        <f>IF(E115="HERRAJE",0,IFERROR(_xlfn.XLOOKUP(E115,'⚙️ Configuración Costos'!$E$5:$E$6,'⚙️ Configuración Costos'!$F$5:$F$6),""))</f>
        <v>9.5</v>
      </c>
      <c r="R115" s="19">
        <f t="shared" si="59"/>
        <v>21.337</v>
      </c>
      <c r="S115" s="37">
        <f t="shared" si="60"/>
        <v>121.91569324590165</v>
      </c>
      <c r="T115" s="94" t="str">
        <f t="shared" si="61"/>
        <v>OK</v>
      </c>
      <c r="U115" s="95" t="str">
        <f t="shared" si="62"/>
        <v/>
      </c>
      <c r="V115" s="96">
        <f t="shared" si="63"/>
        <v>0</v>
      </c>
    </row>
    <row r="116" spans="1:22" x14ac:dyDescent="0.2">
      <c r="A116" s="35">
        <v>1</v>
      </c>
      <c r="B116" s="6">
        <v>676</v>
      </c>
      <c r="C116" s="6">
        <v>447</v>
      </c>
      <c r="D116" s="7" t="s">
        <v>469</v>
      </c>
      <c r="E116" s="7" t="s">
        <v>85</v>
      </c>
      <c r="F116" s="8">
        <v>1</v>
      </c>
      <c r="G116" s="8">
        <v>1</v>
      </c>
      <c r="H116" s="8">
        <v>1</v>
      </c>
      <c r="I116" s="8">
        <v>1</v>
      </c>
      <c r="J116" s="8">
        <v>1</v>
      </c>
      <c r="K116" s="9" t="s">
        <v>10</v>
      </c>
      <c r="L116" s="47" t="s">
        <v>140</v>
      </c>
      <c r="M116" s="17">
        <f t="shared" si="56"/>
        <v>0.302172</v>
      </c>
      <c r="N116" s="18">
        <f t="shared" si="57"/>
        <v>2.246</v>
      </c>
      <c r="O116" s="19">
        <f>IF(E116="HERRAJE",IFERROR(_xlfn.XLOOKUP(D116,'⚙️ Configuración Costos'!$A$11:$A$20,'⚙️ Configuración Costos'!$B$11:$B$20),""),IFERROR(_xlfn.XLOOKUP(E116,'⚙️ Configuración Costos'!$A$5:$A$6,'⚙️ Configuración Costos'!$B$5:$B$6),""))</f>
        <v>332.85245901639348</v>
      </c>
      <c r="P116" s="19">
        <f t="shared" si="58"/>
        <v>100.57869324590165</v>
      </c>
      <c r="Q116" s="19">
        <f>IF(E116="HERRAJE",0,IFERROR(_xlfn.XLOOKUP(E116,'⚙️ Configuración Costos'!$E$5:$E$6,'⚙️ Configuración Costos'!$F$5:$F$6),""))</f>
        <v>9.5</v>
      </c>
      <c r="R116" s="19">
        <f t="shared" si="59"/>
        <v>21.337</v>
      </c>
      <c r="S116" s="37">
        <f t="shared" si="60"/>
        <v>121.91569324590165</v>
      </c>
      <c r="T116" s="94" t="str">
        <f t="shared" si="61"/>
        <v>OK</v>
      </c>
      <c r="U116" s="95" t="str">
        <f t="shared" si="62"/>
        <v/>
      </c>
      <c r="V116" s="96">
        <f t="shared" si="63"/>
        <v>0</v>
      </c>
    </row>
    <row r="117" spans="1:22" x14ac:dyDescent="0.2">
      <c r="A117" s="35">
        <v>4</v>
      </c>
      <c r="B117" s="6">
        <v>0</v>
      </c>
      <c r="C117" s="6">
        <v>0</v>
      </c>
      <c r="D117" s="7" t="s">
        <v>90</v>
      </c>
      <c r="E117" s="7" t="s">
        <v>91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9" t="s">
        <v>10</v>
      </c>
      <c r="L117" s="47" t="s">
        <v>92</v>
      </c>
      <c r="M117" s="17">
        <f t="shared" si="56"/>
        <v>0</v>
      </c>
      <c r="N117" s="18">
        <f t="shared" si="57"/>
        <v>0</v>
      </c>
      <c r="O117" s="19">
        <f>IF(E117="HERRAJE",IFERROR(_xlfn.XLOOKUP(D117,'⚙️ Configuración Costos'!$A$11:$A$20,'⚙️ Configuración Costos'!$B$11:$B$20),""),IFERROR(_xlfn.XLOOKUP(E117,'⚙️ Configuración Costos'!$A$5:$A$6,'⚙️ Configuración Costos'!$B$5:$B$6),""))</f>
        <v>20</v>
      </c>
      <c r="P117" s="19">
        <f t="shared" si="58"/>
        <v>80</v>
      </c>
      <c r="Q117" s="19">
        <f>IF(E117="HERRAJE",0,IFERROR(_xlfn.XLOOKUP(E117,'⚙️ Configuración Costos'!$E$5:$E$6,'⚙️ Configuración Costos'!$F$5:$F$6),""))</f>
        <v>0</v>
      </c>
      <c r="R117" s="19">
        <f t="shared" si="59"/>
        <v>0</v>
      </c>
      <c r="S117" s="37">
        <f t="shared" si="60"/>
        <v>80</v>
      </c>
      <c r="T117" s="94" t="str">
        <f t="shared" si="61"/>
        <v>OK</v>
      </c>
      <c r="U117" s="95" t="str">
        <f t="shared" si="62"/>
        <v/>
      </c>
      <c r="V117" s="96">
        <f t="shared" si="63"/>
        <v>0</v>
      </c>
    </row>
    <row r="118" spans="1:22" x14ac:dyDescent="0.2">
      <c r="A118" s="35">
        <v>2</v>
      </c>
      <c r="B118" s="6">
        <v>0</v>
      </c>
      <c r="C118" s="6">
        <v>0</v>
      </c>
      <c r="D118" s="7" t="s">
        <v>93</v>
      </c>
      <c r="E118" s="7" t="s">
        <v>91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9" t="s">
        <v>10</v>
      </c>
      <c r="L118" s="47" t="s">
        <v>94</v>
      </c>
      <c r="M118" s="17">
        <f t="shared" si="56"/>
        <v>0</v>
      </c>
      <c r="N118" s="18">
        <f t="shared" si="57"/>
        <v>0</v>
      </c>
      <c r="O118" s="19">
        <f>IF(E118="HERRAJE",IFERROR(_xlfn.XLOOKUP(D118,'⚙️ Configuración Costos'!$A$11:$A$20,'⚙️ Configuración Costos'!$B$11:$B$20),""),IFERROR(_xlfn.XLOOKUP(E118,'⚙️ Configuración Costos'!$A$5:$A$6,'⚙️ Configuración Costos'!$B$5:$B$6),""))</f>
        <v>15</v>
      </c>
      <c r="P118" s="19">
        <f t="shared" si="58"/>
        <v>30</v>
      </c>
      <c r="Q118" s="19">
        <f>IF(E118="HERRAJE",0,IFERROR(_xlfn.XLOOKUP(E118,'⚙️ Configuración Costos'!$E$5:$E$6,'⚙️ Configuración Costos'!$F$5:$F$6),""))</f>
        <v>0</v>
      </c>
      <c r="R118" s="19">
        <f t="shared" si="59"/>
        <v>0</v>
      </c>
      <c r="S118" s="37">
        <f t="shared" si="60"/>
        <v>30</v>
      </c>
      <c r="T118" s="94" t="str">
        <f t="shared" si="61"/>
        <v>OK</v>
      </c>
      <c r="U118" s="95" t="str">
        <f t="shared" si="62"/>
        <v/>
      </c>
      <c r="V118" s="96">
        <f t="shared" si="63"/>
        <v>0</v>
      </c>
    </row>
    <row r="119" spans="1:22" x14ac:dyDescent="0.2">
      <c r="A119" s="35">
        <v>4</v>
      </c>
      <c r="B119" s="6">
        <v>0</v>
      </c>
      <c r="C119" s="6">
        <v>0</v>
      </c>
      <c r="D119" s="7" t="s">
        <v>95</v>
      </c>
      <c r="E119" s="7" t="s">
        <v>91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9" t="s">
        <v>10</v>
      </c>
      <c r="L119" s="47" t="s">
        <v>96</v>
      </c>
      <c r="M119" s="17">
        <f t="shared" si="56"/>
        <v>0</v>
      </c>
      <c r="N119" s="18">
        <f t="shared" si="57"/>
        <v>0</v>
      </c>
      <c r="O119" s="19">
        <f>IF(E119="HERRAJE",IFERROR(_xlfn.XLOOKUP(D119,'⚙️ Configuración Costos'!$A$11:$A$20,'⚙️ Configuración Costos'!$B$11:$B$20),""),IFERROR(_xlfn.XLOOKUP(E119,'⚙️ Configuración Costos'!$A$5:$A$6,'⚙️ Configuración Costos'!$B$5:$B$6),""))</f>
        <v>2</v>
      </c>
      <c r="P119" s="19">
        <f t="shared" si="58"/>
        <v>8</v>
      </c>
      <c r="Q119" s="19">
        <f>IF(E119="HERRAJE",0,IFERROR(_xlfn.XLOOKUP(E119,'⚙️ Configuración Costos'!$E$5:$E$6,'⚙️ Configuración Costos'!$F$5:$F$6),""))</f>
        <v>0</v>
      </c>
      <c r="R119" s="19">
        <f t="shared" si="59"/>
        <v>0</v>
      </c>
      <c r="S119" s="37">
        <f t="shared" si="60"/>
        <v>8</v>
      </c>
      <c r="T119" s="94" t="str">
        <f t="shared" si="61"/>
        <v>OK</v>
      </c>
      <c r="U119" s="95" t="str">
        <f t="shared" si="62"/>
        <v/>
      </c>
      <c r="V119" s="96">
        <f t="shared" si="63"/>
        <v>0</v>
      </c>
    </row>
    <row r="120" spans="1:22" x14ac:dyDescent="0.2">
      <c r="A120" s="36">
        <f>4*(IF(LEFT(D109,4)="Base",A109,0)+IF(LEFT(D109,4)="Piso",A109,0)+IF(LEFT(D109,5)="Techo",A109,0)+IF(LEFT(D110,4)="Base",A110,0)+IF(LEFT(D110,4)="Piso",A110,0)+IF(LEFT(D110,5)="Techo",A110,0)+IF(LEFT(D111,4)="Base",A111,0)+IF(LEFT(D111,4)="Piso",A111,0)+IF(LEFT(D111,5)="Techo",A111,0)+IF(LEFT(D112,4)="Base",A112,0)+IF(LEFT(D112,4)="Piso",A112,0)+IF(LEFT(D112,5)="Techo",A112,0)+IF(LEFT(D113,4)="Base",A113,0)+IF(LEFT(D113,4)="Piso",A113,0)+IF(LEFT(D113,5)="Techo",A113,0)+IF(LEFT(D114,4)="Base",A114,0)+IF(LEFT(D114,4)="Piso",A114,0)+IF(LEFT(D114,5)="Techo",A114,0)+IF(LEFT(D115,4)="Base",A115,0)+IF(LEFT(D115,4)="Piso",A115,0)+IF(LEFT(D115,5)="Techo",A115,0)+IF(LEFT(D116,4)="Base",A116,0)+IF(LEFT(D116,4)="Piso",A116,0)+IF(LEFT(D116,5)="Techo",A116,0))+10*(IF(LEFT(D109,8)="Respaldo",A109,0)+IF(LEFT(D110,8)="Respaldo",A110,0)+IF(LEFT(D111,8)="Respaldo",A111,0)+IF(LEFT(D112,8)="Respaldo",A112,0)+IF(LEFT(D113,8)="Respaldo",A113,0)+IF(LEFT(D114,8)="Respaldo",A114,0)+IF(LEFT(D115,8)="Respaldo",A115,0)+IF(LEFT(D116,8)="Respaldo",A116,0))+2*(IF(LEFT(D109,8)="Manguete",A109,0)+IF(LEFT(D110,8)="Manguete",A110,0)+IF(LEFT(D111,8)="Manguete",A111,0)+IF(LEFT(D112,8)="Manguete",A112,0)+IF(LEFT(D113,8)="Manguete",A113,0)+IF(LEFT(D114,8)="Manguete",A114,0)+IF(LEFT(D115,8)="Manguete",A115,0)+IF(LEFT(D116,8)="Manguete",A116,0))</f>
        <v>18</v>
      </c>
      <c r="B120" s="20">
        <v>0</v>
      </c>
      <c r="C120" s="20">
        <v>0</v>
      </c>
      <c r="D120" s="21" t="s">
        <v>400</v>
      </c>
      <c r="E120" s="21" t="s">
        <v>91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3" t="s">
        <v>10</v>
      </c>
      <c r="L120" s="48" t="s">
        <v>360</v>
      </c>
      <c r="M120" s="17">
        <f t="shared" si="56"/>
        <v>0</v>
      </c>
      <c r="N120" s="18">
        <f t="shared" si="57"/>
        <v>0</v>
      </c>
      <c r="O120" s="19">
        <f>IF(E120="HERRAJE",IFERROR(_xlfn.XLOOKUP(D120,'⚙️ Configuración Costos'!$A$11:$A$20,'⚙️ Configuración Costos'!$B$11:$B$20),""),IFERROR(_xlfn.XLOOKUP(E120,'⚙️ Configuración Costos'!$A$5:$A$6,'⚙️ Configuración Costos'!$B$5:$B$6),""))</f>
        <v>3</v>
      </c>
      <c r="P120" s="19">
        <f t="shared" si="58"/>
        <v>54</v>
      </c>
      <c r="Q120" s="19">
        <f>IF(E120="HERRAJE",0,IFERROR(_xlfn.XLOOKUP(E120,'⚙️ Configuración Costos'!$E$5:$E$6,'⚙️ Configuración Costos'!$F$5:$F$6),""))</f>
        <v>0</v>
      </c>
      <c r="R120" s="19">
        <f t="shared" si="59"/>
        <v>0</v>
      </c>
      <c r="S120" s="37">
        <f t="shared" si="60"/>
        <v>54</v>
      </c>
      <c r="T120" s="94" t="str">
        <f t="shared" si="61"/>
        <v>OK</v>
      </c>
      <c r="U120" s="95" t="str">
        <f t="shared" si="62"/>
        <v/>
      </c>
      <c r="V120" s="96">
        <f t="shared" si="63"/>
        <v>0</v>
      </c>
    </row>
    <row r="121" spans="1:22" x14ac:dyDescent="0.2">
      <c r="A121" s="36">
        <f>6*(IF(LEFT(D109,4)="Base",A109,0)+IF(LEFT(D109,4)="Piso",A109,0)+IF(LEFT(D109,5)="Techo",A109,0)+IF(LEFT(D110,4)="Base",A110,0)+IF(LEFT(D110,4)="Piso",A110,0)+IF(LEFT(D110,5)="Techo",A110,0)+IF(LEFT(D111,4)="Base",A111,0)+IF(LEFT(D111,4)="Piso",A111,0)+IF(LEFT(D111,5)="Techo",A111,0)+IF(LEFT(D112,4)="Base",A112,0)+IF(LEFT(D112,4)="Piso",A112,0)+IF(LEFT(D112,5)="Techo",A112,0)+IF(LEFT(D113,4)="Base",A113,0)+IF(LEFT(D113,4)="Piso",A113,0)+IF(LEFT(D113,5)="Techo",A113,0)+IF(LEFT(D114,4)="Base",A114,0)+IF(LEFT(D114,4)="Piso",A114,0)+IF(LEFT(D114,5)="Techo",A114,0)+IF(LEFT(D115,4)="Base",A115,0)+IF(LEFT(D115,4)="Piso",A115,0)+IF(LEFT(D115,5)="Techo",A115,0)+IF(LEFT(D116,4)="Base",A116,0)+IF(LEFT(D116,4)="Piso",A116,0)+IF(LEFT(D116,5)="Techo",A116,0))+10*(IF(LEFT(D109,8)="Respaldo",A109,0)+IF(LEFT(D110,8)="Respaldo",A110,0)+IF(LEFT(D111,8)="Respaldo",A111,0)+IF(LEFT(D112,8)="Respaldo",A112,0)+IF(LEFT(D113,8)="Respaldo",A113,0)+IF(LEFT(D114,8)="Respaldo",A114,0)+IF(LEFT(D115,8)="Respaldo",A115,0)+IF(LEFT(D116,8)="Respaldo",A116,0))+4*(IF(LEFT(D109,8)="Manguete",A109,0)+IF(LEFT(D110,8)="Manguete",A110,0)+IF(LEFT(D111,8)="Manguete",A111,0)+IF(LEFT(D112,8)="Manguete",A112,0)+IF(LEFT(D113,8)="Manguete",A113,0)+IF(LEFT(D114,8)="Manguete",A114,0)+IF(LEFT(D115,8)="Manguete",A115,0)+IF(LEFT(D116,8)="Manguete",A116,0))</f>
        <v>22</v>
      </c>
      <c r="B121" s="20">
        <v>0</v>
      </c>
      <c r="C121" s="20">
        <v>0</v>
      </c>
      <c r="D121" s="21" t="s">
        <v>468</v>
      </c>
      <c r="E121" s="21" t="s">
        <v>91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3" t="s">
        <v>10</v>
      </c>
      <c r="L121" s="48" t="s">
        <v>361</v>
      </c>
      <c r="M121" s="17">
        <f t="shared" si="56"/>
        <v>0</v>
      </c>
      <c r="N121" s="18">
        <f t="shared" si="57"/>
        <v>0</v>
      </c>
      <c r="O121" s="19">
        <f>IF(E121="HERRAJE",IFERROR(_xlfn.XLOOKUP(D121,'⚙️ Configuración Costos'!$A$11:$A$20,'⚙️ Configuración Costos'!$B$11:$B$20),""),IFERROR(_xlfn.XLOOKUP(E121,'⚙️ Configuración Costos'!$A$5:$A$6,'⚙️ Configuración Costos'!$B$5:$B$6),""))</f>
        <v>1</v>
      </c>
      <c r="P121" s="19">
        <f t="shared" si="58"/>
        <v>22</v>
      </c>
      <c r="Q121" s="19">
        <f>IF(E121="HERRAJE",0,IFERROR(_xlfn.XLOOKUP(E121,'⚙️ Configuración Costos'!$E$5:$E$6,'⚙️ Configuración Costos'!$F$5:$F$6),""))</f>
        <v>0</v>
      </c>
      <c r="R121" s="19">
        <f t="shared" si="59"/>
        <v>0</v>
      </c>
      <c r="S121" s="37">
        <f t="shared" si="60"/>
        <v>22</v>
      </c>
      <c r="T121" s="94" t="str">
        <f t="shared" si="61"/>
        <v>OK</v>
      </c>
      <c r="U121" s="95" t="str">
        <f t="shared" si="62"/>
        <v/>
      </c>
      <c r="V121" s="96">
        <f t="shared" si="63"/>
        <v>0</v>
      </c>
    </row>
    <row r="122" spans="1:22" x14ac:dyDescent="0.2">
      <c r="A122" s="27" t="s">
        <v>99</v>
      </c>
      <c r="B122" s="27"/>
      <c r="C122" s="27"/>
      <c r="D122" s="28"/>
      <c r="E122" s="28"/>
      <c r="F122" s="29"/>
      <c r="G122" s="29"/>
      <c r="H122" s="29"/>
      <c r="I122" s="29"/>
      <c r="J122" s="29"/>
      <c r="K122" s="30"/>
      <c r="L122" s="49"/>
      <c r="M122" s="31">
        <f>SUM(M109:M121)</f>
        <v>2.3821490000000001</v>
      </c>
      <c r="N122" s="32">
        <f>SUM(N109:N121)</f>
        <v>13.706</v>
      </c>
      <c r="O122" s="33"/>
      <c r="P122" s="33">
        <f>SUM(P109:P121)</f>
        <v>986.90415239344259</v>
      </c>
      <c r="Q122" s="33"/>
      <c r="R122" s="33">
        <f>SUM(R109:R121)</f>
        <v>130.20699999999999</v>
      </c>
      <c r="S122" s="33">
        <f>SUM(S109:S121)</f>
        <v>1117.1111523934426</v>
      </c>
      <c r="T122" s="97"/>
      <c r="U122" s="98"/>
      <c r="V122" s="99"/>
    </row>
    <row r="123" spans="1:22" x14ac:dyDescent="0.2">
      <c r="A123" s="186" t="s">
        <v>628</v>
      </c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8"/>
      <c r="T123" s="97"/>
      <c r="U123" s="98"/>
      <c r="V123" s="99"/>
    </row>
    <row r="124" spans="1:22" x14ac:dyDescent="0.2">
      <c r="A124" s="35">
        <v>1</v>
      </c>
      <c r="B124" s="6">
        <v>340</v>
      </c>
      <c r="C124" s="6">
        <v>320</v>
      </c>
      <c r="D124" s="7" t="s">
        <v>63</v>
      </c>
      <c r="E124" s="7" t="s">
        <v>85</v>
      </c>
      <c r="F124" s="8">
        <v>1</v>
      </c>
      <c r="G124" s="8">
        <v>1</v>
      </c>
      <c r="H124" s="8">
        <v>1</v>
      </c>
      <c r="I124" s="8">
        <v>1</v>
      </c>
      <c r="J124" s="8">
        <v>1</v>
      </c>
      <c r="K124" s="9" t="s">
        <v>629</v>
      </c>
      <c r="L124" s="47" t="s">
        <v>142</v>
      </c>
      <c r="M124" s="17">
        <f t="shared" ref="M124:M134" si="64">IF(AND(ISNUMBER(B124),ISNUMBER(C124),B124&gt;0,C124&gt;0),A124*(B124*C124/1000000),0)</f>
        <v>0.10879999999999999</v>
      </c>
      <c r="N124" s="18">
        <f t="shared" ref="N124:N134" si="65">IF(AND(ISNUMBER(B124),B124&gt;0),A124*(((G124+H124)*B124+(I124+J124)*C124)/1000),0)</f>
        <v>1.32</v>
      </c>
      <c r="O124" s="19">
        <f>IF(E124="HERRAJE",IFERROR(_xlfn.XLOOKUP(D124,'⚙️ Configuración Costos'!$A$11:$A$20,'⚙️ Configuración Costos'!$B$11:$B$20),""),IFERROR(_xlfn.XLOOKUP(E124,'⚙️ Configuración Costos'!$A$5:$A$6,'⚙️ Configuración Costos'!$B$5:$B$6),""))</f>
        <v>332.85245901639348</v>
      </c>
      <c r="P124" s="19">
        <f t="shared" ref="P124:P134" si="66">IF(E124="HERRAJE",A124*O124,M124*O124)</f>
        <v>36.21434754098361</v>
      </c>
      <c r="Q124" s="19">
        <f>IF(E124="HERRAJE",0,IFERROR(_xlfn.XLOOKUP(E124,'⚙️ Configuración Costos'!$E$5:$E$6,'⚙️ Configuración Costos'!$F$5:$F$6),""))</f>
        <v>9.5</v>
      </c>
      <c r="R124" s="19">
        <f t="shared" ref="R124:R134" si="67">N124*Q124</f>
        <v>12.540000000000001</v>
      </c>
      <c r="S124" s="37">
        <f t="shared" ref="S124:S134" si="68">P124+R124</f>
        <v>48.754347540983609</v>
      </c>
      <c r="T124" s="94" t="str">
        <f t="shared" ref="T124:T134" si="69">IF(K124="","SIN ID MÓDULO",IF(E124="HERRAJE",IF(OR(O124="",O124&lt;=0),"SIN PRECIO HERRAJE","OK"),IF(OR(O124="",O124&lt;=0),"SIN PRECIO MATERIAL",IF(AND(N124&gt;0,OR(Q124="",Q124&lt;=0)),"SIN PRECIO CINTILLA","OK"))))</f>
        <v>OK</v>
      </c>
      <c r="U124" s="95" t="str">
        <f t="shared" ref="U124:U134" si="70">IF(T124="OK","",IF(T124="SIN PRECIO HERRAJE","Capturar precio: "&amp;D124,IF(T124="SIN PRECIO MATERIAL","Configurar material: "&amp;E124,IF(T124="SIN PRECIO CINTILLA","Configurar cintilla: "&amp;E124,IF(T124="SIN ID MÓDULO","Revisar ID del módulo","")))))</f>
        <v/>
      </c>
      <c r="V124" s="96">
        <f t="shared" ref="V124:V134" si="71">IF(T124="OK",0,IF(T124="",0,1))</f>
        <v>0</v>
      </c>
    </row>
    <row r="125" spans="1:22" x14ac:dyDescent="0.2">
      <c r="A125" s="35">
        <v>1</v>
      </c>
      <c r="B125" s="6">
        <v>340</v>
      </c>
      <c r="C125" s="6">
        <v>320</v>
      </c>
      <c r="D125" s="7" t="s">
        <v>66</v>
      </c>
      <c r="E125" s="7" t="s">
        <v>85</v>
      </c>
      <c r="F125" s="8">
        <v>1</v>
      </c>
      <c r="G125" s="8">
        <v>1</v>
      </c>
      <c r="H125" s="8">
        <v>1</v>
      </c>
      <c r="I125" s="8">
        <v>1</v>
      </c>
      <c r="J125" s="8">
        <v>1</v>
      </c>
      <c r="K125" s="9" t="s">
        <v>629</v>
      </c>
      <c r="L125" s="47" t="s">
        <v>143</v>
      </c>
      <c r="M125" s="17">
        <f t="shared" si="64"/>
        <v>0.10879999999999999</v>
      </c>
      <c r="N125" s="18">
        <f t="shared" si="65"/>
        <v>1.32</v>
      </c>
      <c r="O125" s="19">
        <f>IF(E125="HERRAJE",IFERROR(_xlfn.XLOOKUP(D125,'⚙️ Configuración Costos'!$A$11:$A$20,'⚙️ Configuración Costos'!$B$11:$B$20),""),IFERROR(_xlfn.XLOOKUP(E125,'⚙️ Configuración Costos'!$A$5:$A$6,'⚙️ Configuración Costos'!$B$5:$B$6),""))</f>
        <v>332.85245901639348</v>
      </c>
      <c r="P125" s="19">
        <f t="shared" si="66"/>
        <v>36.21434754098361</v>
      </c>
      <c r="Q125" s="19">
        <f>IF(E125="HERRAJE",0,IFERROR(_xlfn.XLOOKUP(E125,'⚙️ Configuración Costos'!$E$5:$E$6,'⚙️ Configuración Costos'!$F$5:$F$6),""))</f>
        <v>9.5</v>
      </c>
      <c r="R125" s="19">
        <f t="shared" si="67"/>
        <v>12.540000000000001</v>
      </c>
      <c r="S125" s="37">
        <f t="shared" si="68"/>
        <v>48.754347540983609</v>
      </c>
      <c r="T125" s="94" t="str">
        <f t="shared" si="69"/>
        <v>OK</v>
      </c>
      <c r="U125" s="95" t="str">
        <f t="shared" si="70"/>
        <v/>
      </c>
      <c r="V125" s="96">
        <f t="shared" si="71"/>
        <v>0</v>
      </c>
    </row>
    <row r="126" spans="1:22" x14ac:dyDescent="0.2">
      <c r="A126" s="35">
        <v>1</v>
      </c>
      <c r="B126" s="6">
        <v>309</v>
      </c>
      <c r="C126" s="13">
        <v>469</v>
      </c>
      <c r="D126" s="7" t="s">
        <v>68</v>
      </c>
      <c r="E126" s="7" t="s">
        <v>85</v>
      </c>
      <c r="F126" s="8">
        <v>1</v>
      </c>
      <c r="G126" s="8">
        <v>0</v>
      </c>
      <c r="H126" s="8">
        <v>0</v>
      </c>
      <c r="I126" s="8">
        <v>0</v>
      </c>
      <c r="J126" s="8">
        <v>0</v>
      </c>
      <c r="K126" s="9" t="s">
        <v>629</v>
      </c>
      <c r="L126" s="47" t="s">
        <v>630</v>
      </c>
      <c r="M126" s="17">
        <f t="shared" si="64"/>
        <v>0.14492099999999999</v>
      </c>
      <c r="N126" s="18">
        <f t="shared" si="65"/>
        <v>0</v>
      </c>
      <c r="O126" s="19">
        <f>IF(E126="HERRAJE",IFERROR(_xlfn.XLOOKUP(D126,'⚙️ Configuración Costos'!$A$11:$A$20,'⚙️ Configuración Costos'!$B$11:$B$20),""),IFERROR(_xlfn.XLOOKUP(E126,'⚙️ Configuración Costos'!$A$5:$A$6,'⚙️ Configuración Costos'!$B$5:$B$6),""))</f>
        <v>332.85245901639348</v>
      </c>
      <c r="P126" s="19">
        <f t="shared" si="66"/>
        <v>48.237311213114758</v>
      </c>
      <c r="Q126" s="19">
        <f>IF(E126="HERRAJE",0,IFERROR(_xlfn.XLOOKUP(E126,'⚙️ Configuración Costos'!$E$5:$E$6,'⚙️ Configuración Costos'!$F$5:$F$6),""))</f>
        <v>9.5</v>
      </c>
      <c r="R126" s="19">
        <f t="shared" si="67"/>
        <v>0</v>
      </c>
      <c r="S126" s="37">
        <f t="shared" si="68"/>
        <v>48.237311213114758</v>
      </c>
      <c r="T126" s="94" t="str">
        <f t="shared" si="69"/>
        <v>OK</v>
      </c>
      <c r="U126" s="95" t="str">
        <f t="shared" si="70"/>
        <v/>
      </c>
      <c r="V126" s="96">
        <f t="shared" si="71"/>
        <v>0</v>
      </c>
    </row>
    <row r="127" spans="1:22" x14ac:dyDescent="0.2">
      <c r="A127" s="34">
        <v>1</v>
      </c>
      <c r="B127" s="13">
        <v>469</v>
      </c>
      <c r="C127" s="13">
        <v>320</v>
      </c>
      <c r="D127" s="14" t="s">
        <v>70</v>
      </c>
      <c r="E127" s="14" t="s">
        <v>85</v>
      </c>
      <c r="F127" s="15">
        <v>1</v>
      </c>
      <c r="G127" s="15">
        <v>1</v>
      </c>
      <c r="H127" s="15">
        <v>1</v>
      </c>
      <c r="I127" s="15">
        <v>0</v>
      </c>
      <c r="J127" s="15">
        <v>0</v>
      </c>
      <c r="K127" s="16" t="s">
        <v>629</v>
      </c>
      <c r="L127" s="46" t="s">
        <v>114</v>
      </c>
      <c r="M127" s="17">
        <f t="shared" si="64"/>
        <v>0.15007999999999999</v>
      </c>
      <c r="N127" s="18">
        <f t="shared" si="65"/>
        <v>0.93799999999999994</v>
      </c>
      <c r="O127" s="19">
        <f>IF(E127="HERRAJE",IFERROR(_xlfn.XLOOKUP(D127,'⚙️ Configuración Costos'!$A$11:$A$20,'⚙️ Configuración Costos'!$B$11:$B$20),""),IFERROR(_xlfn.XLOOKUP(E127,'⚙️ Configuración Costos'!$A$5:$A$6,'⚙️ Configuración Costos'!$B$5:$B$6),""))</f>
        <v>332.85245901639348</v>
      </c>
      <c r="P127" s="19">
        <f t="shared" si="66"/>
        <v>49.954497049180333</v>
      </c>
      <c r="Q127" s="19">
        <f>IF(E127="HERRAJE",0,IFERROR(_xlfn.XLOOKUP(E127,'⚙️ Configuración Costos'!$E$5:$E$6,'⚙️ Configuración Costos'!$F$5:$F$6),""))</f>
        <v>9.5</v>
      </c>
      <c r="R127" s="19">
        <f t="shared" si="67"/>
        <v>8.9109999999999996</v>
      </c>
      <c r="S127" s="37">
        <f t="shared" si="68"/>
        <v>58.865497049180334</v>
      </c>
      <c r="T127" s="94" t="str">
        <f t="shared" si="69"/>
        <v>OK</v>
      </c>
      <c r="U127" s="95" t="str">
        <f t="shared" si="70"/>
        <v/>
      </c>
      <c r="V127" s="96">
        <f t="shared" si="71"/>
        <v>0</v>
      </c>
    </row>
    <row r="128" spans="1:22" x14ac:dyDescent="0.2">
      <c r="A128" s="35">
        <v>1</v>
      </c>
      <c r="B128" s="6">
        <v>469</v>
      </c>
      <c r="C128" s="6">
        <v>320</v>
      </c>
      <c r="D128" s="7" t="s">
        <v>72</v>
      </c>
      <c r="E128" s="7" t="s">
        <v>85</v>
      </c>
      <c r="F128" s="8">
        <v>1</v>
      </c>
      <c r="G128" s="8">
        <v>1</v>
      </c>
      <c r="H128" s="8">
        <v>1</v>
      </c>
      <c r="I128" s="8">
        <v>0</v>
      </c>
      <c r="J128" s="8">
        <v>0</v>
      </c>
      <c r="K128" s="9" t="s">
        <v>629</v>
      </c>
      <c r="L128" s="47" t="s">
        <v>115</v>
      </c>
      <c r="M128" s="17">
        <f t="shared" si="64"/>
        <v>0.15007999999999999</v>
      </c>
      <c r="N128" s="18">
        <f t="shared" si="65"/>
        <v>0.93799999999999994</v>
      </c>
      <c r="O128" s="19">
        <f>IF(E128="HERRAJE",IFERROR(_xlfn.XLOOKUP(D128,'⚙️ Configuración Costos'!$A$11:$A$20,'⚙️ Configuración Costos'!$B$11:$B$20),""),IFERROR(_xlfn.XLOOKUP(E128,'⚙️ Configuración Costos'!$A$5:$A$6,'⚙️ Configuración Costos'!$B$5:$B$6),""))</f>
        <v>332.85245901639348</v>
      </c>
      <c r="P128" s="19">
        <f t="shared" si="66"/>
        <v>49.954497049180333</v>
      </c>
      <c r="Q128" s="19">
        <f>IF(E128="HERRAJE",0,IFERROR(_xlfn.XLOOKUP(E128,'⚙️ Configuración Costos'!$E$5:$E$6,'⚙️ Configuración Costos'!$F$5:$F$6),""))</f>
        <v>9.5</v>
      </c>
      <c r="R128" s="19">
        <f t="shared" si="67"/>
        <v>8.9109999999999996</v>
      </c>
      <c r="S128" s="37">
        <f t="shared" si="68"/>
        <v>58.865497049180334</v>
      </c>
      <c r="T128" s="94" t="str">
        <f t="shared" si="69"/>
        <v>OK</v>
      </c>
      <c r="U128" s="95" t="str">
        <f t="shared" si="70"/>
        <v/>
      </c>
      <c r="V128" s="96">
        <f t="shared" si="71"/>
        <v>0</v>
      </c>
    </row>
    <row r="129" spans="1:22" x14ac:dyDescent="0.2">
      <c r="A129" s="35">
        <v>1</v>
      </c>
      <c r="B129" s="6">
        <v>497</v>
      </c>
      <c r="C129" s="6">
        <v>337</v>
      </c>
      <c r="D129" s="7" t="s">
        <v>84</v>
      </c>
      <c r="E129" s="7" t="s">
        <v>85</v>
      </c>
      <c r="F129" s="8">
        <v>1</v>
      </c>
      <c r="G129" s="8">
        <v>1</v>
      </c>
      <c r="H129" s="8">
        <v>1</v>
      </c>
      <c r="I129" s="8">
        <v>1</v>
      </c>
      <c r="J129" s="8">
        <v>1</v>
      </c>
      <c r="K129" s="9" t="s">
        <v>629</v>
      </c>
      <c r="L129" s="47" t="s">
        <v>631</v>
      </c>
      <c r="M129" s="17">
        <f t="shared" si="64"/>
        <v>0.167489</v>
      </c>
      <c r="N129" s="18">
        <f t="shared" si="65"/>
        <v>1.6679999999999999</v>
      </c>
      <c r="O129" s="19">
        <f>IF(E129="HERRAJE",IFERROR(_xlfn.XLOOKUP(D129,'⚙️ Configuración Costos'!$A$11:$A$20,'⚙️ Configuración Costos'!$B$11:$B$20),""),IFERROR(_xlfn.XLOOKUP(E129,'⚙️ Configuración Costos'!$A$5:$A$6,'⚙️ Configuración Costos'!$B$5:$B$6),""))</f>
        <v>332.85245901639348</v>
      </c>
      <c r="P129" s="19">
        <f t="shared" si="66"/>
        <v>55.749125508196727</v>
      </c>
      <c r="Q129" s="19">
        <f>IF(E129="HERRAJE",0,IFERROR(_xlfn.XLOOKUP(E129,'⚙️ Configuración Costos'!$E$5:$E$6,'⚙️ Configuración Costos'!$F$5:$F$6),""))</f>
        <v>9.5</v>
      </c>
      <c r="R129" s="19">
        <f t="shared" si="67"/>
        <v>15.846</v>
      </c>
      <c r="S129" s="37">
        <f t="shared" si="68"/>
        <v>71.59512550819673</v>
      </c>
      <c r="T129" s="94" t="str">
        <f t="shared" si="69"/>
        <v>OK</v>
      </c>
      <c r="U129" s="95" t="str">
        <f t="shared" si="70"/>
        <v/>
      </c>
      <c r="V129" s="96">
        <f t="shared" si="71"/>
        <v>0</v>
      </c>
    </row>
    <row r="130" spans="1:22" x14ac:dyDescent="0.2">
      <c r="A130" s="35">
        <v>2</v>
      </c>
      <c r="B130" s="6">
        <v>0</v>
      </c>
      <c r="C130" s="6">
        <v>0</v>
      </c>
      <c r="D130" s="7" t="s">
        <v>90</v>
      </c>
      <c r="E130" s="7" t="s">
        <v>91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9" t="s">
        <v>629</v>
      </c>
      <c r="L130" s="47" t="s">
        <v>92</v>
      </c>
      <c r="M130" s="17">
        <f t="shared" si="64"/>
        <v>0</v>
      </c>
      <c r="N130" s="18">
        <f t="shared" si="65"/>
        <v>0</v>
      </c>
      <c r="O130" s="19">
        <f>IF(E130="HERRAJE",IFERROR(_xlfn.XLOOKUP(D130,'⚙️ Configuración Costos'!$A$11:$A$20,'⚙️ Configuración Costos'!$B$11:$B$20),""),IFERROR(_xlfn.XLOOKUP(E130,'⚙️ Configuración Costos'!$A$5:$A$6,'⚙️ Configuración Costos'!$B$5:$B$6),""))</f>
        <v>20</v>
      </c>
      <c r="P130" s="19">
        <f t="shared" si="66"/>
        <v>40</v>
      </c>
      <c r="Q130" s="19">
        <f>IF(E130="HERRAJE",0,IFERROR(_xlfn.XLOOKUP(E130,'⚙️ Configuración Costos'!$E$5:$E$6,'⚙️ Configuración Costos'!$F$5:$F$6),""))</f>
        <v>0</v>
      </c>
      <c r="R130" s="19">
        <f t="shared" si="67"/>
        <v>0</v>
      </c>
      <c r="S130" s="37">
        <f t="shared" si="68"/>
        <v>40</v>
      </c>
      <c r="T130" s="94" t="str">
        <f t="shared" si="69"/>
        <v>OK</v>
      </c>
      <c r="U130" s="95" t="str">
        <f t="shared" si="70"/>
        <v/>
      </c>
      <c r="V130" s="96">
        <f t="shared" si="71"/>
        <v>0</v>
      </c>
    </row>
    <row r="131" spans="1:22" x14ac:dyDescent="0.2">
      <c r="A131" s="35">
        <v>1</v>
      </c>
      <c r="B131" s="6">
        <v>0</v>
      </c>
      <c r="C131" s="6">
        <v>0</v>
      </c>
      <c r="D131" s="7" t="s">
        <v>146</v>
      </c>
      <c r="E131" s="7" t="s">
        <v>91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9" t="s">
        <v>629</v>
      </c>
      <c r="L131" s="47" t="s">
        <v>147</v>
      </c>
      <c r="M131" s="17">
        <f t="shared" si="64"/>
        <v>0</v>
      </c>
      <c r="N131" s="18">
        <f t="shared" si="65"/>
        <v>0</v>
      </c>
      <c r="O131" s="19">
        <f>IF(E131="HERRAJE",IFERROR(_xlfn.XLOOKUP(D131,'⚙️ Configuración Costos'!$A$11:$A$20,'⚙️ Configuración Costos'!$B$11:$B$20),""),IFERROR(_xlfn.XLOOKUP(E131,'⚙️ Configuración Costos'!$A$5:$A$6,'⚙️ Configuración Costos'!$B$5:$B$6),""))</f>
        <v>40</v>
      </c>
      <c r="P131" s="19">
        <f t="shared" si="66"/>
        <v>40</v>
      </c>
      <c r="Q131" s="19">
        <f>IF(E131="HERRAJE",0,IFERROR(_xlfn.XLOOKUP(E131,'⚙️ Configuración Costos'!$E$5:$E$6,'⚙️ Configuración Costos'!$F$5:$F$6),""))</f>
        <v>0</v>
      </c>
      <c r="R131" s="19">
        <f t="shared" si="67"/>
        <v>0</v>
      </c>
      <c r="S131" s="37">
        <f t="shared" si="68"/>
        <v>40</v>
      </c>
      <c r="T131" s="94" t="str">
        <f t="shared" si="69"/>
        <v>OK</v>
      </c>
      <c r="U131" s="95" t="str">
        <f t="shared" si="70"/>
        <v/>
      </c>
      <c r="V131" s="96">
        <f t="shared" si="71"/>
        <v>0</v>
      </c>
    </row>
    <row r="132" spans="1:22" x14ac:dyDescent="0.2">
      <c r="A132" s="35">
        <v>1</v>
      </c>
      <c r="B132" s="6">
        <v>0</v>
      </c>
      <c r="C132" s="6">
        <v>0</v>
      </c>
      <c r="D132" s="7" t="s">
        <v>93</v>
      </c>
      <c r="E132" s="7" t="s">
        <v>91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9" t="s">
        <v>629</v>
      </c>
      <c r="L132" s="47" t="s">
        <v>94</v>
      </c>
      <c r="M132" s="17">
        <f t="shared" si="64"/>
        <v>0</v>
      </c>
      <c r="N132" s="18">
        <f t="shared" si="65"/>
        <v>0</v>
      </c>
      <c r="O132" s="19">
        <f>IF(E132="HERRAJE",IFERROR(_xlfn.XLOOKUP(D132,'⚙️ Configuración Costos'!$A$11:$A$20,'⚙️ Configuración Costos'!$B$11:$B$20),""),IFERROR(_xlfn.XLOOKUP(E132,'⚙️ Configuración Costos'!$A$5:$A$6,'⚙️ Configuración Costos'!$B$5:$B$6),""))</f>
        <v>15</v>
      </c>
      <c r="P132" s="19">
        <f t="shared" si="66"/>
        <v>15</v>
      </c>
      <c r="Q132" s="19">
        <f>IF(E132="HERRAJE",0,IFERROR(_xlfn.XLOOKUP(E132,'⚙️ Configuración Costos'!$E$5:$E$6,'⚙️ Configuración Costos'!$F$5:$F$6),""))</f>
        <v>0</v>
      </c>
      <c r="R132" s="19">
        <f t="shared" si="67"/>
        <v>0</v>
      </c>
      <c r="S132" s="37">
        <f t="shared" si="68"/>
        <v>15</v>
      </c>
      <c r="T132" s="94" t="str">
        <f t="shared" si="69"/>
        <v>OK</v>
      </c>
      <c r="U132" s="95" t="str">
        <f t="shared" si="70"/>
        <v/>
      </c>
      <c r="V132" s="96">
        <f t="shared" si="71"/>
        <v>0</v>
      </c>
    </row>
    <row r="133" spans="1:22" x14ac:dyDescent="0.2">
      <c r="A133" s="36">
        <f>4*(IF(LEFT(D124,4)="Base",A124,0)+IF(LEFT(D124,4)="Piso",A124,0)+IF(LEFT(D124,5)="Techo",A124,0)+IF(LEFT(D125,4)="Base",A125,0)+IF(LEFT(D125,4)="Piso",A125,0)+IF(LEFT(D125,5)="Techo",A125,0)+IF(LEFT(D126,4)="Base",A126,0)+IF(LEFT(D126,4)="Piso",A126,0)+IF(LEFT(D126,5)="Techo",A126,0)+IF(LEFT(D127,4)="Base",A127,0)+IF(LEFT(D127,4)="Piso",A127,0)+IF(LEFT(D127,5)="Techo",A127,0)+IF(LEFT(D128,4)="Base",A128,0)+IF(LEFT(D128,4)="Piso",A128,0)+IF(LEFT(D128,5)="Techo",A128,0)+IF(LEFT(D129,4)="Base",A129,0)+IF(LEFT(D129,4)="Piso",A129,0)+IF(LEFT(D129,5)="Techo",A129,0))+10*(IF(LEFT(D124,8)="Respaldo",A124,0)+IF(LEFT(D125,8)="Respaldo",A125,0)+IF(LEFT(D126,8)="Respaldo",A126,0)+IF(LEFT(D127,8)="Respaldo",A127,0)+IF(LEFT(D128,8)="Respaldo",A128,0)+IF(LEFT(D129,8)="Respaldo",A129,0))+2*(IF(LEFT(D124,8)="Manguete",A124,0)+IF(LEFT(D125,8)="Manguete",A125,0)+IF(LEFT(D126,8)="Manguete",A126,0)+IF(LEFT(D127,8)="Manguete",A127,0)+IF(LEFT(D128,8)="Manguete",A128,0)+IF(LEFT(D129,8)="Manguete",A129,0))</f>
        <v>18</v>
      </c>
      <c r="B133" s="20">
        <v>0</v>
      </c>
      <c r="C133" s="20">
        <v>0</v>
      </c>
      <c r="D133" s="21" t="s">
        <v>400</v>
      </c>
      <c r="E133" s="21" t="s">
        <v>91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3" t="s">
        <v>629</v>
      </c>
      <c r="L133" s="48" t="s">
        <v>360</v>
      </c>
      <c r="M133" s="17">
        <f t="shared" si="64"/>
        <v>0</v>
      </c>
      <c r="N133" s="18">
        <f t="shared" si="65"/>
        <v>0</v>
      </c>
      <c r="O133" s="19">
        <f>IF(E133="HERRAJE",IFERROR(_xlfn.XLOOKUP(D133,'⚙️ Configuración Costos'!$A$11:$A$20,'⚙️ Configuración Costos'!$B$11:$B$20),""),IFERROR(_xlfn.XLOOKUP(E133,'⚙️ Configuración Costos'!$A$5:$A$6,'⚙️ Configuración Costos'!$B$5:$B$6),""))</f>
        <v>3</v>
      </c>
      <c r="P133" s="19">
        <f t="shared" si="66"/>
        <v>54</v>
      </c>
      <c r="Q133" s="19">
        <f>IF(E133="HERRAJE",0,IFERROR(_xlfn.XLOOKUP(E133,'⚙️ Configuración Costos'!$E$5:$E$6,'⚙️ Configuración Costos'!$F$5:$F$6),""))</f>
        <v>0</v>
      </c>
      <c r="R133" s="19">
        <f t="shared" si="67"/>
        <v>0</v>
      </c>
      <c r="S133" s="37">
        <f t="shared" si="68"/>
        <v>54</v>
      </c>
      <c r="T133" s="94" t="str">
        <f t="shared" si="69"/>
        <v>OK</v>
      </c>
      <c r="U133" s="95" t="str">
        <f t="shared" si="70"/>
        <v/>
      </c>
      <c r="V133" s="96">
        <f t="shared" si="71"/>
        <v>0</v>
      </c>
    </row>
    <row r="134" spans="1:22" ht="16" thickBot="1" x14ac:dyDescent="0.25">
      <c r="A134" s="36">
        <f>6*(IF(LEFT(D124,4)="Base",A124,0)+IF(LEFT(D124,4)="Piso",A124,0)+IF(LEFT(D124,5)="Techo",A124,0)+IF(LEFT(D125,4)="Base",A125,0)+IF(LEFT(D125,4)="Piso",A125,0)+IF(LEFT(D125,5)="Techo",A125,0)+IF(LEFT(D126,4)="Base",A126,0)+IF(LEFT(D126,4)="Piso",A126,0)+IF(LEFT(D126,5)="Techo",A126,0)+IF(LEFT(D127,4)="Base",A127,0)+IF(LEFT(D127,4)="Piso",A127,0)+IF(LEFT(D127,5)="Techo",A127,0)+IF(LEFT(D128,4)="Base",A128,0)+IF(LEFT(D128,4)="Piso",A128,0)+IF(LEFT(D128,5)="Techo",A128,0)+IF(LEFT(D129,4)="Base",A129,0)+IF(LEFT(D129,4)="Piso",A129,0)+IF(LEFT(D129,5)="Techo",A129,0))+10*(IF(LEFT(D124,8)="Respaldo",A124,0)+IF(LEFT(D125,8)="Respaldo",A125,0)+IF(LEFT(D126,8)="Respaldo",A126,0)+IF(LEFT(D127,8)="Respaldo",A127,0)+IF(LEFT(D128,8)="Respaldo",A128,0)+IF(LEFT(D129,8)="Respaldo",A129,0))+4*(IF(LEFT(D124,8)="Manguete",A124,0)+IF(LEFT(D125,8)="Manguete",A125,0)+IF(LEFT(D126,8)="Manguete",A126,0)+IF(LEFT(D127,8)="Manguete",A127,0)+IF(LEFT(D128,8)="Manguete",A128,0)+IF(LEFT(D129,8)="Manguete",A129,0))</f>
        <v>22</v>
      </c>
      <c r="B134" s="20">
        <v>0</v>
      </c>
      <c r="C134" s="20">
        <v>0</v>
      </c>
      <c r="D134" s="21" t="s">
        <v>468</v>
      </c>
      <c r="E134" s="21" t="s">
        <v>91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3" t="s">
        <v>629</v>
      </c>
      <c r="L134" s="48" t="s">
        <v>361</v>
      </c>
      <c r="M134" s="17">
        <f t="shared" si="64"/>
        <v>0</v>
      </c>
      <c r="N134" s="18">
        <f t="shared" si="65"/>
        <v>0</v>
      </c>
      <c r="O134" s="19">
        <f>IF(E134="HERRAJE",IFERROR(_xlfn.XLOOKUP(D134,'⚙️ Configuración Costos'!$A$11:$A$20,'⚙️ Configuración Costos'!$B$11:$B$20),""),IFERROR(_xlfn.XLOOKUP(E134,'⚙️ Configuración Costos'!$A$5:$A$6,'⚙️ Configuración Costos'!$B$5:$B$6),""))</f>
        <v>1</v>
      </c>
      <c r="P134" s="19">
        <f t="shared" si="66"/>
        <v>22</v>
      </c>
      <c r="Q134" s="19">
        <f>IF(E134="HERRAJE",0,IFERROR(_xlfn.XLOOKUP(E134,'⚙️ Configuración Costos'!$E$5:$E$6,'⚙️ Configuración Costos'!$F$5:$F$6),""))</f>
        <v>0</v>
      </c>
      <c r="R134" s="19">
        <f t="shared" si="67"/>
        <v>0</v>
      </c>
      <c r="S134" s="37">
        <f t="shared" si="68"/>
        <v>22</v>
      </c>
      <c r="T134" s="94" t="str">
        <f t="shared" si="69"/>
        <v>OK</v>
      </c>
      <c r="U134" s="95" t="str">
        <f t="shared" si="70"/>
        <v/>
      </c>
      <c r="V134" s="96">
        <f t="shared" si="71"/>
        <v>0</v>
      </c>
    </row>
    <row r="135" spans="1:22" ht="16" thickTop="1" x14ac:dyDescent="0.2">
      <c r="A135" s="27" t="s">
        <v>99</v>
      </c>
      <c r="B135" s="27"/>
      <c r="C135" s="27"/>
      <c r="D135" s="28"/>
      <c r="E135" s="28"/>
      <c r="F135" s="29"/>
      <c r="G135" s="29"/>
      <c r="H135" s="29"/>
      <c r="I135" s="29"/>
      <c r="J135" s="29"/>
      <c r="K135" s="30"/>
      <c r="L135" s="49"/>
      <c r="M135" s="31">
        <f>SUM(M124:M134)</f>
        <v>0.83016999999999996</v>
      </c>
      <c r="N135" s="32">
        <f>SUM(N124:N134)</f>
        <v>6.1840000000000002</v>
      </c>
      <c r="O135" s="33"/>
      <c r="P135" s="33">
        <f>SUM(P124:P134)</f>
        <v>447.32412590163938</v>
      </c>
      <c r="Q135" s="33"/>
      <c r="R135" s="33">
        <f>SUM(R124:R134)</f>
        <v>58.748000000000005</v>
      </c>
      <c r="S135" s="33">
        <f>SUM(S124:S134)</f>
        <v>506.07212590163931</v>
      </c>
      <c r="T135" s="97"/>
      <c r="U135" s="98"/>
      <c r="V135" s="99"/>
    </row>
    <row r="136" spans="1:22" x14ac:dyDescent="0.2">
      <c r="A136" s="186" t="s">
        <v>141</v>
      </c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8"/>
      <c r="T136" s="97"/>
      <c r="U136" s="98"/>
      <c r="V136" s="99"/>
    </row>
    <row r="137" spans="1:22" x14ac:dyDescent="0.2">
      <c r="A137" s="35">
        <v>1</v>
      </c>
      <c r="B137" s="6">
        <v>340</v>
      </c>
      <c r="C137" s="6">
        <v>320</v>
      </c>
      <c r="D137" s="7" t="s">
        <v>63</v>
      </c>
      <c r="E137" s="7" t="s">
        <v>85</v>
      </c>
      <c r="F137" s="8">
        <v>1</v>
      </c>
      <c r="G137" s="8">
        <v>1</v>
      </c>
      <c r="H137" s="8">
        <v>1</v>
      </c>
      <c r="I137" s="8">
        <v>1</v>
      </c>
      <c r="J137" s="8">
        <v>1</v>
      </c>
      <c r="K137" s="9" t="s">
        <v>11</v>
      </c>
      <c r="L137" s="47" t="s">
        <v>142</v>
      </c>
      <c r="M137" s="17">
        <f t="shared" ref="M137:M147" si="72">IF(AND(ISNUMBER(B137),ISNUMBER(C137),B137&gt;0,C137&gt;0),A137*(B137*C137/1000000),0)</f>
        <v>0.10879999999999999</v>
      </c>
      <c r="N137" s="18">
        <f t="shared" ref="N137:N147" si="73">IF(AND(ISNUMBER(B137),B137&gt;0),A137*(((G137+H137)*B137+(I137+J137)*C137)/1000),0)</f>
        <v>1.32</v>
      </c>
      <c r="O137" s="19">
        <f>IF(E137="HERRAJE",IFERROR(_xlfn.XLOOKUP(D137,'⚙️ Configuración Costos'!$A$11:$A$20,'⚙️ Configuración Costos'!$B$11:$B$20),""),IFERROR(_xlfn.XLOOKUP(E137,'⚙️ Configuración Costos'!$A$5:$A$6,'⚙️ Configuración Costos'!$B$5:$B$6),""))</f>
        <v>332.85245901639348</v>
      </c>
      <c r="P137" s="19">
        <f t="shared" ref="P137:P147" si="74">IF(E137="HERRAJE",A137*O137,M137*O137)</f>
        <v>36.21434754098361</v>
      </c>
      <c r="Q137" s="19">
        <f>IF(E137="HERRAJE",0,IFERROR(_xlfn.XLOOKUP(E137,'⚙️ Configuración Costos'!$E$5:$E$6,'⚙️ Configuración Costos'!$F$5:$F$6),""))</f>
        <v>9.5</v>
      </c>
      <c r="R137" s="19">
        <f t="shared" ref="R137:R147" si="75">N137*Q137</f>
        <v>12.540000000000001</v>
      </c>
      <c r="S137" s="37">
        <f t="shared" ref="S137:S147" si="76">P137+R137</f>
        <v>48.754347540983609</v>
      </c>
      <c r="T137" s="94" t="str">
        <f t="shared" ref="T137:T147" si="77">IF(K137="","SIN ID MÓDULO",IF(E137="HERRAJE",IF(OR(O137="",O137&lt;=0),"SIN PRECIO HERRAJE","OK"),IF(OR(O137="",O137&lt;=0),"SIN PRECIO MATERIAL",IF(AND(N137&gt;0,OR(Q137="",Q137&lt;=0)),"SIN PRECIO CINTILLA","OK"))))</f>
        <v>OK</v>
      </c>
      <c r="U137" s="95" t="str">
        <f t="shared" ref="U137:U147" si="78">IF(T137="OK","",IF(T137="SIN PRECIO HERRAJE","Capturar precio: "&amp;D137,IF(T137="SIN PRECIO MATERIAL","Configurar material: "&amp;E137,IF(T137="SIN PRECIO CINTILLA","Configurar cintilla: "&amp;E137,IF(T137="SIN ID MÓDULO","Revisar ID del módulo","")))))</f>
        <v/>
      </c>
      <c r="V137" s="96">
        <f t="shared" ref="V137:V147" si="79">IF(T137="OK",0,IF(T137="",0,1))</f>
        <v>0</v>
      </c>
    </row>
    <row r="138" spans="1:22" x14ac:dyDescent="0.2">
      <c r="A138" s="35">
        <v>1</v>
      </c>
      <c r="B138" s="6">
        <v>340</v>
      </c>
      <c r="C138" s="6">
        <v>320</v>
      </c>
      <c r="D138" s="7" t="s">
        <v>66</v>
      </c>
      <c r="E138" s="7" t="s">
        <v>85</v>
      </c>
      <c r="F138" s="8">
        <v>1</v>
      </c>
      <c r="G138" s="8">
        <v>1</v>
      </c>
      <c r="H138" s="8">
        <v>1</v>
      </c>
      <c r="I138" s="8">
        <v>1</v>
      </c>
      <c r="J138" s="8">
        <v>1</v>
      </c>
      <c r="K138" s="9" t="s">
        <v>11</v>
      </c>
      <c r="L138" s="47" t="s">
        <v>143</v>
      </c>
      <c r="M138" s="17">
        <f t="shared" si="72"/>
        <v>0.10879999999999999</v>
      </c>
      <c r="N138" s="18">
        <f t="shared" si="73"/>
        <v>1.32</v>
      </c>
      <c r="O138" s="19">
        <f>IF(E138="HERRAJE",IFERROR(_xlfn.XLOOKUP(D138,'⚙️ Configuración Costos'!$A$11:$A$20,'⚙️ Configuración Costos'!$B$11:$B$20),""),IFERROR(_xlfn.XLOOKUP(E138,'⚙️ Configuración Costos'!$A$5:$A$6,'⚙️ Configuración Costos'!$B$5:$B$6),""))</f>
        <v>332.85245901639348</v>
      </c>
      <c r="P138" s="19">
        <f t="shared" si="74"/>
        <v>36.21434754098361</v>
      </c>
      <c r="Q138" s="19">
        <f>IF(E138="HERRAJE",0,IFERROR(_xlfn.XLOOKUP(E138,'⚙️ Configuración Costos'!$E$5:$E$6,'⚙️ Configuración Costos'!$F$5:$F$6),""))</f>
        <v>9.5</v>
      </c>
      <c r="R138" s="19">
        <f t="shared" si="75"/>
        <v>12.540000000000001</v>
      </c>
      <c r="S138" s="37">
        <f t="shared" si="76"/>
        <v>48.754347540983609</v>
      </c>
      <c r="T138" s="94" t="str">
        <f t="shared" si="77"/>
        <v>OK</v>
      </c>
      <c r="U138" s="95" t="str">
        <f t="shared" si="78"/>
        <v/>
      </c>
      <c r="V138" s="96">
        <f t="shared" si="79"/>
        <v>0</v>
      </c>
    </row>
    <row r="139" spans="1:22" x14ac:dyDescent="0.2">
      <c r="A139" s="35">
        <v>1</v>
      </c>
      <c r="B139" s="6">
        <v>309</v>
      </c>
      <c r="C139" s="13">
        <v>569</v>
      </c>
      <c r="D139" s="7" t="s">
        <v>68</v>
      </c>
      <c r="E139" s="7" t="s">
        <v>85</v>
      </c>
      <c r="F139" s="8">
        <v>1</v>
      </c>
      <c r="G139" s="8">
        <v>0</v>
      </c>
      <c r="H139" s="8">
        <v>0</v>
      </c>
      <c r="I139" s="8">
        <v>0</v>
      </c>
      <c r="J139" s="8">
        <v>0</v>
      </c>
      <c r="K139" s="9" t="s">
        <v>11</v>
      </c>
      <c r="L139" s="47" t="s">
        <v>144</v>
      </c>
      <c r="M139" s="17">
        <f t="shared" si="72"/>
        <v>0.17582100000000001</v>
      </c>
      <c r="N139" s="18">
        <f t="shared" si="73"/>
        <v>0</v>
      </c>
      <c r="O139" s="19">
        <f>IF(E139="HERRAJE",IFERROR(_xlfn.XLOOKUP(D139,'⚙️ Configuración Costos'!$A$11:$A$20,'⚙️ Configuración Costos'!$B$11:$B$20),""),IFERROR(_xlfn.XLOOKUP(E139,'⚙️ Configuración Costos'!$A$5:$A$6,'⚙️ Configuración Costos'!$B$5:$B$6),""))</f>
        <v>332.85245901639348</v>
      </c>
      <c r="P139" s="19">
        <f t="shared" si="74"/>
        <v>58.522452196721318</v>
      </c>
      <c r="Q139" s="19">
        <f>IF(E139="HERRAJE",0,IFERROR(_xlfn.XLOOKUP(E139,'⚙️ Configuración Costos'!$E$5:$E$6,'⚙️ Configuración Costos'!$F$5:$F$6),""))</f>
        <v>9.5</v>
      </c>
      <c r="R139" s="19">
        <f t="shared" si="75"/>
        <v>0</v>
      </c>
      <c r="S139" s="37">
        <f t="shared" si="76"/>
        <v>58.522452196721318</v>
      </c>
      <c r="T139" s="94" t="str">
        <f t="shared" si="77"/>
        <v>OK</v>
      </c>
      <c r="U139" s="95" t="str">
        <f t="shared" si="78"/>
        <v/>
      </c>
      <c r="V139" s="96">
        <f t="shared" si="79"/>
        <v>0</v>
      </c>
    </row>
    <row r="140" spans="1:22" x14ac:dyDescent="0.2">
      <c r="A140" s="34">
        <v>1</v>
      </c>
      <c r="B140" s="13">
        <v>569</v>
      </c>
      <c r="C140" s="13">
        <v>320</v>
      </c>
      <c r="D140" s="14" t="s">
        <v>70</v>
      </c>
      <c r="E140" s="14" t="s">
        <v>85</v>
      </c>
      <c r="F140" s="15">
        <v>1</v>
      </c>
      <c r="G140" s="15">
        <v>1</v>
      </c>
      <c r="H140" s="15">
        <v>1</v>
      </c>
      <c r="I140" s="15">
        <v>0</v>
      </c>
      <c r="J140" s="15">
        <v>0</v>
      </c>
      <c r="K140" s="16" t="s">
        <v>11</v>
      </c>
      <c r="L140" s="46" t="s">
        <v>120</v>
      </c>
      <c r="M140" s="17">
        <f t="shared" si="72"/>
        <v>0.18207999999999999</v>
      </c>
      <c r="N140" s="18">
        <f t="shared" si="73"/>
        <v>1.1379999999999999</v>
      </c>
      <c r="O140" s="19">
        <f>IF(E140="HERRAJE",IFERROR(_xlfn.XLOOKUP(D140,'⚙️ Configuración Costos'!$A$11:$A$20,'⚙️ Configuración Costos'!$B$11:$B$20),""),IFERROR(_xlfn.XLOOKUP(E140,'⚙️ Configuración Costos'!$A$5:$A$6,'⚙️ Configuración Costos'!$B$5:$B$6),""))</f>
        <v>332.85245901639348</v>
      </c>
      <c r="P140" s="19">
        <f t="shared" si="74"/>
        <v>60.605775737704924</v>
      </c>
      <c r="Q140" s="19">
        <f>IF(E140="HERRAJE",0,IFERROR(_xlfn.XLOOKUP(E140,'⚙️ Configuración Costos'!$E$5:$E$6,'⚙️ Configuración Costos'!$F$5:$F$6),""))</f>
        <v>9.5</v>
      </c>
      <c r="R140" s="19">
        <f t="shared" si="75"/>
        <v>10.811</v>
      </c>
      <c r="S140" s="37">
        <f t="shared" si="76"/>
        <v>71.416775737704924</v>
      </c>
      <c r="T140" s="94" t="str">
        <f t="shared" si="77"/>
        <v>OK</v>
      </c>
      <c r="U140" s="95" t="str">
        <f t="shared" si="78"/>
        <v/>
      </c>
      <c r="V140" s="96">
        <f t="shared" si="79"/>
        <v>0</v>
      </c>
    </row>
    <row r="141" spans="1:22" x14ac:dyDescent="0.2">
      <c r="A141" s="35">
        <v>1</v>
      </c>
      <c r="B141" s="6">
        <v>569</v>
      </c>
      <c r="C141" s="6">
        <v>320</v>
      </c>
      <c r="D141" s="7" t="s">
        <v>72</v>
      </c>
      <c r="E141" s="7" t="s">
        <v>85</v>
      </c>
      <c r="F141" s="8">
        <v>1</v>
      </c>
      <c r="G141" s="8">
        <v>1</v>
      </c>
      <c r="H141" s="8">
        <v>1</v>
      </c>
      <c r="I141" s="8">
        <v>0</v>
      </c>
      <c r="J141" s="8">
        <v>0</v>
      </c>
      <c r="K141" s="9" t="s">
        <v>11</v>
      </c>
      <c r="L141" s="47" t="s">
        <v>121</v>
      </c>
      <c r="M141" s="17">
        <f t="shared" si="72"/>
        <v>0.18207999999999999</v>
      </c>
      <c r="N141" s="18">
        <f t="shared" si="73"/>
        <v>1.1379999999999999</v>
      </c>
      <c r="O141" s="19">
        <f>IF(E141="HERRAJE",IFERROR(_xlfn.XLOOKUP(D141,'⚙️ Configuración Costos'!$A$11:$A$20,'⚙️ Configuración Costos'!$B$11:$B$20),""),IFERROR(_xlfn.XLOOKUP(E141,'⚙️ Configuración Costos'!$A$5:$A$6,'⚙️ Configuración Costos'!$B$5:$B$6),""))</f>
        <v>332.85245901639348</v>
      </c>
      <c r="P141" s="19">
        <f t="shared" si="74"/>
        <v>60.605775737704924</v>
      </c>
      <c r="Q141" s="19">
        <f>IF(E141="HERRAJE",0,IFERROR(_xlfn.XLOOKUP(E141,'⚙️ Configuración Costos'!$E$5:$E$6,'⚙️ Configuración Costos'!$F$5:$F$6),""))</f>
        <v>9.5</v>
      </c>
      <c r="R141" s="19">
        <f t="shared" si="75"/>
        <v>10.811</v>
      </c>
      <c r="S141" s="37">
        <f t="shared" si="76"/>
        <v>71.416775737704924</v>
      </c>
      <c r="T141" s="94" t="str">
        <f t="shared" si="77"/>
        <v>OK</v>
      </c>
      <c r="U141" s="95" t="str">
        <f t="shared" si="78"/>
        <v/>
      </c>
      <c r="V141" s="96">
        <f t="shared" si="79"/>
        <v>0</v>
      </c>
    </row>
    <row r="142" spans="1:22" x14ac:dyDescent="0.2">
      <c r="A142" s="35">
        <v>1</v>
      </c>
      <c r="B142" s="6">
        <v>597</v>
      </c>
      <c r="C142" s="6">
        <v>337</v>
      </c>
      <c r="D142" s="7" t="s">
        <v>84</v>
      </c>
      <c r="E142" s="7" t="s">
        <v>85</v>
      </c>
      <c r="F142" s="8">
        <v>1</v>
      </c>
      <c r="G142" s="8">
        <v>1</v>
      </c>
      <c r="H142" s="8">
        <v>1</v>
      </c>
      <c r="I142" s="8">
        <v>1</v>
      </c>
      <c r="J142" s="8">
        <v>1</v>
      </c>
      <c r="K142" s="9" t="s">
        <v>11</v>
      </c>
      <c r="L142" s="47" t="s">
        <v>145</v>
      </c>
      <c r="M142" s="17">
        <f t="shared" si="72"/>
        <v>0.20118900000000001</v>
      </c>
      <c r="N142" s="18">
        <f t="shared" si="73"/>
        <v>1.8680000000000001</v>
      </c>
      <c r="O142" s="19">
        <f>IF(E142="HERRAJE",IFERROR(_xlfn.XLOOKUP(D142,'⚙️ Configuración Costos'!$A$11:$A$20,'⚙️ Configuración Costos'!$B$11:$B$20),""),IFERROR(_xlfn.XLOOKUP(E142,'⚙️ Configuración Costos'!$A$5:$A$6,'⚙️ Configuración Costos'!$B$5:$B$6),""))</f>
        <v>332.85245901639348</v>
      </c>
      <c r="P142" s="19">
        <f t="shared" si="74"/>
        <v>66.966253377049185</v>
      </c>
      <c r="Q142" s="19">
        <f>IF(E142="HERRAJE",0,IFERROR(_xlfn.XLOOKUP(E142,'⚙️ Configuración Costos'!$E$5:$E$6,'⚙️ Configuración Costos'!$F$5:$F$6),""))</f>
        <v>9.5</v>
      </c>
      <c r="R142" s="19">
        <f t="shared" si="75"/>
        <v>17.746000000000002</v>
      </c>
      <c r="S142" s="37">
        <f t="shared" si="76"/>
        <v>84.712253377049194</v>
      </c>
      <c r="T142" s="94" t="str">
        <f t="shared" si="77"/>
        <v>OK</v>
      </c>
      <c r="U142" s="95" t="str">
        <f t="shared" si="78"/>
        <v/>
      </c>
      <c r="V142" s="96">
        <f t="shared" si="79"/>
        <v>0</v>
      </c>
    </row>
    <row r="143" spans="1:22" x14ac:dyDescent="0.2">
      <c r="A143" s="35">
        <v>2</v>
      </c>
      <c r="B143" s="6">
        <v>0</v>
      </c>
      <c r="C143" s="6">
        <v>0</v>
      </c>
      <c r="D143" s="7" t="s">
        <v>90</v>
      </c>
      <c r="E143" s="7" t="s">
        <v>91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9" t="s">
        <v>11</v>
      </c>
      <c r="L143" s="47" t="s">
        <v>92</v>
      </c>
      <c r="M143" s="17">
        <f t="shared" si="72"/>
        <v>0</v>
      </c>
      <c r="N143" s="18">
        <f t="shared" si="73"/>
        <v>0</v>
      </c>
      <c r="O143" s="19">
        <f>IF(E143="HERRAJE",IFERROR(_xlfn.XLOOKUP(D143,'⚙️ Configuración Costos'!$A$11:$A$20,'⚙️ Configuración Costos'!$B$11:$B$20),""),IFERROR(_xlfn.XLOOKUP(E143,'⚙️ Configuración Costos'!$A$5:$A$6,'⚙️ Configuración Costos'!$B$5:$B$6),""))</f>
        <v>20</v>
      </c>
      <c r="P143" s="19">
        <f t="shared" si="74"/>
        <v>40</v>
      </c>
      <c r="Q143" s="19">
        <f>IF(E143="HERRAJE",0,IFERROR(_xlfn.XLOOKUP(E143,'⚙️ Configuración Costos'!$E$5:$E$6,'⚙️ Configuración Costos'!$F$5:$F$6),""))</f>
        <v>0</v>
      </c>
      <c r="R143" s="19">
        <f t="shared" si="75"/>
        <v>0</v>
      </c>
      <c r="S143" s="37">
        <f t="shared" si="76"/>
        <v>40</v>
      </c>
      <c r="T143" s="94" t="str">
        <f t="shared" si="77"/>
        <v>OK</v>
      </c>
      <c r="U143" s="95" t="str">
        <f t="shared" si="78"/>
        <v/>
      </c>
      <c r="V143" s="96">
        <f t="shared" si="79"/>
        <v>0</v>
      </c>
    </row>
    <row r="144" spans="1:22" x14ac:dyDescent="0.2">
      <c r="A144" s="35">
        <v>1</v>
      </c>
      <c r="B144" s="6">
        <v>0</v>
      </c>
      <c r="C144" s="6">
        <v>0</v>
      </c>
      <c r="D144" s="7" t="s">
        <v>146</v>
      </c>
      <c r="E144" s="7" t="s">
        <v>91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9" t="s">
        <v>11</v>
      </c>
      <c r="L144" s="47" t="s">
        <v>147</v>
      </c>
      <c r="M144" s="17">
        <f t="shared" si="72"/>
        <v>0</v>
      </c>
      <c r="N144" s="18">
        <f t="shared" si="73"/>
        <v>0</v>
      </c>
      <c r="O144" s="19">
        <f>IF(E144="HERRAJE",IFERROR(_xlfn.XLOOKUP(D144,'⚙️ Configuración Costos'!$A$11:$A$20,'⚙️ Configuración Costos'!$B$11:$B$20),""),IFERROR(_xlfn.XLOOKUP(E144,'⚙️ Configuración Costos'!$A$5:$A$6,'⚙️ Configuración Costos'!$B$5:$B$6),""))</f>
        <v>40</v>
      </c>
      <c r="P144" s="19">
        <f t="shared" si="74"/>
        <v>40</v>
      </c>
      <c r="Q144" s="19">
        <f>IF(E144="HERRAJE",0,IFERROR(_xlfn.XLOOKUP(E144,'⚙️ Configuración Costos'!$E$5:$E$6,'⚙️ Configuración Costos'!$F$5:$F$6),""))</f>
        <v>0</v>
      </c>
      <c r="R144" s="19">
        <f t="shared" si="75"/>
        <v>0</v>
      </c>
      <c r="S144" s="37">
        <f t="shared" si="76"/>
        <v>40</v>
      </c>
      <c r="T144" s="94" t="str">
        <f t="shared" si="77"/>
        <v>OK</v>
      </c>
      <c r="U144" s="95" t="str">
        <f t="shared" si="78"/>
        <v/>
      </c>
      <c r="V144" s="96">
        <f t="shared" si="79"/>
        <v>0</v>
      </c>
    </row>
    <row r="145" spans="1:22" x14ac:dyDescent="0.2">
      <c r="A145" s="35">
        <v>1</v>
      </c>
      <c r="B145" s="6">
        <v>0</v>
      </c>
      <c r="C145" s="6">
        <v>0</v>
      </c>
      <c r="D145" s="7" t="s">
        <v>93</v>
      </c>
      <c r="E145" s="7" t="s">
        <v>91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9" t="s">
        <v>11</v>
      </c>
      <c r="L145" s="47" t="s">
        <v>94</v>
      </c>
      <c r="M145" s="17">
        <f t="shared" si="72"/>
        <v>0</v>
      </c>
      <c r="N145" s="18">
        <f t="shared" si="73"/>
        <v>0</v>
      </c>
      <c r="O145" s="19">
        <f>IF(E145="HERRAJE",IFERROR(_xlfn.XLOOKUP(D145,'⚙️ Configuración Costos'!$A$11:$A$20,'⚙️ Configuración Costos'!$B$11:$B$20),""),IFERROR(_xlfn.XLOOKUP(E145,'⚙️ Configuración Costos'!$A$5:$A$6,'⚙️ Configuración Costos'!$B$5:$B$6),""))</f>
        <v>15</v>
      </c>
      <c r="P145" s="19">
        <f t="shared" si="74"/>
        <v>15</v>
      </c>
      <c r="Q145" s="19">
        <f>IF(E145="HERRAJE",0,IFERROR(_xlfn.XLOOKUP(E145,'⚙️ Configuración Costos'!$E$5:$E$6,'⚙️ Configuración Costos'!$F$5:$F$6),""))</f>
        <v>0</v>
      </c>
      <c r="R145" s="19">
        <f t="shared" si="75"/>
        <v>0</v>
      </c>
      <c r="S145" s="37">
        <f t="shared" si="76"/>
        <v>15</v>
      </c>
      <c r="T145" s="94" t="str">
        <f t="shared" si="77"/>
        <v>OK</v>
      </c>
      <c r="U145" s="95" t="str">
        <f t="shared" si="78"/>
        <v/>
      </c>
      <c r="V145" s="96">
        <f t="shared" si="79"/>
        <v>0</v>
      </c>
    </row>
    <row r="146" spans="1:22" x14ac:dyDescent="0.2">
      <c r="A146" s="36">
        <f>4*(IF(LEFT(D137,4)="Base",A137,0)+IF(LEFT(D137,4)="Piso",A137,0)+IF(LEFT(D137,5)="Techo",A137,0)+IF(LEFT(D138,4)="Base",A138,0)+IF(LEFT(D138,4)="Piso",A138,0)+IF(LEFT(D138,5)="Techo",A138,0)+IF(LEFT(D139,4)="Base",A139,0)+IF(LEFT(D139,4)="Piso",A139,0)+IF(LEFT(D139,5)="Techo",A139,0)+IF(LEFT(D140,4)="Base",A140,0)+IF(LEFT(D140,4)="Piso",A140,0)+IF(LEFT(D140,5)="Techo",A140,0)+IF(LEFT(D141,4)="Base",A141,0)+IF(LEFT(D141,4)="Piso",A141,0)+IF(LEFT(D141,5)="Techo",A141,0)+IF(LEFT(D142,4)="Base",A142,0)+IF(LEFT(D142,4)="Piso",A142,0)+IF(LEFT(D142,5)="Techo",A142,0))+10*(IF(LEFT(D137,8)="Respaldo",A137,0)+IF(LEFT(D138,8)="Respaldo",A138,0)+IF(LEFT(D139,8)="Respaldo",A139,0)+IF(LEFT(D140,8)="Respaldo",A140,0)+IF(LEFT(D141,8)="Respaldo",A141,0)+IF(LEFT(D142,8)="Respaldo",A142,0))+2*(IF(LEFT(D137,8)="Manguete",A137,0)+IF(LEFT(D138,8)="Manguete",A138,0)+IF(LEFT(D139,8)="Manguete",A139,0)+IF(LEFT(D140,8)="Manguete",A140,0)+IF(LEFT(D141,8)="Manguete",A141,0)+IF(LEFT(D142,8)="Manguete",A142,0))</f>
        <v>18</v>
      </c>
      <c r="B146" s="20">
        <v>0</v>
      </c>
      <c r="C146" s="20">
        <v>0</v>
      </c>
      <c r="D146" s="21" t="s">
        <v>400</v>
      </c>
      <c r="E146" s="21" t="s">
        <v>91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3" t="s">
        <v>11</v>
      </c>
      <c r="L146" s="48" t="s">
        <v>360</v>
      </c>
      <c r="M146" s="17">
        <f t="shared" si="72"/>
        <v>0</v>
      </c>
      <c r="N146" s="18">
        <f t="shared" si="73"/>
        <v>0</v>
      </c>
      <c r="O146" s="19">
        <f>IF(E146="HERRAJE",IFERROR(_xlfn.XLOOKUP(D146,'⚙️ Configuración Costos'!$A$11:$A$20,'⚙️ Configuración Costos'!$B$11:$B$20),""),IFERROR(_xlfn.XLOOKUP(E146,'⚙️ Configuración Costos'!$A$5:$A$6,'⚙️ Configuración Costos'!$B$5:$B$6),""))</f>
        <v>3</v>
      </c>
      <c r="P146" s="19">
        <f t="shared" si="74"/>
        <v>54</v>
      </c>
      <c r="Q146" s="19">
        <f>IF(E146="HERRAJE",0,IFERROR(_xlfn.XLOOKUP(E146,'⚙️ Configuración Costos'!$E$5:$E$6,'⚙️ Configuración Costos'!$F$5:$F$6),""))</f>
        <v>0</v>
      </c>
      <c r="R146" s="19">
        <f t="shared" si="75"/>
        <v>0</v>
      </c>
      <c r="S146" s="37">
        <f t="shared" si="76"/>
        <v>54</v>
      </c>
      <c r="T146" s="94" t="str">
        <f t="shared" si="77"/>
        <v>OK</v>
      </c>
      <c r="U146" s="95" t="str">
        <f t="shared" si="78"/>
        <v/>
      </c>
      <c r="V146" s="96">
        <f t="shared" si="79"/>
        <v>0</v>
      </c>
    </row>
    <row r="147" spans="1:22" x14ac:dyDescent="0.2">
      <c r="A147" s="36">
        <f>6*(IF(LEFT(D137,4)="Base",A137,0)+IF(LEFT(D137,4)="Piso",A137,0)+IF(LEFT(D137,5)="Techo",A137,0)+IF(LEFT(D138,4)="Base",A138,0)+IF(LEFT(D138,4)="Piso",A138,0)+IF(LEFT(D138,5)="Techo",A138,0)+IF(LEFT(D139,4)="Base",A139,0)+IF(LEFT(D139,4)="Piso",A139,0)+IF(LEFT(D139,5)="Techo",A139,0)+IF(LEFT(D140,4)="Base",A140,0)+IF(LEFT(D140,4)="Piso",A140,0)+IF(LEFT(D140,5)="Techo",A140,0)+IF(LEFT(D141,4)="Base",A141,0)+IF(LEFT(D141,4)="Piso",A141,0)+IF(LEFT(D141,5)="Techo",A141,0)+IF(LEFT(D142,4)="Base",A142,0)+IF(LEFT(D142,4)="Piso",A142,0)+IF(LEFT(D142,5)="Techo",A142,0))+10*(IF(LEFT(D137,8)="Respaldo",A137,0)+IF(LEFT(D138,8)="Respaldo",A138,0)+IF(LEFT(D139,8)="Respaldo",A139,0)+IF(LEFT(D140,8)="Respaldo",A140,0)+IF(LEFT(D141,8)="Respaldo",A141,0)+IF(LEFT(D142,8)="Respaldo",A142,0))+4*(IF(LEFT(D137,8)="Manguete",A137,0)+IF(LEFT(D138,8)="Manguete",A138,0)+IF(LEFT(D139,8)="Manguete",A139,0)+IF(LEFT(D140,8)="Manguete",A140,0)+IF(LEFT(D141,8)="Manguete",A141,0)+IF(LEFT(D142,8)="Manguete",A142,0))</f>
        <v>22</v>
      </c>
      <c r="B147" s="20">
        <v>0</v>
      </c>
      <c r="C147" s="20">
        <v>0</v>
      </c>
      <c r="D147" s="21" t="s">
        <v>468</v>
      </c>
      <c r="E147" s="21" t="s">
        <v>91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3" t="s">
        <v>11</v>
      </c>
      <c r="L147" s="48" t="s">
        <v>361</v>
      </c>
      <c r="M147" s="17">
        <f t="shared" si="72"/>
        <v>0</v>
      </c>
      <c r="N147" s="18">
        <f t="shared" si="73"/>
        <v>0</v>
      </c>
      <c r="O147" s="19">
        <f>IF(E147="HERRAJE",IFERROR(_xlfn.XLOOKUP(D147,'⚙️ Configuración Costos'!$A$11:$A$20,'⚙️ Configuración Costos'!$B$11:$B$20),""),IFERROR(_xlfn.XLOOKUP(E147,'⚙️ Configuración Costos'!$A$5:$A$6,'⚙️ Configuración Costos'!$B$5:$B$6),""))</f>
        <v>1</v>
      </c>
      <c r="P147" s="19">
        <f t="shared" si="74"/>
        <v>22</v>
      </c>
      <c r="Q147" s="19">
        <f>IF(E147="HERRAJE",0,IFERROR(_xlfn.XLOOKUP(E147,'⚙️ Configuración Costos'!$E$5:$E$6,'⚙️ Configuración Costos'!$F$5:$F$6),""))</f>
        <v>0</v>
      </c>
      <c r="R147" s="19">
        <f t="shared" si="75"/>
        <v>0</v>
      </c>
      <c r="S147" s="37">
        <f t="shared" si="76"/>
        <v>22</v>
      </c>
      <c r="T147" s="94" t="str">
        <f t="shared" si="77"/>
        <v>OK</v>
      </c>
      <c r="U147" s="95" t="str">
        <f t="shared" si="78"/>
        <v/>
      </c>
      <c r="V147" s="96">
        <f t="shared" si="79"/>
        <v>0</v>
      </c>
    </row>
    <row r="148" spans="1:22" x14ac:dyDescent="0.2">
      <c r="A148" s="27" t="s">
        <v>99</v>
      </c>
      <c r="B148" s="27"/>
      <c r="C148" s="27"/>
      <c r="D148" s="28"/>
      <c r="E148" s="28"/>
      <c r="F148" s="29"/>
      <c r="G148" s="29"/>
      <c r="H148" s="29"/>
      <c r="I148" s="29"/>
      <c r="J148" s="29"/>
      <c r="K148" s="30"/>
      <c r="L148" s="49"/>
      <c r="M148" s="31">
        <f>SUM(M137:M147)</f>
        <v>0.95877000000000012</v>
      </c>
      <c r="N148" s="32">
        <f>SUM(N137:N147)</f>
        <v>6.7840000000000007</v>
      </c>
      <c r="O148" s="33"/>
      <c r="P148" s="33">
        <f>SUM(P137:P147)</f>
        <v>490.12895213114757</v>
      </c>
      <c r="Q148" s="33"/>
      <c r="R148" s="33">
        <f>SUM(R137:R147)</f>
        <v>64.448000000000008</v>
      </c>
      <c r="S148" s="33">
        <f>SUM(S137:S147)</f>
        <v>554.57695213114766</v>
      </c>
      <c r="T148" s="97"/>
      <c r="U148" s="98"/>
      <c r="V148" s="99"/>
    </row>
    <row r="149" spans="1:22" x14ac:dyDescent="0.2">
      <c r="A149" s="186" t="s">
        <v>148</v>
      </c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8"/>
      <c r="T149" s="97"/>
      <c r="U149" s="98"/>
      <c r="V149" s="99"/>
    </row>
    <row r="150" spans="1:22" x14ac:dyDescent="0.2">
      <c r="A150" s="35">
        <v>1</v>
      </c>
      <c r="B150" s="6">
        <v>340</v>
      </c>
      <c r="C150" s="6">
        <v>320</v>
      </c>
      <c r="D150" s="7" t="s">
        <v>63</v>
      </c>
      <c r="E150" s="7" t="s">
        <v>85</v>
      </c>
      <c r="F150" s="8">
        <v>1</v>
      </c>
      <c r="G150" s="8">
        <v>1</v>
      </c>
      <c r="H150" s="8">
        <v>1</v>
      </c>
      <c r="I150" s="8">
        <v>1</v>
      </c>
      <c r="J150" s="8">
        <v>1</v>
      </c>
      <c r="K150" s="9" t="s">
        <v>12</v>
      </c>
      <c r="L150" s="47" t="s">
        <v>142</v>
      </c>
      <c r="M150" s="17">
        <f t="shared" ref="M150:M160" si="80">IF(AND(ISNUMBER(B150),ISNUMBER(C150),B150&gt;0,C150&gt;0),A150*(B150*C150/1000000),0)</f>
        <v>0.10879999999999999</v>
      </c>
      <c r="N150" s="18">
        <f t="shared" ref="N150:N160" si="81">IF(AND(ISNUMBER(B150),B150&gt;0),A150*(((G150+H150)*B150+(I150+J150)*C150)/1000),0)</f>
        <v>1.32</v>
      </c>
      <c r="O150" s="19">
        <f>IF(E150="HERRAJE",IFERROR(_xlfn.XLOOKUP(D150,'⚙️ Configuración Costos'!$A$11:$A$20,'⚙️ Configuración Costos'!$B$11:$B$20),""),IFERROR(_xlfn.XLOOKUP(E150,'⚙️ Configuración Costos'!$A$5:$A$6,'⚙️ Configuración Costos'!$B$5:$B$6),""))</f>
        <v>332.85245901639348</v>
      </c>
      <c r="P150" s="19">
        <f t="shared" ref="P150:P160" si="82">IF(E150="HERRAJE",A150*O150,M150*O150)</f>
        <v>36.21434754098361</v>
      </c>
      <c r="Q150" s="19">
        <f>IF(E150="HERRAJE",0,IFERROR(_xlfn.XLOOKUP(E150,'⚙️ Configuración Costos'!$E$5:$E$6,'⚙️ Configuración Costos'!$F$5:$F$6),""))</f>
        <v>9.5</v>
      </c>
      <c r="R150" s="19">
        <f t="shared" ref="R150:R160" si="83">N150*Q150</f>
        <v>12.540000000000001</v>
      </c>
      <c r="S150" s="37">
        <f t="shared" ref="S150:S160" si="84">P150+R150</f>
        <v>48.754347540983609</v>
      </c>
      <c r="T150" s="94" t="str">
        <f t="shared" ref="T150:T160" si="85">IF(K150="","SIN ID MÓDULO",IF(E150="HERRAJE",IF(OR(O150="",O150&lt;=0),"SIN PRECIO HERRAJE","OK"),IF(OR(O150="",O150&lt;=0),"SIN PRECIO MATERIAL",IF(AND(N150&gt;0,OR(Q150="",Q150&lt;=0)),"SIN PRECIO CINTILLA","OK"))))</f>
        <v>OK</v>
      </c>
      <c r="U150" s="95" t="str">
        <f t="shared" ref="U150:U160" si="86">IF(T150="OK","",IF(T150="SIN PRECIO HERRAJE","Capturar precio: "&amp;D150,IF(T150="SIN PRECIO MATERIAL","Configurar material: "&amp;E150,IF(T150="SIN PRECIO CINTILLA","Configurar cintilla: "&amp;E150,IF(T150="SIN ID MÓDULO","Revisar ID del módulo","")))))</f>
        <v/>
      </c>
      <c r="V150" s="96">
        <f t="shared" ref="V150:V160" si="87">IF(T150="OK",0,IF(T150="",0,1))</f>
        <v>0</v>
      </c>
    </row>
    <row r="151" spans="1:22" x14ac:dyDescent="0.2">
      <c r="A151" s="35">
        <v>1</v>
      </c>
      <c r="B151" s="6">
        <v>340</v>
      </c>
      <c r="C151" s="6">
        <v>320</v>
      </c>
      <c r="D151" s="7" t="s">
        <v>66</v>
      </c>
      <c r="E151" s="7" t="s">
        <v>85</v>
      </c>
      <c r="F151" s="8">
        <v>1</v>
      </c>
      <c r="G151" s="8">
        <v>1</v>
      </c>
      <c r="H151" s="8">
        <v>1</v>
      </c>
      <c r="I151" s="8">
        <v>1</v>
      </c>
      <c r="J151" s="8">
        <v>1</v>
      </c>
      <c r="K151" s="9" t="s">
        <v>12</v>
      </c>
      <c r="L151" s="47" t="s">
        <v>143</v>
      </c>
      <c r="M151" s="17">
        <f t="shared" si="80"/>
        <v>0.10879999999999999</v>
      </c>
      <c r="N151" s="18">
        <f t="shared" si="81"/>
        <v>1.32</v>
      </c>
      <c r="O151" s="19">
        <f>IF(E151="HERRAJE",IFERROR(_xlfn.XLOOKUP(D151,'⚙️ Configuración Costos'!$A$11:$A$20,'⚙️ Configuración Costos'!$B$11:$B$20),""),IFERROR(_xlfn.XLOOKUP(E151,'⚙️ Configuración Costos'!$A$5:$A$6,'⚙️ Configuración Costos'!$B$5:$B$6),""))</f>
        <v>332.85245901639348</v>
      </c>
      <c r="P151" s="19">
        <f t="shared" si="82"/>
        <v>36.21434754098361</v>
      </c>
      <c r="Q151" s="19">
        <f>IF(E151="HERRAJE",0,IFERROR(_xlfn.XLOOKUP(E151,'⚙️ Configuración Costos'!$E$5:$E$6,'⚙️ Configuración Costos'!$F$5:$F$6),""))</f>
        <v>9.5</v>
      </c>
      <c r="R151" s="19">
        <f t="shared" si="83"/>
        <v>12.540000000000001</v>
      </c>
      <c r="S151" s="37">
        <f t="shared" si="84"/>
        <v>48.754347540983609</v>
      </c>
      <c r="T151" s="94" t="str">
        <f t="shared" si="85"/>
        <v>OK</v>
      </c>
      <c r="U151" s="95" t="str">
        <f t="shared" si="86"/>
        <v/>
      </c>
      <c r="V151" s="96">
        <f t="shared" si="87"/>
        <v>0</v>
      </c>
    </row>
    <row r="152" spans="1:22" x14ac:dyDescent="0.2">
      <c r="A152" s="35">
        <v>1</v>
      </c>
      <c r="B152" s="6">
        <v>309</v>
      </c>
      <c r="C152" s="13">
        <v>669</v>
      </c>
      <c r="D152" s="7" t="s">
        <v>68</v>
      </c>
      <c r="E152" s="7" t="s">
        <v>85</v>
      </c>
      <c r="F152" s="8">
        <v>1</v>
      </c>
      <c r="G152" s="8">
        <v>0</v>
      </c>
      <c r="H152" s="8">
        <v>0</v>
      </c>
      <c r="I152" s="8">
        <v>0</v>
      </c>
      <c r="J152" s="8">
        <v>0</v>
      </c>
      <c r="K152" s="9" t="s">
        <v>12</v>
      </c>
      <c r="L152" s="47" t="s">
        <v>149</v>
      </c>
      <c r="M152" s="17">
        <f t="shared" si="80"/>
        <v>0.20672099999999999</v>
      </c>
      <c r="N152" s="18">
        <f t="shared" si="81"/>
        <v>0</v>
      </c>
      <c r="O152" s="19">
        <f>IF(E152="HERRAJE",IFERROR(_xlfn.XLOOKUP(D152,'⚙️ Configuración Costos'!$A$11:$A$20,'⚙️ Configuración Costos'!$B$11:$B$20),""),IFERROR(_xlfn.XLOOKUP(E152,'⚙️ Configuración Costos'!$A$5:$A$6,'⚙️ Configuración Costos'!$B$5:$B$6),""))</f>
        <v>332.85245901639348</v>
      </c>
      <c r="P152" s="19">
        <f t="shared" si="82"/>
        <v>68.807593180327871</v>
      </c>
      <c r="Q152" s="19">
        <f>IF(E152="HERRAJE",0,IFERROR(_xlfn.XLOOKUP(E152,'⚙️ Configuración Costos'!$E$5:$E$6,'⚙️ Configuración Costos'!$F$5:$F$6),""))</f>
        <v>9.5</v>
      </c>
      <c r="R152" s="19">
        <f t="shared" si="83"/>
        <v>0</v>
      </c>
      <c r="S152" s="37">
        <f t="shared" si="84"/>
        <v>68.807593180327871</v>
      </c>
      <c r="T152" s="94" t="str">
        <f t="shared" si="85"/>
        <v>OK</v>
      </c>
      <c r="U152" s="95" t="str">
        <f t="shared" si="86"/>
        <v/>
      </c>
      <c r="V152" s="96">
        <f t="shared" si="87"/>
        <v>0</v>
      </c>
    </row>
    <row r="153" spans="1:22" x14ac:dyDescent="0.2">
      <c r="A153" s="34">
        <v>1</v>
      </c>
      <c r="B153" s="13">
        <v>669</v>
      </c>
      <c r="C153" s="13">
        <v>320</v>
      </c>
      <c r="D153" s="14" t="s">
        <v>70</v>
      </c>
      <c r="E153" s="14" t="s">
        <v>85</v>
      </c>
      <c r="F153" s="15">
        <v>1</v>
      </c>
      <c r="G153" s="15">
        <v>1</v>
      </c>
      <c r="H153" s="15">
        <v>1</v>
      </c>
      <c r="I153" s="15">
        <v>0</v>
      </c>
      <c r="J153" s="15">
        <v>0</v>
      </c>
      <c r="K153" s="16" t="s">
        <v>12</v>
      </c>
      <c r="L153" s="46" t="s">
        <v>150</v>
      </c>
      <c r="M153" s="17">
        <f t="shared" si="80"/>
        <v>0.21407999999999999</v>
      </c>
      <c r="N153" s="18">
        <f t="shared" si="81"/>
        <v>1.3380000000000001</v>
      </c>
      <c r="O153" s="19">
        <f>IF(E153="HERRAJE",IFERROR(_xlfn.XLOOKUP(D153,'⚙️ Configuración Costos'!$A$11:$A$20,'⚙️ Configuración Costos'!$B$11:$B$20),""),IFERROR(_xlfn.XLOOKUP(E153,'⚙️ Configuración Costos'!$A$5:$A$6,'⚙️ Configuración Costos'!$B$5:$B$6),""))</f>
        <v>332.85245901639348</v>
      </c>
      <c r="P153" s="19">
        <f t="shared" si="82"/>
        <v>71.257054426229516</v>
      </c>
      <c r="Q153" s="19">
        <f>IF(E153="HERRAJE",0,IFERROR(_xlfn.XLOOKUP(E153,'⚙️ Configuración Costos'!$E$5:$E$6,'⚙️ Configuración Costos'!$F$5:$F$6),""))</f>
        <v>9.5</v>
      </c>
      <c r="R153" s="19">
        <f t="shared" si="83"/>
        <v>12.711</v>
      </c>
      <c r="S153" s="37">
        <f t="shared" si="84"/>
        <v>83.968054426229514</v>
      </c>
      <c r="T153" s="94" t="str">
        <f t="shared" si="85"/>
        <v>OK</v>
      </c>
      <c r="U153" s="95" t="str">
        <f t="shared" si="86"/>
        <v/>
      </c>
      <c r="V153" s="96">
        <f t="shared" si="87"/>
        <v>0</v>
      </c>
    </row>
    <row r="154" spans="1:22" x14ac:dyDescent="0.2">
      <c r="A154" s="35">
        <v>1</v>
      </c>
      <c r="B154" s="6">
        <v>669</v>
      </c>
      <c r="C154" s="6">
        <v>320</v>
      </c>
      <c r="D154" s="7" t="s">
        <v>72</v>
      </c>
      <c r="E154" s="7" t="s">
        <v>85</v>
      </c>
      <c r="F154" s="8">
        <v>1</v>
      </c>
      <c r="G154" s="8">
        <v>1</v>
      </c>
      <c r="H154" s="8">
        <v>1</v>
      </c>
      <c r="I154" s="8">
        <v>0</v>
      </c>
      <c r="J154" s="8">
        <v>0</v>
      </c>
      <c r="K154" s="9" t="s">
        <v>12</v>
      </c>
      <c r="L154" s="47" t="s">
        <v>151</v>
      </c>
      <c r="M154" s="17">
        <f t="shared" si="80"/>
        <v>0.21407999999999999</v>
      </c>
      <c r="N154" s="18">
        <f t="shared" si="81"/>
        <v>1.3380000000000001</v>
      </c>
      <c r="O154" s="19">
        <f>IF(E154="HERRAJE",IFERROR(_xlfn.XLOOKUP(D154,'⚙️ Configuración Costos'!$A$11:$A$20,'⚙️ Configuración Costos'!$B$11:$B$20),""),IFERROR(_xlfn.XLOOKUP(E154,'⚙️ Configuración Costos'!$A$5:$A$6,'⚙️ Configuración Costos'!$B$5:$B$6),""))</f>
        <v>332.85245901639348</v>
      </c>
      <c r="P154" s="19">
        <f t="shared" si="82"/>
        <v>71.257054426229516</v>
      </c>
      <c r="Q154" s="19">
        <f>IF(E154="HERRAJE",0,IFERROR(_xlfn.XLOOKUP(E154,'⚙️ Configuración Costos'!$E$5:$E$6,'⚙️ Configuración Costos'!$F$5:$F$6),""))</f>
        <v>9.5</v>
      </c>
      <c r="R154" s="19">
        <f t="shared" si="83"/>
        <v>12.711</v>
      </c>
      <c r="S154" s="37">
        <f t="shared" si="84"/>
        <v>83.968054426229514</v>
      </c>
      <c r="T154" s="94" t="str">
        <f t="shared" si="85"/>
        <v>OK</v>
      </c>
      <c r="U154" s="95" t="str">
        <f t="shared" si="86"/>
        <v/>
      </c>
      <c r="V154" s="96">
        <f t="shared" si="87"/>
        <v>0</v>
      </c>
    </row>
    <row r="155" spans="1:22" x14ac:dyDescent="0.2">
      <c r="A155" s="35">
        <v>1</v>
      </c>
      <c r="B155" s="6">
        <v>697</v>
      </c>
      <c r="C155" s="6">
        <v>337</v>
      </c>
      <c r="D155" s="7" t="s">
        <v>84</v>
      </c>
      <c r="E155" s="7" t="s">
        <v>85</v>
      </c>
      <c r="F155" s="8">
        <v>1</v>
      </c>
      <c r="G155" s="8">
        <v>1</v>
      </c>
      <c r="H155" s="8">
        <v>1</v>
      </c>
      <c r="I155" s="8">
        <v>1</v>
      </c>
      <c r="J155" s="8">
        <v>1</v>
      </c>
      <c r="K155" s="9" t="s">
        <v>12</v>
      </c>
      <c r="L155" s="47" t="s">
        <v>152</v>
      </c>
      <c r="M155" s="17">
        <f t="shared" si="80"/>
        <v>0.23488899999999999</v>
      </c>
      <c r="N155" s="18">
        <f t="shared" si="81"/>
        <v>2.0680000000000001</v>
      </c>
      <c r="O155" s="19">
        <f>IF(E155="HERRAJE",IFERROR(_xlfn.XLOOKUP(D155,'⚙️ Configuración Costos'!$A$11:$A$20,'⚙️ Configuración Costos'!$B$11:$B$20),""),IFERROR(_xlfn.XLOOKUP(E155,'⚙️ Configuración Costos'!$A$5:$A$6,'⚙️ Configuración Costos'!$B$5:$B$6),""))</f>
        <v>332.85245901639348</v>
      </c>
      <c r="P155" s="19">
        <f t="shared" si="82"/>
        <v>78.183381245901643</v>
      </c>
      <c r="Q155" s="19">
        <f>IF(E155="HERRAJE",0,IFERROR(_xlfn.XLOOKUP(E155,'⚙️ Configuración Costos'!$E$5:$E$6,'⚙️ Configuración Costos'!$F$5:$F$6),""))</f>
        <v>9.5</v>
      </c>
      <c r="R155" s="19">
        <f t="shared" si="83"/>
        <v>19.646000000000001</v>
      </c>
      <c r="S155" s="37">
        <f t="shared" si="84"/>
        <v>97.829381245901644</v>
      </c>
      <c r="T155" s="94" t="str">
        <f t="shared" si="85"/>
        <v>OK</v>
      </c>
      <c r="U155" s="95" t="str">
        <f t="shared" si="86"/>
        <v/>
      </c>
      <c r="V155" s="96">
        <f t="shared" si="87"/>
        <v>0</v>
      </c>
    </row>
    <row r="156" spans="1:22" x14ac:dyDescent="0.2">
      <c r="A156" s="35">
        <v>2</v>
      </c>
      <c r="B156" s="6">
        <v>0</v>
      </c>
      <c r="C156" s="6">
        <v>0</v>
      </c>
      <c r="D156" s="7" t="s">
        <v>90</v>
      </c>
      <c r="E156" s="7" t="s">
        <v>91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9" t="s">
        <v>12</v>
      </c>
      <c r="L156" s="47" t="s">
        <v>92</v>
      </c>
      <c r="M156" s="17">
        <f t="shared" si="80"/>
        <v>0</v>
      </c>
      <c r="N156" s="18">
        <f t="shared" si="81"/>
        <v>0</v>
      </c>
      <c r="O156" s="19">
        <f>IF(E156="HERRAJE",IFERROR(_xlfn.XLOOKUP(D156,'⚙️ Configuración Costos'!$A$11:$A$20,'⚙️ Configuración Costos'!$B$11:$B$20),""),IFERROR(_xlfn.XLOOKUP(E156,'⚙️ Configuración Costos'!$A$5:$A$6,'⚙️ Configuración Costos'!$B$5:$B$6),""))</f>
        <v>20</v>
      </c>
      <c r="P156" s="19">
        <f t="shared" si="82"/>
        <v>40</v>
      </c>
      <c r="Q156" s="19">
        <f>IF(E156="HERRAJE",0,IFERROR(_xlfn.XLOOKUP(E156,'⚙️ Configuración Costos'!$E$5:$E$6,'⚙️ Configuración Costos'!$F$5:$F$6),""))</f>
        <v>0</v>
      </c>
      <c r="R156" s="19">
        <f t="shared" si="83"/>
        <v>0</v>
      </c>
      <c r="S156" s="37">
        <f t="shared" si="84"/>
        <v>40</v>
      </c>
      <c r="T156" s="94" t="str">
        <f t="shared" si="85"/>
        <v>OK</v>
      </c>
      <c r="U156" s="95" t="str">
        <f t="shared" si="86"/>
        <v/>
      </c>
      <c r="V156" s="96">
        <f t="shared" si="87"/>
        <v>0</v>
      </c>
    </row>
    <row r="157" spans="1:22" x14ac:dyDescent="0.2">
      <c r="A157" s="35">
        <v>1</v>
      </c>
      <c r="B157" s="6">
        <v>0</v>
      </c>
      <c r="C157" s="6">
        <v>0</v>
      </c>
      <c r="D157" s="7" t="s">
        <v>146</v>
      </c>
      <c r="E157" s="7" t="s">
        <v>91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9" t="s">
        <v>12</v>
      </c>
      <c r="L157" s="47" t="s">
        <v>147</v>
      </c>
      <c r="M157" s="17">
        <f t="shared" si="80"/>
        <v>0</v>
      </c>
      <c r="N157" s="18">
        <f t="shared" si="81"/>
        <v>0</v>
      </c>
      <c r="O157" s="19">
        <f>IF(E157="HERRAJE",IFERROR(_xlfn.XLOOKUP(D157,'⚙️ Configuración Costos'!$A$11:$A$20,'⚙️ Configuración Costos'!$B$11:$B$20),""),IFERROR(_xlfn.XLOOKUP(E157,'⚙️ Configuración Costos'!$A$5:$A$6,'⚙️ Configuración Costos'!$B$5:$B$6),""))</f>
        <v>40</v>
      </c>
      <c r="P157" s="19">
        <f t="shared" si="82"/>
        <v>40</v>
      </c>
      <c r="Q157" s="19">
        <f>IF(E157="HERRAJE",0,IFERROR(_xlfn.XLOOKUP(E157,'⚙️ Configuración Costos'!$E$5:$E$6,'⚙️ Configuración Costos'!$F$5:$F$6),""))</f>
        <v>0</v>
      </c>
      <c r="R157" s="19">
        <f t="shared" si="83"/>
        <v>0</v>
      </c>
      <c r="S157" s="37">
        <f t="shared" si="84"/>
        <v>40</v>
      </c>
      <c r="T157" s="94" t="str">
        <f t="shared" si="85"/>
        <v>OK</v>
      </c>
      <c r="U157" s="95" t="str">
        <f t="shared" si="86"/>
        <v/>
      </c>
      <c r="V157" s="96">
        <f t="shared" si="87"/>
        <v>0</v>
      </c>
    </row>
    <row r="158" spans="1:22" x14ac:dyDescent="0.2">
      <c r="A158" s="35">
        <v>1</v>
      </c>
      <c r="B158" s="6">
        <v>0</v>
      </c>
      <c r="C158" s="6">
        <v>0</v>
      </c>
      <c r="D158" s="7" t="s">
        <v>93</v>
      </c>
      <c r="E158" s="7" t="s">
        <v>91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9" t="s">
        <v>12</v>
      </c>
      <c r="L158" s="47" t="s">
        <v>94</v>
      </c>
      <c r="M158" s="17">
        <f t="shared" si="80"/>
        <v>0</v>
      </c>
      <c r="N158" s="18">
        <f t="shared" si="81"/>
        <v>0</v>
      </c>
      <c r="O158" s="19">
        <f>IF(E158="HERRAJE",IFERROR(_xlfn.XLOOKUP(D158,'⚙️ Configuración Costos'!$A$11:$A$20,'⚙️ Configuración Costos'!$B$11:$B$20),""),IFERROR(_xlfn.XLOOKUP(E158,'⚙️ Configuración Costos'!$A$5:$A$6,'⚙️ Configuración Costos'!$B$5:$B$6),""))</f>
        <v>15</v>
      </c>
      <c r="P158" s="19">
        <f t="shared" si="82"/>
        <v>15</v>
      </c>
      <c r="Q158" s="19">
        <f>IF(E158="HERRAJE",0,IFERROR(_xlfn.XLOOKUP(E158,'⚙️ Configuración Costos'!$E$5:$E$6,'⚙️ Configuración Costos'!$F$5:$F$6),""))</f>
        <v>0</v>
      </c>
      <c r="R158" s="19">
        <f t="shared" si="83"/>
        <v>0</v>
      </c>
      <c r="S158" s="37">
        <f t="shared" si="84"/>
        <v>15</v>
      </c>
      <c r="T158" s="94" t="str">
        <f t="shared" si="85"/>
        <v>OK</v>
      </c>
      <c r="U158" s="95" t="str">
        <f t="shared" si="86"/>
        <v/>
      </c>
      <c r="V158" s="96">
        <f t="shared" si="87"/>
        <v>0</v>
      </c>
    </row>
    <row r="159" spans="1:22" x14ac:dyDescent="0.2">
      <c r="A159" s="36">
        <f>4*(IF(LEFT(D150,4)="Base",A150,0)+IF(LEFT(D150,4)="Piso",A150,0)+IF(LEFT(D150,5)="Techo",A150,0)+IF(LEFT(D151,4)="Base",A151,0)+IF(LEFT(D151,4)="Piso",A151,0)+IF(LEFT(D151,5)="Techo",A151,0)+IF(LEFT(D152,4)="Base",A152,0)+IF(LEFT(D152,4)="Piso",A152,0)+IF(LEFT(D152,5)="Techo",A152,0)+IF(LEFT(D153,4)="Base",A153,0)+IF(LEFT(D153,4)="Piso",A153,0)+IF(LEFT(D153,5)="Techo",A153,0)+IF(LEFT(D154,4)="Base",A154,0)+IF(LEFT(D154,4)="Piso",A154,0)+IF(LEFT(D154,5)="Techo",A154,0)+IF(LEFT(D155,4)="Base",A155,0)+IF(LEFT(D155,4)="Piso",A155,0)+IF(LEFT(D155,5)="Techo",A155,0))+10*(IF(LEFT(D150,8)="Respaldo",A150,0)+IF(LEFT(D151,8)="Respaldo",A151,0)+IF(LEFT(D152,8)="Respaldo",A152,0)+IF(LEFT(D153,8)="Respaldo",A153,0)+IF(LEFT(D154,8)="Respaldo",A154,0)+IF(LEFT(D155,8)="Respaldo",A155,0))+2*(IF(LEFT(D150,8)="Manguete",A150,0)+IF(LEFT(D151,8)="Manguete",A151,0)+IF(LEFT(D152,8)="Manguete",A152,0)+IF(LEFT(D153,8)="Manguete",A153,0)+IF(LEFT(D154,8)="Manguete",A154,0)+IF(LEFT(D155,8)="Manguete",A155,0))</f>
        <v>18</v>
      </c>
      <c r="B159" s="20">
        <v>0</v>
      </c>
      <c r="C159" s="20">
        <v>0</v>
      </c>
      <c r="D159" s="21" t="s">
        <v>400</v>
      </c>
      <c r="E159" s="21" t="s">
        <v>91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3" t="s">
        <v>12</v>
      </c>
      <c r="L159" s="48" t="s">
        <v>360</v>
      </c>
      <c r="M159" s="17">
        <f t="shared" si="80"/>
        <v>0</v>
      </c>
      <c r="N159" s="18">
        <f t="shared" si="81"/>
        <v>0</v>
      </c>
      <c r="O159" s="19">
        <f>IF(E159="HERRAJE",IFERROR(_xlfn.XLOOKUP(D159,'⚙️ Configuración Costos'!$A$11:$A$20,'⚙️ Configuración Costos'!$B$11:$B$20),""),IFERROR(_xlfn.XLOOKUP(E159,'⚙️ Configuración Costos'!$A$5:$A$6,'⚙️ Configuración Costos'!$B$5:$B$6),""))</f>
        <v>3</v>
      </c>
      <c r="P159" s="19">
        <f t="shared" si="82"/>
        <v>54</v>
      </c>
      <c r="Q159" s="19">
        <f>IF(E159="HERRAJE",0,IFERROR(_xlfn.XLOOKUP(E159,'⚙️ Configuración Costos'!$E$5:$E$6,'⚙️ Configuración Costos'!$F$5:$F$6),""))</f>
        <v>0</v>
      </c>
      <c r="R159" s="19">
        <f t="shared" si="83"/>
        <v>0</v>
      </c>
      <c r="S159" s="37">
        <f t="shared" si="84"/>
        <v>54</v>
      </c>
      <c r="T159" s="94" t="str">
        <f t="shared" si="85"/>
        <v>OK</v>
      </c>
      <c r="U159" s="95" t="str">
        <f t="shared" si="86"/>
        <v/>
      </c>
      <c r="V159" s="96">
        <f t="shared" si="87"/>
        <v>0</v>
      </c>
    </row>
    <row r="160" spans="1:22" x14ac:dyDescent="0.2">
      <c r="A160" s="36">
        <f>6*(IF(LEFT(D150,4)="Base",A150,0)+IF(LEFT(D150,4)="Piso",A150,0)+IF(LEFT(D150,5)="Techo",A150,0)+IF(LEFT(D151,4)="Base",A151,0)+IF(LEFT(D151,4)="Piso",A151,0)+IF(LEFT(D151,5)="Techo",A151,0)+IF(LEFT(D152,4)="Base",A152,0)+IF(LEFT(D152,4)="Piso",A152,0)+IF(LEFT(D152,5)="Techo",A152,0)+IF(LEFT(D153,4)="Base",A153,0)+IF(LEFT(D153,4)="Piso",A153,0)+IF(LEFT(D153,5)="Techo",A153,0)+IF(LEFT(D154,4)="Base",A154,0)+IF(LEFT(D154,4)="Piso",A154,0)+IF(LEFT(D154,5)="Techo",A154,0)+IF(LEFT(D155,4)="Base",A155,0)+IF(LEFT(D155,4)="Piso",A155,0)+IF(LEFT(D155,5)="Techo",A155,0))+10*(IF(LEFT(D150,8)="Respaldo",A150,0)+IF(LEFT(D151,8)="Respaldo",A151,0)+IF(LEFT(D152,8)="Respaldo",A152,0)+IF(LEFT(D153,8)="Respaldo",A153,0)+IF(LEFT(D154,8)="Respaldo",A154,0)+IF(LEFT(D155,8)="Respaldo",A155,0))+4*(IF(LEFT(D150,8)="Manguete",A150,0)+IF(LEFT(D151,8)="Manguete",A151,0)+IF(LEFT(D152,8)="Manguete",A152,0)+IF(LEFT(D153,8)="Manguete",A153,0)+IF(LEFT(D154,8)="Manguete",A154,0)+IF(LEFT(D155,8)="Manguete",A155,0))</f>
        <v>22</v>
      </c>
      <c r="B160" s="20">
        <v>0</v>
      </c>
      <c r="C160" s="20">
        <v>0</v>
      </c>
      <c r="D160" s="21" t="s">
        <v>468</v>
      </c>
      <c r="E160" s="21" t="s">
        <v>91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3" t="s">
        <v>12</v>
      </c>
      <c r="L160" s="48" t="s">
        <v>361</v>
      </c>
      <c r="M160" s="17">
        <f t="shared" si="80"/>
        <v>0</v>
      </c>
      <c r="N160" s="18">
        <f t="shared" si="81"/>
        <v>0</v>
      </c>
      <c r="O160" s="19">
        <f>IF(E160="HERRAJE",IFERROR(_xlfn.XLOOKUP(D160,'⚙️ Configuración Costos'!$A$11:$A$20,'⚙️ Configuración Costos'!$B$11:$B$20),""),IFERROR(_xlfn.XLOOKUP(E160,'⚙️ Configuración Costos'!$A$5:$A$6,'⚙️ Configuración Costos'!$B$5:$B$6),""))</f>
        <v>1</v>
      </c>
      <c r="P160" s="19">
        <f t="shared" si="82"/>
        <v>22</v>
      </c>
      <c r="Q160" s="19">
        <f>IF(E160="HERRAJE",0,IFERROR(_xlfn.XLOOKUP(E160,'⚙️ Configuración Costos'!$E$5:$E$6,'⚙️ Configuración Costos'!$F$5:$F$6),""))</f>
        <v>0</v>
      </c>
      <c r="R160" s="19">
        <f t="shared" si="83"/>
        <v>0</v>
      </c>
      <c r="S160" s="37">
        <f t="shared" si="84"/>
        <v>22</v>
      </c>
      <c r="T160" s="94" t="str">
        <f t="shared" si="85"/>
        <v>OK</v>
      </c>
      <c r="U160" s="95" t="str">
        <f t="shared" si="86"/>
        <v/>
      </c>
      <c r="V160" s="96">
        <f t="shared" si="87"/>
        <v>0</v>
      </c>
    </row>
    <row r="161" spans="1:22" x14ac:dyDescent="0.2">
      <c r="A161" s="27" t="s">
        <v>99</v>
      </c>
      <c r="B161" s="27"/>
      <c r="C161" s="27"/>
      <c r="D161" s="28"/>
      <c r="E161" s="28"/>
      <c r="F161" s="29"/>
      <c r="G161" s="29"/>
      <c r="H161" s="29"/>
      <c r="I161" s="29"/>
      <c r="J161" s="29"/>
      <c r="K161" s="30"/>
      <c r="L161" s="49"/>
      <c r="M161" s="31">
        <f>SUM(M150:M160)</f>
        <v>1.0873699999999999</v>
      </c>
      <c r="N161" s="32">
        <f>SUM(N150:N160)</f>
        <v>7.3840000000000003</v>
      </c>
      <c r="O161" s="33"/>
      <c r="P161" s="33">
        <f>SUM(P150:P160)</f>
        <v>532.93377836065577</v>
      </c>
      <c r="Q161" s="33"/>
      <c r="R161" s="33">
        <f>SUM(R150:R160)</f>
        <v>70.147999999999996</v>
      </c>
      <c r="S161" s="33">
        <f>SUM(S150:S160)</f>
        <v>603.08177836065579</v>
      </c>
      <c r="T161" s="97"/>
      <c r="U161" s="98"/>
      <c r="V161" s="99"/>
    </row>
    <row r="162" spans="1:22" x14ac:dyDescent="0.2">
      <c r="A162" s="186" t="s">
        <v>153</v>
      </c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8"/>
      <c r="T162" s="97"/>
      <c r="U162" s="98"/>
      <c r="V162" s="99"/>
    </row>
    <row r="163" spans="1:22" x14ac:dyDescent="0.2">
      <c r="A163" s="35">
        <v>1</v>
      </c>
      <c r="B163" s="6">
        <v>340</v>
      </c>
      <c r="C163" s="6">
        <v>320</v>
      </c>
      <c r="D163" s="7" t="s">
        <v>63</v>
      </c>
      <c r="E163" s="7" t="s">
        <v>85</v>
      </c>
      <c r="F163" s="8">
        <v>1</v>
      </c>
      <c r="G163" s="8">
        <v>1</v>
      </c>
      <c r="H163" s="8">
        <v>1</v>
      </c>
      <c r="I163" s="8">
        <v>1</v>
      </c>
      <c r="J163" s="8">
        <v>1</v>
      </c>
      <c r="K163" s="9" t="s">
        <v>13</v>
      </c>
      <c r="L163" s="47" t="s">
        <v>142</v>
      </c>
      <c r="M163" s="17">
        <f t="shared" ref="M163:M173" si="88">IF(AND(ISNUMBER(B163),ISNUMBER(C163),B163&gt;0,C163&gt;0),A163*(B163*C163/1000000),0)</f>
        <v>0.10879999999999999</v>
      </c>
      <c r="N163" s="18">
        <f t="shared" ref="N163:N173" si="89">IF(AND(ISNUMBER(B163),B163&gt;0),A163*(((G163+H163)*B163+(I163+J163)*C163)/1000),0)</f>
        <v>1.32</v>
      </c>
      <c r="O163" s="19">
        <f>IF(E163="HERRAJE",IFERROR(_xlfn.XLOOKUP(D163,'⚙️ Configuración Costos'!$A$11:$A$20,'⚙️ Configuración Costos'!$B$11:$B$20),""),IFERROR(_xlfn.XLOOKUP(E163,'⚙️ Configuración Costos'!$A$5:$A$6,'⚙️ Configuración Costos'!$B$5:$B$6),""))</f>
        <v>332.85245901639348</v>
      </c>
      <c r="P163" s="19">
        <f t="shared" ref="P163:P173" si="90">IF(E163="HERRAJE",A163*O163,M163*O163)</f>
        <v>36.21434754098361</v>
      </c>
      <c r="Q163" s="19">
        <f>IF(E163="HERRAJE",0,IFERROR(_xlfn.XLOOKUP(E163,'⚙️ Configuración Costos'!$E$5:$E$6,'⚙️ Configuración Costos'!$F$5:$F$6),""))</f>
        <v>9.5</v>
      </c>
      <c r="R163" s="19">
        <f t="shared" ref="R163:R173" si="91">N163*Q163</f>
        <v>12.540000000000001</v>
      </c>
      <c r="S163" s="37">
        <f t="shared" ref="S163:S173" si="92">P163+R163</f>
        <v>48.754347540983609</v>
      </c>
      <c r="T163" s="94" t="str">
        <f t="shared" ref="T163:T173" si="93">IF(K163="","SIN ID MÓDULO",IF(E163="HERRAJE",IF(OR(O163="",O163&lt;=0),"SIN PRECIO HERRAJE","OK"),IF(OR(O163="",O163&lt;=0),"SIN PRECIO MATERIAL",IF(AND(N163&gt;0,OR(Q163="",Q163&lt;=0)),"SIN PRECIO CINTILLA","OK"))))</f>
        <v>OK</v>
      </c>
      <c r="U163" s="95" t="str">
        <f t="shared" ref="U163:U173" si="94">IF(T163="OK","",IF(T163="SIN PRECIO HERRAJE","Capturar precio: "&amp;D163,IF(T163="SIN PRECIO MATERIAL","Configurar material: "&amp;E163,IF(T163="SIN PRECIO CINTILLA","Configurar cintilla: "&amp;E163,IF(T163="SIN ID MÓDULO","Revisar ID del módulo","")))))</f>
        <v/>
      </c>
      <c r="V163" s="96">
        <f t="shared" ref="V163:V173" si="95">IF(T163="OK",0,IF(T163="",0,1))</f>
        <v>0</v>
      </c>
    </row>
    <row r="164" spans="1:22" x14ac:dyDescent="0.2">
      <c r="A164" s="35">
        <v>1</v>
      </c>
      <c r="B164" s="6">
        <v>340</v>
      </c>
      <c r="C164" s="6">
        <v>320</v>
      </c>
      <c r="D164" s="7" t="s">
        <v>66</v>
      </c>
      <c r="E164" s="7" t="s">
        <v>85</v>
      </c>
      <c r="F164" s="8">
        <v>1</v>
      </c>
      <c r="G164" s="8">
        <v>1</v>
      </c>
      <c r="H164" s="8">
        <v>1</v>
      </c>
      <c r="I164" s="8">
        <v>1</v>
      </c>
      <c r="J164" s="8">
        <v>1</v>
      </c>
      <c r="K164" s="9" t="s">
        <v>13</v>
      </c>
      <c r="L164" s="47" t="s">
        <v>143</v>
      </c>
      <c r="M164" s="17">
        <f t="shared" si="88"/>
        <v>0.10879999999999999</v>
      </c>
      <c r="N164" s="18">
        <f t="shared" si="89"/>
        <v>1.32</v>
      </c>
      <c r="O164" s="19">
        <f>IF(E164="HERRAJE",IFERROR(_xlfn.XLOOKUP(D164,'⚙️ Configuración Costos'!$A$11:$A$20,'⚙️ Configuración Costos'!$B$11:$B$20),""),IFERROR(_xlfn.XLOOKUP(E164,'⚙️ Configuración Costos'!$A$5:$A$6,'⚙️ Configuración Costos'!$B$5:$B$6),""))</f>
        <v>332.85245901639348</v>
      </c>
      <c r="P164" s="19">
        <f t="shared" si="90"/>
        <v>36.21434754098361</v>
      </c>
      <c r="Q164" s="19">
        <f>IF(E164="HERRAJE",0,IFERROR(_xlfn.XLOOKUP(E164,'⚙️ Configuración Costos'!$E$5:$E$6,'⚙️ Configuración Costos'!$F$5:$F$6),""))</f>
        <v>9.5</v>
      </c>
      <c r="R164" s="19">
        <f t="shared" si="91"/>
        <v>12.540000000000001</v>
      </c>
      <c r="S164" s="37">
        <f t="shared" si="92"/>
        <v>48.754347540983609</v>
      </c>
      <c r="T164" s="94" t="str">
        <f t="shared" si="93"/>
        <v>OK</v>
      </c>
      <c r="U164" s="95" t="str">
        <f t="shared" si="94"/>
        <v/>
      </c>
      <c r="V164" s="96">
        <f t="shared" si="95"/>
        <v>0</v>
      </c>
    </row>
    <row r="165" spans="1:22" x14ac:dyDescent="0.2">
      <c r="A165" s="35">
        <v>1</v>
      </c>
      <c r="B165" s="6">
        <v>309</v>
      </c>
      <c r="C165" s="13">
        <v>769</v>
      </c>
      <c r="D165" s="7" t="s">
        <v>68</v>
      </c>
      <c r="E165" s="7" t="s">
        <v>85</v>
      </c>
      <c r="F165" s="8">
        <v>1</v>
      </c>
      <c r="G165" s="8">
        <v>0</v>
      </c>
      <c r="H165" s="8">
        <v>0</v>
      </c>
      <c r="I165" s="8">
        <v>0</v>
      </c>
      <c r="J165" s="8">
        <v>0</v>
      </c>
      <c r="K165" s="9" t="s">
        <v>13</v>
      </c>
      <c r="L165" s="47" t="s">
        <v>154</v>
      </c>
      <c r="M165" s="17">
        <f t="shared" si="88"/>
        <v>0.237621</v>
      </c>
      <c r="N165" s="18">
        <f t="shared" si="89"/>
        <v>0</v>
      </c>
      <c r="O165" s="19">
        <f>IF(E165="HERRAJE",IFERROR(_xlfn.XLOOKUP(D165,'⚙️ Configuración Costos'!$A$11:$A$20,'⚙️ Configuración Costos'!$B$11:$B$20),""),IFERROR(_xlfn.XLOOKUP(E165,'⚙️ Configuración Costos'!$A$5:$A$6,'⚙️ Configuración Costos'!$B$5:$B$6),""))</f>
        <v>332.85245901639348</v>
      </c>
      <c r="P165" s="19">
        <f t="shared" si="90"/>
        <v>79.092734163934438</v>
      </c>
      <c r="Q165" s="19">
        <f>IF(E165="HERRAJE",0,IFERROR(_xlfn.XLOOKUP(E165,'⚙️ Configuración Costos'!$E$5:$E$6,'⚙️ Configuración Costos'!$F$5:$F$6),""))</f>
        <v>9.5</v>
      </c>
      <c r="R165" s="19">
        <f t="shared" si="91"/>
        <v>0</v>
      </c>
      <c r="S165" s="37">
        <f t="shared" si="92"/>
        <v>79.092734163934438</v>
      </c>
      <c r="T165" s="94" t="str">
        <f t="shared" si="93"/>
        <v>OK</v>
      </c>
      <c r="U165" s="95" t="str">
        <f t="shared" si="94"/>
        <v/>
      </c>
      <c r="V165" s="96">
        <f t="shared" si="95"/>
        <v>0</v>
      </c>
    </row>
    <row r="166" spans="1:22" x14ac:dyDescent="0.2">
      <c r="A166" s="34">
        <v>1</v>
      </c>
      <c r="B166" s="13">
        <v>769</v>
      </c>
      <c r="C166" s="13">
        <v>320</v>
      </c>
      <c r="D166" s="14" t="s">
        <v>70</v>
      </c>
      <c r="E166" s="14" t="s">
        <v>85</v>
      </c>
      <c r="F166" s="15">
        <v>1</v>
      </c>
      <c r="G166" s="15">
        <v>1</v>
      </c>
      <c r="H166" s="15">
        <v>1</v>
      </c>
      <c r="I166" s="15">
        <v>0</v>
      </c>
      <c r="J166" s="15">
        <v>0</v>
      </c>
      <c r="K166" s="16" t="s">
        <v>13</v>
      </c>
      <c r="L166" s="46" t="s">
        <v>126</v>
      </c>
      <c r="M166" s="17">
        <f t="shared" si="88"/>
        <v>0.24607999999999999</v>
      </c>
      <c r="N166" s="18">
        <f t="shared" si="89"/>
        <v>1.538</v>
      </c>
      <c r="O166" s="19">
        <f>IF(E166="HERRAJE",IFERROR(_xlfn.XLOOKUP(D166,'⚙️ Configuración Costos'!$A$11:$A$20,'⚙️ Configuración Costos'!$B$11:$B$20),""),IFERROR(_xlfn.XLOOKUP(E166,'⚙️ Configuración Costos'!$A$5:$A$6,'⚙️ Configuración Costos'!$B$5:$B$6),""))</f>
        <v>332.85245901639348</v>
      </c>
      <c r="P166" s="19">
        <f t="shared" si="90"/>
        <v>81.9083331147541</v>
      </c>
      <c r="Q166" s="19">
        <f>IF(E166="HERRAJE",0,IFERROR(_xlfn.XLOOKUP(E166,'⚙️ Configuración Costos'!$E$5:$E$6,'⚙️ Configuración Costos'!$F$5:$F$6),""))</f>
        <v>9.5</v>
      </c>
      <c r="R166" s="19">
        <f t="shared" si="91"/>
        <v>14.611000000000001</v>
      </c>
      <c r="S166" s="37">
        <f t="shared" si="92"/>
        <v>96.519333114754104</v>
      </c>
      <c r="T166" s="94" t="str">
        <f t="shared" si="93"/>
        <v>OK</v>
      </c>
      <c r="U166" s="95" t="str">
        <f t="shared" si="94"/>
        <v/>
      </c>
      <c r="V166" s="96">
        <f t="shared" si="95"/>
        <v>0</v>
      </c>
    </row>
    <row r="167" spans="1:22" x14ac:dyDescent="0.2">
      <c r="A167" s="35">
        <v>1</v>
      </c>
      <c r="B167" s="6">
        <v>769</v>
      </c>
      <c r="C167" s="6">
        <v>320</v>
      </c>
      <c r="D167" s="7" t="s">
        <v>72</v>
      </c>
      <c r="E167" s="7" t="s">
        <v>85</v>
      </c>
      <c r="F167" s="8">
        <v>1</v>
      </c>
      <c r="G167" s="8">
        <v>1</v>
      </c>
      <c r="H167" s="8">
        <v>1</v>
      </c>
      <c r="I167" s="8">
        <v>0</v>
      </c>
      <c r="J167" s="8">
        <v>0</v>
      </c>
      <c r="K167" s="9" t="s">
        <v>13</v>
      </c>
      <c r="L167" s="47" t="s">
        <v>127</v>
      </c>
      <c r="M167" s="17">
        <f t="shared" si="88"/>
        <v>0.24607999999999999</v>
      </c>
      <c r="N167" s="18">
        <f t="shared" si="89"/>
        <v>1.538</v>
      </c>
      <c r="O167" s="19">
        <f>IF(E167="HERRAJE",IFERROR(_xlfn.XLOOKUP(D167,'⚙️ Configuración Costos'!$A$11:$A$20,'⚙️ Configuración Costos'!$B$11:$B$20),""),IFERROR(_xlfn.XLOOKUP(E167,'⚙️ Configuración Costos'!$A$5:$A$6,'⚙️ Configuración Costos'!$B$5:$B$6),""))</f>
        <v>332.85245901639348</v>
      </c>
      <c r="P167" s="19">
        <f t="shared" si="90"/>
        <v>81.9083331147541</v>
      </c>
      <c r="Q167" s="19">
        <f>IF(E167="HERRAJE",0,IFERROR(_xlfn.XLOOKUP(E167,'⚙️ Configuración Costos'!$E$5:$E$6,'⚙️ Configuración Costos'!$F$5:$F$6),""))</f>
        <v>9.5</v>
      </c>
      <c r="R167" s="19">
        <f t="shared" si="91"/>
        <v>14.611000000000001</v>
      </c>
      <c r="S167" s="37">
        <f t="shared" si="92"/>
        <v>96.519333114754104</v>
      </c>
      <c r="T167" s="94" t="str">
        <f t="shared" si="93"/>
        <v>OK</v>
      </c>
      <c r="U167" s="95" t="str">
        <f t="shared" si="94"/>
        <v/>
      </c>
      <c r="V167" s="96">
        <f t="shared" si="95"/>
        <v>0</v>
      </c>
    </row>
    <row r="168" spans="1:22" x14ac:dyDescent="0.2">
      <c r="A168" s="35">
        <v>1</v>
      </c>
      <c r="B168" s="6">
        <v>797</v>
      </c>
      <c r="C168" s="6">
        <v>337</v>
      </c>
      <c r="D168" s="7" t="s">
        <v>84</v>
      </c>
      <c r="E168" s="7" t="s">
        <v>85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9" t="s">
        <v>13</v>
      </c>
      <c r="L168" s="47" t="s">
        <v>155</v>
      </c>
      <c r="M168" s="17">
        <f t="shared" si="88"/>
        <v>0.26858900000000002</v>
      </c>
      <c r="N168" s="18">
        <f t="shared" si="89"/>
        <v>2.2679999999999998</v>
      </c>
      <c r="O168" s="19">
        <f>IF(E168="HERRAJE",IFERROR(_xlfn.XLOOKUP(D168,'⚙️ Configuración Costos'!$A$11:$A$20,'⚙️ Configuración Costos'!$B$11:$B$20),""),IFERROR(_xlfn.XLOOKUP(E168,'⚙️ Configuración Costos'!$A$5:$A$6,'⚙️ Configuración Costos'!$B$5:$B$6),""))</f>
        <v>332.85245901639348</v>
      </c>
      <c r="P168" s="19">
        <f t="shared" si="90"/>
        <v>89.400509114754115</v>
      </c>
      <c r="Q168" s="19">
        <f>IF(E168="HERRAJE",0,IFERROR(_xlfn.XLOOKUP(E168,'⚙️ Configuración Costos'!$E$5:$E$6,'⚙️ Configuración Costos'!$F$5:$F$6),""))</f>
        <v>9.5</v>
      </c>
      <c r="R168" s="19">
        <f t="shared" si="91"/>
        <v>21.545999999999999</v>
      </c>
      <c r="S168" s="37">
        <f t="shared" si="92"/>
        <v>110.94650911475412</v>
      </c>
      <c r="T168" s="94" t="str">
        <f t="shared" si="93"/>
        <v>OK</v>
      </c>
      <c r="U168" s="95" t="str">
        <f t="shared" si="94"/>
        <v/>
      </c>
      <c r="V168" s="96">
        <f t="shared" si="95"/>
        <v>0</v>
      </c>
    </row>
    <row r="169" spans="1:22" x14ac:dyDescent="0.2">
      <c r="A169" s="35">
        <v>2</v>
      </c>
      <c r="B169" s="6">
        <v>0</v>
      </c>
      <c r="C169" s="6">
        <v>0</v>
      </c>
      <c r="D169" s="7" t="s">
        <v>90</v>
      </c>
      <c r="E169" s="7" t="s">
        <v>91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9" t="s">
        <v>13</v>
      </c>
      <c r="L169" s="47" t="s">
        <v>92</v>
      </c>
      <c r="M169" s="17">
        <f t="shared" si="88"/>
        <v>0</v>
      </c>
      <c r="N169" s="18">
        <f t="shared" si="89"/>
        <v>0</v>
      </c>
      <c r="O169" s="19">
        <f>IF(E169="HERRAJE",IFERROR(_xlfn.XLOOKUP(D169,'⚙️ Configuración Costos'!$A$11:$A$20,'⚙️ Configuración Costos'!$B$11:$B$20),""),IFERROR(_xlfn.XLOOKUP(E169,'⚙️ Configuración Costos'!$A$5:$A$6,'⚙️ Configuración Costos'!$B$5:$B$6),""))</f>
        <v>20</v>
      </c>
      <c r="P169" s="19">
        <f t="shared" si="90"/>
        <v>40</v>
      </c>
      <c r="Q169" s="19">
        <f>IF(E169="HERRAJE",0,IFERROR(_xlfn.XLOOKUP(E169,'⚙️ Configuración Costos'!$E$5:$E$6,'⚙️ Configuración Costos'!$F$5:$F$6),""))</f>
        <v>0</v>
      </c>
      <c r="R169" s="19">
        <f t="shared" si="91"/>
        <v>0</v>
      </c>
      <c r="S169" s="37">
        <f t="shared" si="92"/>
        <v>40</v>
      </c>
      <c r="T169" s="94" t="str">
        <f t="shared" si="93"/>
        <v>OK</v>
      </c>
      <c r="U169" s="95" t="str">
        <f t="shared" si="94"/>
        <v/>
      </c>
      <c r="V169" s="96">
        <f t="shared" si="95"/>
        <v>0</v>
      </c>
    </row>
    <row r="170" spans="1:22" x14ac:dyDescent="0.2">
      <c r="A170" s="35">
        <v>1</v>
      </c>
      <c r="B170" s="6">
        <v>0</v>
      </c>
      <c r="C170" s="6">
        <v>0</v>
      </c>
      <c r="D170" s="7" t="s">
        <v>146</v>
      </c>
      <c r="E170" s="7" t="s">
        <v>91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9" t="s">
        <v>13</v>
      </c>
      <c r="L170" s="47" t="s">
        <v>147</v>
      </c>
      <c r="M170" s="17">
        <f t="shared" si="88"/>
        <v>0</v>
      </c>
      <c r="N170" s="18">
        <f t="shared" si="89"/>
        <v>0</v>
      </c>
      <c r="O170" s="19">
        <f>IF(E170="HERRAJE",IFERROR(_xlfn.XLOOKUP(D170,'⚙️ Configuración Costos'!$A$11:$A$20,'⚙️ Configuración Costos'!$B$11:$B$20),""),IFERROR(_xlfn.XLOOKUP(E170,'⚙️ Configuración Costos'!$A$5:$A$6,'⚙️ Configuración Costos'!$B$5:$B$6),""))</f>
        <v>40</v>
      </c>
      <c r="P170" s="19">
        <f t="shared" si="90"/>
        <v>40</v>
      </c>
      <c r="Q170" s="19">
        <f>IF(E170="HERRAJE",0,IFERROR(_xlfn.XLOOKUP(E170,'⚙️ Configuración Costos'!$E$5:$E$6,'⚙️ Configuración Costos'!$F$5:$F$6),""))</f>
        <v>0</v>
      </c>
      <c r="R170" s="19">
        <f t="shared" si="91"/>
        <v>0</v>
      </c>
      <c r="S170" s="37">
        <f t="shared" si="92"/>
        <v>40</v>
      </c>
      <c r="T170" s="94" t="str">
        <f t="shared" si="93"/>
        <v>OK</v>
      </c>
      <c r="U170" s="95" t="str">
        <f t="shared" si="94"/>
        <v/>
      </c>
      <c r="V170" s="96">
        <f t="shared" si="95"/>
        <v>0</v>
      </c>
    </row>
    <row r="171" spans="1:22" x14ac:dyDescent="0.2">
      <c r="A171" s="35">
        <v>1</v>
      </c>
      <c r="B171" s="6">
        <v>0</v>
      </c>
      <c r="C171" s="6">
        <v>0</v>
      </c>
      <c r="D171" s="7" t="s">
        <v>93</v>
      </c>
      <c r="E171" s="7" t="s">
        <v>91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9" t="s">
        <v>13</v>
      </c>
      <c r="L171" s="47" t="s">
        <v>94</v>
      </c>
      <c r="M171" s="17">
        <f t="shared" si="88"/>
        <v>0</v>
      </c>
      <c r="N171" s="18">
        <f t="shared" si="89"/>
        <v>0</v>
      </c>
      <c r="O171" s="19">
        <f>IF(E171="HERRAJE",IFERROR(_xlfn.XLOOKUP(D171,'⚙️ Configuración Costos'!$A$11:$A$20,'⚙️ Configuración Costos'!$B$11:$B$20),""),IFERROR(_xlfn.XLOOKUP(E171,'⚙️ Configuración Costos'!$A$5:$A$6,'⚙️ Configuración Costos'!$B$5:$B$6),""))</f>
        <v>15</v>
      </c>
      <c r="P171" s="19">
        <f t="shared" si="90"/>
        <v>15</v>
      </c>
      <c r="Q171" s="19">
        <f>IF(E171="HERRAJE",0,IFERROR(_xlfn.XLOOKUP(E171,'⚙️ Configuración Costos'!$E$5:$E$6,'⚙️ Configuración Costos'!$F$5:$F$6),""))</f>
        <v>0</v>
      </c>
      <c r="R171" s="19">
        <f t="shared" si="91"/>
        <v>0</v>
      </c>
      <c r="S171" s="37">
        <f t="shared" si="92"/>
        <v>15</v>
      </c>
      <c r="T171" s="94" t="str">
        <f t="shared" si="93"/>
        <v>OK</v>
      </c>
      <c r="U171" s="95" t="str">
        <f t="shared" si="94"/>
        <v/>
      </c>
      <c r="V171" s="96">
        <f t="shared" si="95"/>
        <v>0</v>
      </c>
    </row>
    <row r="172" spans="1:22" x14ac:dyDescent="0.2">
      <c r="A172" s="36">
        <f>4*(IF(LEFT(D163,4)="Base",A163,0)+IF(LEFT(D163,4)="Piso",A163,0)+IF(LEFT(D163,5)="Techo",A163,0)+IF(LEFT(D164,4)="Base",A164,0)+IF(LEFT(D164,4)="Piso",A164,0)+IF(LEFT(D164,5)="Techo",A164,0)+IF(LEFT(D165,4)="Base",A165,0)+IF(LEFT(D165,4)="Piso",A165,0)+IF(LEFT(D165,5)="Techo",A165,0)+IF(LEFT(D166,4)="Base",A166,0)+IF(LEFT(D166,4)="Piso",A166,0)+IF(LEFT(D166,5)="Techo",A166,0)+IF(LEFT(D167,4)="Base",A167,0)+IF(LEFT(D167,4)="Piso",A167,0)+IF(LEFT(D167,5)="Techo",A167,0)+IF(LEFT(D168,4)="Base",A168,0)+IF(LEFT(D168,4)="Piso",A168,0)+IF(LEFT(D168,5)="Techo",A168,0))+10*(IF(LEFT(D163,8)="Respaldo",A163,0)+IF(LEFT(D164,8)="Respaldo",A164,0)+IF(LEFT(D165,8)="Respaldo",A165,0)+IF(LEFT(D166,8)="Respaldo",A166,0)+IF(LEFT(D167,8)="Respaldo",A167,0)+IF(LEFT(D168,8)="Respaldo",A168,0))+2*(IF(LEFT(D163,8)="Manguete",A163,0)+IF(LEFT(D164,8)="Manguete",A164,0)+IF(LEFT(D165,8)="Manguete",A165,0)+IF(LEFT(D166,8)="Manguete",A166,0)+IF(LEFT(D167,8)="Manguete",A167,0)+IF(LEFT(D168,8)="Manguete",A168,0))</f>
        <v>18</v>
      </c>
      <c r="B172" s="20">
        <v>0</v>
      </c>
      <c r="C172" s="20">
        <v>0</v>
      </c>
      <c r="D172" s="21" t="s">
        <v>400</v>
      </c>
      <c r="E172" s="21" t="s">
        <v>91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3" t="s">
        <v>13</v>
      </c>
      <c r="L172" s="48" t="s">
        <v>360</v>
      </c>
      <c r="M172" s="17">
        <f t="shared" si="88"/>
        <v>0</v>
      </c>
      <c r="N172" s="18">
        <f t="shared" si="89"/>
        <v>0</v>
      </c>
      <c r="O172" s="19">
        <f>IF(E172="HERRAJE",IFERROR(_xlfn.XLOOKUP(D172,'⚙️ Configuración Costos'!$A$11:$A$20,'⚙️ Configuración Costos'!$B$11:$B$20),""),IFERROR(_xlfn.XLOOKUP(E172,'⚙️ Configuración Costos'!$A$5:$A$6,'⚙️ Configuración Costos'!$B$5:$B$6),""))</f>
        <v>3</v>
      </c>
      <c r="P172" s="19">
        <f t="shared" si="90"/>
        <v>54</v>
      </c>
      <c r="Q172" s="19">
        <f>IF(E172="HERRAJE",0,IFERROR(_xlfn.XLOOKUP(E172,'⚙️ Configuración Costos'!$E$5:$E$6,'⚙️ Configuración Costos'!$F$5:$F$6),""))</f>
        <v>0</v>
      </c>
      <c r="R172" s="19">
        <f t="shared" si="91"/>
        <v>0</v>
      </c>
      <c r="S172" s="37">
        <f t="shared" si="92"/>
        <v>54</v>
      </c>
      <c r="T172" s="94" t="str">
        <f t="shared" si="93"/>
        <v>OK</v>
      </c>
      <c r="U172" s="95" t="str">
        <f t="shared" si="94"/>
        <v/>
      </c>
      <c r="V172" s="96">
        <f t="shared" si="95"/>
        <v>0</v>
      </c>
    </row>
    <row r="173" spans="1:22" x14ac:dyDescent="0.2">
      <c r="A173" s="36">
        <f>6*(IF(LEFT(D163,4)="Base",A163,0)+IF(LEFT(D163,4)="Piso",A163,0)+IF(LEFT(D163,5)="Techo",A163,0)+IF(LEFT(D164,4)="Base",A164,0)+IF(LEFT(D164,4)="Piso",A164,0)+IF(LEFT(D164,5)="Techo",A164,0)+IF(LEFT(D165,4)="Base",A165,0)+IF(LEFT(D165,4)="Piso",A165,0)+IF(LEFT(D165,5)="Techo",A165,0)+IF(LEFT(D166,4)="Base",A166,0)+IF(LEFT(D166,4)="Piso",A166,0)+IF(LEFT(D166,5)="Techo",A166,0)+IF(LEFT(D167,4)="Base",A167,0)+IF(LEFT(D167,4)="Piso",A167,0)+IF(LEFT(D167,5)="Techo",A167,0)+IF(LEFT(D168,4)="Base",A168,0)+IF(LEFT(D168,4)="Piso",A168,0)+IF(LEFT(D168,5)="Techo",A168,0))+10*(IF(LEFT(D163,8)="Respaldo",A163,0)+IF(LEFT(D164,8)="Respaldo",A164,0)+IF(LEFT(D165,8)="Respaldo",A165,0)+IF(LEFT(D166,8)="Respaldo",A166,0)+IF(LEFT(D167,8)="Respaldo",A167,0)+IF(LEFT(D168,8)="Respaldo",A168,0))+4*(IF(LEFT(D163,8)="Manguete",A163,0)+IF(LEFT(D164,8)="Manguete",A164,0)+IF(LEFT(D165,8)="Manguete",A165,0)+IF(LEFT(D166,8)="Manguete",A166,0)+IF(LEFT(D167,8)="Manguete",A167,0)+IF(LEFT(D168,8)="Manguete",A168,0))</f>
        <v>22</v>
      </c>
      <c r="B173" s="20">
        <v>0</v>
      </c>
      <c r="C173" s="20">
        <v>0</v>
      </c>
      <c r="D173" s="21" t="s">
        <v>468</v>
      </c>
      <c r="E173" s="21" t="s">
        <v>91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3" t="s">
        <v>13</v>
      </c>
      <c r="L173" s="48" t="s">
        <v>361</v>
      </c>
      <c r="M173" s="17">
        <f t="shared" si="88"/>
        <v>0</v>
      </c>
      <c r="N173" s="18">
        <f t="shared" si="89"/>
        <v>0</v>
      </c>
      <c r="O173" s="19">
        <f>IF(E173="HERRAJE",IFERROR(_xlfn.XLOOKUP(D173,'⚙️ Configuración Costos'!$A$11:$A$20,'⚙️ Configuración Costos'!$B$11:$B$20),""),IFERROR(_xlfn.XLOOKUP(E173,'⚙️ Configuración Costos'!$A$5:$A$6,'⚙️ Configuración Costos'!$B$5:$B$6),""))</f>
        <v>1</v>
      </c>
      <c r="P173" s="19">
        <f t="shared" si="90"/>
        <v>22</v>
      </c>
      <c r="Q173" s="19">
        <f>IF(E173="HERRAJE",0,IFERROR(_xlfn.XLOOKUP(E173,'⚙️ Configuración Costos'!$E$5:$E$6,'⚙️ Configuración Costos'!$F$5:$F$6),""))</f>
        <v>0</v>
      </c>
      <c r="R173" s="19">
        <f t="shared" si="91"/>
        <v>0</v>
      </c>
      <c r="S173" s="37">
        <f t="shared" si="92"/>
        <v>22</v>
      </c>
      <c r="T173" s="94" t="str">
        <f t="shared" si="93"/>
        <v>OK</v>
      </c>
      <c r="U173" s="95" t="str">
        <f t="shared" si="94"/>
        <v/>
      </c>
      <c r="V173" s="96">
        <f t="shared" si="95"/>
        <v>0</v>
      </c>
    </row>
    <row r="174" spans="1:22" x14ac:dyDescent="0.2">
      <c r="A174" s="27" t="s">
        <v>99</v>
      </c>
      <c r="B174" s="27"/>
      <c r="C174" s="27"/>
      <c r="D174" s="28"/>
      <c r="E174" s="28"/>
      <c r="F174" s="29"/>
      <c r="G174" s="29"/>
      <c r="H174" s="29"/>
      <c r="I174" s="29"/>
      <c r="J174" s="29"/>
      <c r="K174" s="30"/>
      <c r="L174" s="49"/>
      <c r="M174" s="31">
        <f>SUM(M163:M173)</f>
        <v>1.21597</v>
      </c>
      <c r="N174" s="32">
        <f>SUM(N163:N173)</f>
        <v>7.984</v>
      </c>
      <c r="O174" s="33"/>
      <c r="P174" s="33">
        <f>SUM(P163:P173)</f>
        <v>575.73860459016396</v>
      </c>
      <c r="Q174" s="33"/>
      <c r="R174" s="33">
        <f>SUM(R163:R173)</f>
        <v>75.848000000000013</v>
      </c>
      <c r="S174" s="33">
        <f>SUM(S163:S173)</f>
        <v>651.58660459016392</v>
      </c>
      <c r="T174" s="97"/>
      <c r="U174" s="98"/>
      <c r="V174" s="99"/>
    </row>
    <row r="175" spans="1:22" x14ac:dyDescent="0.2">
      <c r="A175" s="186" t="s">
        <v>156</v>
      </c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8"/>
      <c r="T175" s="97"/>
      <c r="U175" s="98"/>
      <c r="V175" s="99"/>
    </row>
    <row r="176" spans="1:22" x14ac:dyDescent="0.2">
      <c r="A176" s="35">
        <v>1</v>
      </c>
      <c r="B176" s="44">
        <v>680</v>
      </c>
      <c r="C176" s="44">
        <v>340</v>
      </c>
      <c r="D176" s="43" t="s">
        <v>471</v>
      </c>
      <c r="E176" s="43" t="s">
        <v>85</v>
      </c>
      <c r="F176" s="53">
        <v>1</v>
      </c>
      <c r="G176" s="44">
        <v>1</v>
      </c>
      <c r="H176" s="44">
        <v>1</v>
      </c>
      <c r="I176" s="44">
        <v>1</v>
      </c>
      <c r="J176" s="44">
        <v>1</v>
      </c>
      <c r="K176" s="23" t="s">
        <v>14</v>
      </c>
      <c r="L176" t="s">
        <v>157</v>
      </c>
      <c r="M176" s="17">
        <f t="shared" ref="M176:M184" si="96">IF(AND(ISNUMBER(B176),ISNUMBER(C176),B176&gt;0,C176&gt;0),A176*(B176*C176/1000000),0)</f>
        <v>0.23119999999999999</v>
      </c>
      <c r="N176" s="18">
        <f t="shared" ref="N176:N184" si="97">IF(AND(ISNUMBER(B176),B176&gt;0),A176*(((G176+H176)*B176+(I176+J176)*C176)/1000),0)</f>
        <v>2.04</v>
      </c>
      <c r="O176" s="19">
        <f>IF(E176="HERRAJE",IFERROR(_xlfn.XLOOKUP(D176,'⚙️ Configuración Costos'!$A$11:$A$20,'⚙️ Configuración Costos'!$B$11:$B$20),""),IFERROR(_xlfn.XLOOKUP(E176,'⚙️ Configuración Costos'!$A$5:$A$6,'⚙️ Configuración Costos'!$B$5:$B$6),""))</f>
        <v>332.85245901639348</v>
      </c>
      <c r="P176" s="19">
        <f t="shared" ref="P176:P184" si="98">IF(E176="HERRAJE",A176*O176,M176*O176)</f>
        <v>76.955488524590166</v>
      </c>
      <c r="Q176" s="19">
        <f>IF(E176="HERRAJE",0,IFERROR(_xlfn.XLOOKUP(E176,'⚙️ Configuración Costos'!$E$5:$E$6,'⚙️ Configuración Costos'!$F$5:$F$6),""))</f>
        <v>9.5</v>
      </c>
      <c r="R176" s="19">
        <f t="shared" ref="R176:R184" si="99">N176*Q176</f>
        <v>19.38</v>
      </c>
      <c r="S176" s="37">
        <f t="shared" ref="S176:S184" si="100">P176+R176</f>
        <v>96.335488524590161</v>
      </c>
      <c r="T176" s="94" t="str">
        <f t="shared" ref="T176:T184" si="101">IF(K176="","SIN ID MÓDULO",IF(E176="HERRAJE",IF(OR(O176="",O176&lt;=0),"SIN PRECIO HERRAJE","OK"),IF(OR(O176="",O176&lt;=0),"SIN PRECIO MATERIAL",IF(AND(N176&gt;0,OR(Q176="",Q176&lt;=0)),"SIN PRECIO CINTILLA","OK"))))</f>
        <v>OK</v>
      </c>
      <c r="U176" s="95" t="str">
        <f t="shared" ref="U176:U184" si="102">IF(T176="OK","",IF(T176="SIN PRECIO HERRAJE","Capturar precio: "&amp;D176,IF(T176="SIN PRECIO MATERIAL","Configurar material: "&amp;E176,IF(T176="SIN PRECIO CINTILLA","Configurar cintilla: "&amp;E176,IF(T176="SIN ID MÓDULO","Revisar ID del módulo","")))))</f>
        <v/>
      </c>
      <c r="V176" s="96">
        <f t="shared" ref="V176:V184" si="103">IF(T176="OK",0,IF(T176="",0,1))</f>
        <v>0</v>
      </c>
    </row>
    <row r="177" spans="1:22" x14ac:dyDescent="0.2">
      <c r="A177" s="35">
        <v>1</v>
      </c>
      <c r="B177" s="44">
        <v>680</v>
      </c>
      <c r="C177" s="44">
        <v>340</v>
      </c>
      <c r="D177" s="43" t="s">
        <v>472</v>
      </c>
      <c r="E177" s="43" t="s">
        <v>85</v>
      </c>
      <c r="F177" s="53">
        <v>1</v>
      </c>
      <c r="G177" s="44">
        <v>1</v>
      </c>
      <c r="H177" s="44">
        <v>1</v>
      </c>
      <c r="I177" s="44">
        <v>1</v>
      </c>
      <c r="J177" s="44">
        <v>1</v>
      </c>
      <c r="K177" s="23" t="s">
        <v>14</v>
      </c>
      <c r="L177" t="s">
        <v>158</v>
      </c>
      <c r="M177" s="17">
        <f t="shared" si="96"/>
        <v>0.23119999999999999</v>
      </c>
      <c r="N177" s="18">
        <f t="shared" si="97"/>
        <v>2.04</v>
      </c>
      <c r="O177" s="19">
        <f>IF(E177="HERRAJE",IFERROR(_xlfn.XLOOKUP(D177,'⚙️ Configuración Costos'!$A$11:$A$20,'⚙️ Configuración Costos'!$B$11:$B$20),""),IFERROR(_xlfn.XLOOKUP(E177,'⚙️ Configuración Costos'!$A$5:$A$6,'⚙️ Configuración Costos'!$B$5:$B$6),""))</f>
        <v>332.85245901639348</v>
      </c>
      <c r="P177" s="19">
        <f t="shared" si="98"/>
        <v>76.955488524590166</v>
      </c>
      <c r="Q177" s="19">
        <f>IF(E177="HERRAJE",0,IFERROR(_xlfn.XLOOKUP(E177,'⚙️ Configuración Costos'!$E$5:$E$6,'⚙️ Configuración Costos'!$F$5:$F$6),""))</f>
        <v>9.5</v>
      </c>
      <c r="R177" s="19">
        <f t="shared" si="99"/>
        <v>19.38</v>
      </c>
      <c r="S177" s="37">
        <f t="shared" si="100"/>
        <v>96.335488524590161</v>
      </c>
      <c r="T177" s="94" t="str">
        <f t="shared" si="101"/>
        <v>OK</v>
      </c>
      <c r="U177" s="95" t="str">
        <f t="shared" si="102"/>
        <v/>
      </c>
      <c r="V177" s="96">
        <f t="shared" si="103"/>
        <v>0</v>
      </c>
    </row>
    <row r="178" spans="1:22" x14ac:dyDescent="0.2">
      <c r="A178" s="35">
        <v>1</v>
      </c>
      <c r="B178" s="44">
        <v>649</v>
      </c>
      <c r="C178" s="44">
        <v>239</v>
      </c>
      <c r="D178" s="43" t="s">
        <v>473</v>
      </c>
      <c r="E178" s="43" t="s">
        <v>85</v>
      </c>
      <c r="F178" s="53">
        <v>1</v>
      </c>
      <c r="G178" s="44">
        <v>0</v>
      </c>
      <c r="H178" s="44">
        <v>0</v>
      </c>
      <c r="I178" s="44">
        <v>0</v>
      </c>
      <c r="J178" s="44">
        <v>0</v>
      </c>
      <c r="K178" s="23" t="s">
        <v>14</v>
      </c>
      <c r="L178" t="s">
        <v>159</v>
      </c>
      <c r="M178" s="17">
        <f t="shared" si="96"/>
        <v>0.155111</v>
      </c>
      <c r="N178" s="18">
        <f t="shared" si="97"/>
        <v>0</v>
      </c>
      <c r="O178" s="19">
        <f>IF(E178="HERRAJE",IFERROR(_xlfn.XLOOKUP(D178,'⚙️ Configuración Costos'!$A$11:$A$20,'⚙️ Configuración Costos'!$B$11:$B$20),""),IFERROR(_xlfn.XLOOKUP(E178,'⚙️ Configuración Costos'!$A$5:$A$6,'⚙️ Configuración Costos'!$B$5:$B$6),""))</f>
        <v>332.85245901639348</v>
      </c>
      <c r="P178" s="19">
        <f t="shared" si="98"/>
        <v>51.629077770491811</v>
      </c>
      <c r="Q178" s="19">
        <f>IF(E178="HERRAJE",0,IFERROR(_xlfn.XLOOKUP(E178,'⚙️ Configuración Costos'!$E$5:$E$6,'⚙️ Configuración Costos'!$F$5:$F$6),""))</f>
        <v>9.5</v>
      </c>
      <c r="R178" s="19">
        <f t="shared" si="99"/>
        <v>0</v>
      </c>
      <c r="S178" s="37">
        <f t="shared" si="100"/>
        <v>51.629077770491811</v>
      </c>
      <c r="T178" s="94" t="str">
        <f t="shared" si="101"/>
        <v>OK</v>
      </c>
      <c r="U178" s="95" t="str">
        <f t="shared" si="102"/>
        <v/>
      </c>
      <c r="V178" s="96">
        <f t="shared" si="103"/>
        <v>0</v>
      </c>
    </row>
    <row r="179" spans="1:22" x14ac:dyDescent="0.2">
      <c r="A179" s="35">
        <v>1</v>
      </c>
      <c r="B179" s="44">
        <v>239</v>
      </c>
      <c r="C179" s="44">
        <v>340</v>
      </c>
      <c r="D179" s="43" t="s">
        <v>474</v>
      </c>
      <c r="E179" s="43" t="s">
        <v>85</v>
      </c>
      <c r="F179" s="53">
        <v>1</v>
      </c>
      <c r="G179" s="44">
        <v>0</v>
      </c>
      <c r="H179" s="44">
        <v>0</v>
      </c>
      <c r="I179" s="44">
        <v>1</v>
      </c>
      <c r="J179" s="44">
        <v>1</v>
      </c>
      <c r="K179" s="23" t="s">
        <v>14</v>
      </c>
      <c r="L179" t="s">
        <v>160</v>
      </c>
      <c r="M179" s="17">
        <f t="shared" si="96"/>
        <v>8.1259999999999999E-2</v>
      </c>
      <c r="N179" s="18">
        <f t="shared" si="97"/>
        <v>0.68</v>
      </c>
      <c r="O179" s="19">
        <f>IF(E179="HERRAJE",IFERROR(_xlfn.XLOOKUP(D179,'⚙️ Configuración Costos'!$A$11:$A$20,'⚙️ Configuración Costos'!$B$11:$B$20),""),IFERROR(_xlfn.XLOOKUP(E179,'⚙️ Configuración Costos'!$A$5:$A$6,'⚙️ Configuración Costos'!$B$5:$B$6),""))</f>
        <v>332.85245901639348</v>
      </c>
      <c r="P179" s="19">
        <f t="shared" si="98"/>
        <v>27.047590819672134</v>
      </c>
      <c r="Q179" s="19">
        <f>IF(E179="HERRAJE",0,IFERROR(_xlfn.XLOOKUP(E179,'⚙️ Configuración Costos'!$E$5:$E$6,'⚙️ Configuración Costos'!$F$5:$F$6),""))</f>
        <v>9.5</v>
      </c>
      <c r="R179" s="19">
        <f t="shared" si="99"/>
        <v>6.4600000000000009</v>
      </c>
      <c r="S179" s="37">
        <f t="shared" si="100"/>
        <v>33.507590819672131</v>
      </c>
      <c r="T179" s="94" t="str">
        <f t="shared" si="101"/>
        <v>OK</v>
      </c>
      <c r="U179" s="95" t="str">
        <f t="shared" si="102"/>
        <v/>
      </c>
      <c r="V179" s="96">
        <f t="shared" si="103"/>
        <v>0</v>
      </c>
    </row>
    <row r="180" spans="1:22" x14ac:dyDescent="0.2">
      <c r="A180" s="35">
        <v>1</v>
      </c>
      <c r="B180" s="44">
        <v>239</v>
      </c>
      <c r="C180" s="44">
        <v>340</v>
      </c>
      <c r="D180" s="43" t="s">
        <v>475</v>
      </c>
      <c r="E180" s="43" t="s">
        <v>85</v>
      </c>
      <c r="F180" s="53">
        <v>1</v>
      </c>
      <c r="G180" s="44">
        <v>0</v>
      </c>
      <c r="H180" s="44">
        <v>0</v>
      </c>
      <c r="I180" s="44">
        <v>1</v>
      </c>
      <c r="J180" s="44">
        <v>1</v>
      </c>
      <c r="K180" s="23" t="s">
        <v>14</v>
      </c>
      <c r="L180" t="s">
        <v>161</v>
      </c>
      <c r="M180" s="17">
        <f t="shared" si="96"/>
        <v>8.1259999999999999E-2</v>
      </c>
      <c r="N180" s="18">
        <f t="shared" si="97"/>
        <v>0.68</v>
      </c>
      <c r="O180" s="19">
        <f>IF(E180="HERRAJE",IFERROR(_xlfn.XLOOKUP(D180,'⚙️ Configuración Costos'!$A$11:$A$20,'⚙️ Configuración Costos'!$B$11:$B$20),""),IFERROR(_xlfn.XLOOKUP(E180,'⚙️ Configuración Costos'!$A$5:$A$6,'⚙️ Configuración Costos'!$B$5:$B$6),""))</f>
        <v>332.85245901639348</v>
      </c>
      <c r="P180" s="19">
        <f t="shared" si="98"/>
        <v>27.047590819672134</v>
      </c>
      <c r="Q180" s="19">
        <f>IF(E180="HERRAJE",0,IFERROR(_xlfn.XLOOKUP(E180,'⚙️ Configuración Costos'!$E$5:$E$6,'⚙️ Configuración Costos'!$F$5:$F$6),""))</f>
        <v>9.5</v>
      </c>
      <c r="R180" s="19">
        <f t="shared" si="99"/>
        <v>6.4600000000000009</v>
      </c>
      <c r="S180" s="37">
        <f t="shared" si="100"/>
        <v>33.507590819672131</v>
      </c>
      <c r="T180" s="94" t="str">
        <f t="shared" si="101"/>
        <v>OK</v>
      </c>
      <c r="U180" s="95" t="str">
        <f t="shared" si="102"/>
        <v/>
      </c>
      <c r="V180" s="96">
        <f t="shared" si="103"/>
        <v>0</v>
      </c>
    </row>
    <row r="181" spans="1:22" x14ac:dyDescent="0.2">
      <c r="A181" s="35">
        <v>1</v>
      </c>
      <c r="B181" s="44">
        <v>239</v>
      </c>
      <c r="C181" s="44">
        <v>276</v>
      </c>
      <c r="D181" s="43" t="s">
        <v>476</v>
      </c>
      <c r="E181" s="43" t="s">
        <v>85</v>
      </c>
      <c r="F181" s="53">
        <v>1</v>
      </c>
      <c r="G181" s="44">
        <v>1</v>
      </c>
      <c r="H181" s="44">
        <v>0</v>
      </c>
      <c r="I181" s="44">
        <v>0</v>
      </c>
      <c r="J181" s="44">
        <v>0</v>
      </c>
      <c r="K181" s="23" t="s">
        <v>14</v>
      </c>
      <c r="L181" t="s">
        <v>162</v>
      </c>
      <c r="M181" s="17">
        <f t="shared" si="96"/>
        <v>6.5963999999999995E-2</v>
      </c>
      <c r="N181" s="18">
        <f t="shared" si="97"/>
        <v>0.23899999999999999</v>
      </c>
      <c r="O181" s="19">
        <f>IF(E181="HERRAJE",IFERROR(_xlfn.XLOOKUP(D181,'⚙️ Configuración Costos'!$A$11:$A$20,'⚙️ Configuración Costos'!$B$11:$B$20),""),IFERROR(_xlfn.XLOOKUP(E181,'⚙️ Configuración Costos'!$A$5:$A$6,'⚙️ Configuración Costos'!$B$5:$B$6),""))</f>
        <v>332.85245901639348</v>
      </c>
      <c r="P181" s="19">
        <f t="shared" si="98"/>
        <v>21.956279606557377</v>
      </c>
      <c r="Q181" s="19">
        <f>IF(E181="HERRAJE",0,IFERROR(_xlfn.XLOOKUP(E181,'⚙️ Configuración Costos'!$E$5:$E$6,'⚙️ Configuración Costos'!$F$5:$F$6),""))</f>
        <v>9.5</v>
      </c>
      <c r="R181" s="19">
        <f t="shared" si="99"/>
        <v>2.2704999999999997</v>
      </c>
      <c r="S181" s="37">
        <f t="shared" si="100"/>
        <v>24.226779606557376</v>
      </c>
      <c r="T181" s="94" t="str">
        <f t="shared" si="101"/>
        <v>OK</v>
      </c>
      <c r="U181" s="95" t="str">
        <f t="shared" si="102"/>
        <v/>
      </c>
      <c r="V181" s="96">
        <f t="shared" si="103"/>
        <v>0</v>
      </c>
    </row>
    <row r="182" spans="1:22" x14ac:dyDescent="0.2">
      <c r="A182" s="35">
        <v>4</v>
      </c>
      <c r="B182" s="6">
        <v>0</v>
      </c>
      <c r="C182" s="6">
        <v>0</v>
      </c>
      <c r="D182" s="7" t="s">
        <v>95</v>
      </c>
      <c r="E182" s="7" t="s">
        <v>91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9" t="s">
        <v>14</v>
      </c>
      <c r="L182" s="47" t="s">
        <v>96</v>
      </c>
      <c r="M182" s="17">
        <f t="shared" si="96"/>
        <v>0</v>
      </c>
      <c r="N182" s="18">
        <f t="shared" si="97"/>
        <v>0</v>
      </c>
      <c r="O182" s="19">
        <f>IF(E182="HERRAJE",IFERROR(_xlfn.XLOOKUP(D182,'⚙️ Configuración Costos'!$A$11:$A$20,'⚙️ Configuración Costos'!$B$11:$B$20),""),IFERROR(_xlfn.XLOOKUP(E182,'⚙️ Configuración Costos'!$A$5:$A$6,'⚙️ Configuración Costos'!$B$5:$B$6),""))</f>
        <v>2</v>
      </c>
      <c r="P182" s="19">
        <f t="shared" si="98"/>
        <v>8</v>
      </c>
      <c r="Q182" s="19">
        <f>IF(E182="HERRAJE",0,IFERROR(_xlfn.XLOOKUP(E182,'⚙️ Configuración Costos'!$E$5:$E$6,'⚙️ Configuración Costos'!$F$5:$F$6),""))</f>
        <v>0</v>
      </c>
      <c r="R182" s="19">
        <f t="shared" si="99"/>
        <v>0</v>
      </c>
      <c r="S182" s="37">
        <f t="shared" si="100"/>
        <v>8</v>
      </c>
      <c r="T182" s="94" t="str">
        <f t="shared" si="101"/>
        <v>OK</v>
      </c>
      <c r="U182" s="95" t="str">
        <f t="shared" si="102"/>
        <v/>
      </c>
      <c r="V182" s="96">
        <f t="shared" si="103"/>
        <v>0</v>
      </c>
    </row>
    <row r="183" spans="1:22" x14ac:dyDescent="0.2">
      <c r="A183" s="36">
        <f>4*(IF(LEFT(D176,4)="Base",A176,0)+IF(LEFT(D176,4)="Piso",A176,0)+IF(LEFT(D176,5)="Techo",A176,0)+IF(LEFT(D177,4)="Base",A177,0)+IF(LEFT(D177,4)="Piso",A177,0)+IF(LEFT(D177,5)="Techo",A177,0)+IF(LEFT(D178,4)="Base",A178,0)+IF(LEFT(D178,4)="Piso",A178,0)+IF(LEFT(D178,5)="Techo",A178,0)+IF(LEFT(D179,4)="Base",A179,0)+IF(LEFT(D179,4)="Piso",A179,0)+IF(LEFT(D179,5)="Techo",A179,0)+IF(LEFT(D180,4)="Base",A180,0)+IF(LEFT(D180,4)="Piso",A180,0)+IF(LEFT(D180,5)="Techo",A180,0)+IF(LEFT(D181,4)="Base",A181,0)+IF(LEFT(D181,4)="Piso",A181,0)+IF(LEFT(D181,5)="Techo",A181,0))+10*(IF(LEFT(D176,8)="Respaldo",A176,0)+IF(LEFT(D177,8)="Respaldo",A177,0)+IF(LEFT(D178,8)="Respaldo",A178,0)+IF(LEFT(D179,8)="Respaldo",A179,0)+IF(LEFT(D180,8)="Respaldo",A180,0)+IF(LEFT(D181,8)="Respaldo",A181,0))+2*(IF(LEFT(D176,8)="Manguete",A176,0)+IF(LEFT(D177,8)="Manguete",A177,0)+IF(LEFT(D178,8)="Manguete",A178,0)+IF(LEFT(D179,8)="Manguete",A179,0)+IF(LEFT(D180,8)="Manguete",A180,0)+IF(LEFT(D181,8)="Manguete",A181,0))</f>
        <v>18</v>
      </c>
      <c r="B183" s="20">
        <v>0</v>
      </c>
      <c r="C183" s="20">
        <v>0</v>
      </c>
      <c r="D183" s="21" t="s">
        <v>400</v>
      </c>
      <c r="E183" s="21" t="s">
        <v>91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3" t="s">
        <v>14</v>
      </c>
      <c r="L183" s="48" t="s">
        <v>360</v>
      </c>
      <c r="M183" s="17">
        <f t="shared" si="96"/>
        <v>0</v>
      </c>
      <c r="N183" s="18">
        <f t="shared" si="97"/>
        <v>0</v>
      </c>
      <c r="O183" s="19">
        <f>IF(E183="HERRAJE",IFERROR(_xlfn.XLOOKUP(D183,'⚙️ Configuración Costos'!$A$11:$A$20,'⚙️ Configuración Costos'!$B$11:$B$20),""),IFERROR(_xlfn.XLOOKUP(E183,'⚙️ Configuración Costos'!$A$5:$A$6,'⚙️ Configuración Costos'!$B$5:$B$6),""))</f>
        <v>3</v>
      </c>
      <c r="P183" s="19">
        <f t="shared" si="98"/>
        <v>54</v>
      </c>
      <c r="Q183" s="19">
        <f>IF(E183="HERRAJE",0,IFERROR(_xlfn.XLOOKUP(E183,'⚙️ Configuración Costos'!$E$5:$E$6,'⚙️ Configuración Costos'!$F$5:$F$6),""))</f>
        <v>0</v>
      </c>
      <c r="R183" s="19">
        <f t="shared" si="99"/>
        <v>0</v>
      </c>
      <c r="S183" s="37">
        <f t="shared" si="100"/>
        <v>54</v>
      </c>
      <c r="T183" s="94" t="str">
        <f t="shared" si="101"/>
        <v>OK</v>
      </c>
      <c r="U183" s="95" t="str">
        <f t="shared" si="102"/>
        <v/>
      </c>
      <c r="V183" s="96">
        <f t="shared" si="103"/>
        <v>0</v>
      </c>
    </row>
    <row r="184" spans="1:22" x14ac:dyDescent="0.2">
      <c r="A184" s="36">
        <f>6*(IF(LEFT(D176,4)="Base",A176,0)+IF(LEFT(D176,4)="Piso",A176,0)+IF(LEFT(D176,5)="Techo",A176,0)+IF(LEFT(D177,4)="Base",A177,0)+IF(LEFT(D177,4)="Piso",A177,0)+IF(LEFT(D177,5)="Techo",A177,0)+IF(LEFT(D178,4)="Base",A178,0)+IF(LEFT(D178,4)="Piso",A178,0)+IF(LEFT(D178,5)="Techo",A178,0)+IF(LEFT(D179,4)="Base",A179,0)+IF(LEFT(D179,4)="Piso",A179,0)+IF(LEFT(D179,5)="Techo",A179,0)+IF(LEFT(D180,4)="Base",A180,0)+IF(LEFT(D180,4)="Piso",A180,0)+IF(LEFT(D180,5)="Techo",A180,0)+IF(LEFT(D181,4)="Base",A181,0)+IF(LEFT(D181,4)="Piso",A181,0)+IF(LEFT(D181,5)="Techo",A181,0))+10*(IF(LEFT(D176,8)="Respaldo",A176,0)+IF(LEFT(D177,8)="Respaldo",A177,0)+IF(LEFT(D178,8)="Respaldo",A178,0)+IF(LEFT(D179,8)="Respaldo",A179,0)+IF(LEFT(D180,8)="Respaldo",A180,0)+IF(LEFT(D181,8)="Respaldo",A181,0))+4*(IF(LEFT(D176,8)="Manguete",A176,0)+IF(LEFT(D177,8)="Manguete",A177,0)+IF(LEFT(D178,8)="Manguete",A178,0)+IF(LEFT(D179,8)="Manguete",A179,0)+IF(LEFT(D180,8)="Manguete",A180,0)+IF(LEFT(D181,8)="Manguete",A181,0))</f>
        <v>22</v>
      </c>
      <c r="B184" s="20">
        <v>0</v>
      </c>
      <c r="C184" s="20">
        <v>0</v>
      </c>
      <c r="D184" s="21" t="s">
        <v>468</v>
      </c>
      <c r="E184" s="21" t="s">
        <v>91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3" t="s">
        <v>14</v>
      </c>
      <c r="L184" s="48" t="s">
        <v>361</v>
      </c>
      <c r="M184" s="17">
        <f t="shared" si="96"/>
        <v>0</v>
      </c>
      <c r="N184" s="18">
        <f t="shared" si="97"/>
        <v>0</v>
      </c>
      <c r="O184" s="19">
        <f>IF(E184="HERRAJE",IFERROR(_xlfn.XLOOKUP(D184,'⚙️ Configuración Costos'!$A$11:$A$20,'⚙️ Configuración Costos'!$B$11:$B$20),""),IFERROR(_xlfn.XLOOKUP(E184,'⚙️ Configuración Costos'!$A$5:$A$6,'⚙️ Configuración Costos'!$B$5:$B$6),""))</f>
        <v>1</v>
      </c>
      <c r="P184" s="19">
        <f t="shared" si="98"/>
        <v>22</v>
      </c>
      <c r="Q184" s="19">
        <f>IF(E184="HERRAJE",0,IFERROR(_xlfn.XLOOKUP(E184,'⚙️ Configuración Costos'!$E$5:$E$6,'⚙️ Configuración Costos'!$F$5:$F$6),""))</f>
        <v>0</v>
      </c>
      <c r="R184" s="19">
        <f t="shared" si="99"/>
        <v>0</v>
      </c>
      <c r="S184" s="37">
        <f t="shared" si="100"/>
        <v>22</v>
      </c>
      <c r="T184" s="94" t="str">
        <f t="shared" si="101"/>
        <v>OK</v>
      </c>
      <c r="U184" s="95" t="str">
        <f t="shared" si="102"/>
        <v/>
      </c>
      <c r="V184" s="96">
        <f t="shared" si="103"/>
        <v>0</v>
      </c>
    </row>
    <row r="185" spans="1:22" ht="16" thickTop="1" x14ac:dyDescent="0.2">
      <c r="A185" s="27" t="s">
        <v>99</v>
      </c>
      <c r="B185" s="27"/>
      <c r="C185" s="27"/>
      <c r="D185" s="28"/>
      <c r="E185" s="28"/>
      <c r="F185" s="29"/>
      <c r="G185" s="29"/>
      <c r="H185" s="29"/>
      <c r="I185" s="29"/>
      <c r="J185" s="29"/>
      <c r="K185" s="30"/>
      <c r="L185" s="49"/>
      <c r="M185" s="31">
        <f>SUM(M176:M184)</f>
        <v>0.84599499999999994</v>
      </c>
      <c r="N185" s="32">
        <f>SUM(N176:N184)</f>
        <v>5.6789999999999994</v>
      </c>
      <c r="O185" s="33"/>
      <c r="P185" s="33">
        <f>SUM(P176:P184)</f>
        <v>365.59151606557378</v>
      </c>
      <c r="Q185" s="33"/>
      <c r="R185" s="33">
        <f>SUM(R176:R184)</f>
        <v>53.950499999999998</v>
      </c>
      <c r="S185" s="33">
        <f>SUM(S176:S184)</f>
        <v>419.54201606557382</v>
      </c>
      <c r="T185" s="97"/>
      <c r="U185" s="98"/>
      <c r="V185" s="99"/>
    </row>
    <row r="186" spans="1:22" x14ac:dyDescent="0.2">
      <c r="A186" s="186" t="s">
        <v>632</v>
      </c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8"/>
      <c r="T186" s="97"/>
      <c r="U186" s="98"/>
      <c r="V186" s="99"/>
    </row>
    <row r="187" spans="1:22" x14ac:dyDescent="0.2">
      <c r="A187" s="35">
        <v>1</v>
      </c>
      <c r="B187" s="44">
        <v>340</v>
      </c>
      <c r="C187" s="44">
        <v>340</v>
      </c>
      <c r="D187" s="43" t="s">
        <v>471</v>
      </c>
      <c r="E187" s="43" t="s">
        <v>85</v>
      </c>
      <c r="F187" s="53">
        <v>1</v>
      </c>
      <c r="G187" s="44">
        <v>1</v>
      </c>
      <c r="H187" s="44">
        <v>1</v>
      </c>
      <c r="I187" s="44">
        <v>1</v>
      </c>
      <c r="J187" s="44">
        <v>1</v>
      </c>
      <c r="K187" s="23" t="s">
        <v>633</v>
      </c>
      <c r="L187" t="s">
        <v>157</v>
      </c>
      <c r="M187" s="17">
        <f t="shared" ref="M187:M193" si="104">IF(AND(ISNUMBER(B187),ISNUMBER(C187),B187&gt;0,C187&gt;0),A187*(B187*C187/1000000),0)</f>
        <v>0.11559999999999999</v>
      </c>
      <c r="N187" s="18">
        <f t="shared" ref="N187:N193" si="105">IF(AND(ISNUMBER(B187),B187&gt;0),A187*(((G187+H187)*B187+(I187+J187)*C187)/1000),0)</f>
        <v>1.36</v>
      </c>
      <c r="O187" s="19">
        <f>IF(E187="HERRAJE",IFERROR(_xlfn.XLOOKUP(D187,'⚙️ Configuración Costos'!$A$11:$A$20,'⚙️ Configuración Costos'!$B$11:$B$20),""),IFERROR(_xlfn.XLOOKUP(E187,'⚙️ Configuración Costos'!$A$5:$A$6,'⚙️ Configuración Costos'!$B$5:$B$6),""))</f>
        <v>332.85245901639348</v>
      </c>
      <c r="P187" s="19">
        <f t="shared" ref="P187:P193" si="106">IF(E187="HERRAJE",A187*O187,M187*O187)</f>
        <v>38.477744262295083</v>
      </c>
      <c r="Q187" s="19">
        <f>IF(E187="HERRAJE",0,IFERROR(_xlfn.XLOOKUP(E187,'⚙️ Configuración Costos'!$E$5:$E$6,'⚙️ Configuración Costos'!$F$5:$F$6),""))</f>
        <v>9.5</v>
      </c>
      <c r="R187" s="19">
        <f t="shared" ref="R187:R193" si="107">N187*Q187</f>
        <v>12.920000000000002</v>
      </c>
      <c r="S187" s="37">
        <f t="shared" ref="S187:S193" si="108">P187+R187</f>
        <v>51.397744262295085</v>
      </c>
      <c r="T187" s="94" t="str">
        <f t="shared" ref="T187:T193" si="109">IF(K187="","SIN ID MÓDULO",IF(E187="HERRAJE",IF(OR(O187="",O187&lt;=0),"SIN PRECIO HERRAJE","OK"),IF(OR(O187="",O187&lt;=0),"SIN PRECIO MATERIAL",IF(AND(N187&gt;0,OR(Q187="",Q187&lt;=0)),"SIN PRECIO CINTILLA","OK"))))</f>
        <v>OK</v>
      </c>
      <c r="U187" s="95" t="str">
        <f t="shared" ref="U187:U193" si="110">IF(T187="OK","",IF(T187="SIN PRECIO HERRAJE","Capturar precio: "&amp;D187,IF(T187="SIN PRECIO MATERIAL","Configurar material: "&amp;E187,IF(T187="SIN PRECIO CINTILLA","Configurar cintilla: "&amp;E187,IF(T187="SIN ID MÓDULO","Revisar ID del módulo","")))))</f>
        <v/>
      </c>
      <c r="V187" s="96">
        <f t="shared" ref="V187:V193" si="111">IF(T187="OK",0,IF(T187="",0,1))</f>
        <v>0</v>
      </c>
    </row>
    <row r="188" spans="1:22" x14ac:dyDescent="0.2">
      <c r="A188" s="35">
        <v>1</v>
      </c>
      <c r="B188" s="44">
        <v>340</v>
      </c>
      <c r="C188" s="44">
        <v>340</v>
      </c>
      <c r="D188" s="43" t="s">
        <v>472</v>
      </c>
      <c r="E188" s="43" t="s">
        <v>85</v>
      </c>
      <c r="F188" s="53">
        <v>1</v>
      </c>
      <c r="G188" s="44">
        <v>1</v>
      </c>
      <c r="H188" s="44">
        <v>1</v>
      </c>
      <c r="I188" s="44">
        <v>1</v>
      </c>
      <c r="J188" s="44">
        <v>1</v>
      </c>
      <c r="K188" s="23" t="s">
        <v>633</v>
      </c>
      <c r="L188" t="s">
        <v>158</v>
      </c>
      <c r="M188" s="17">
        <f t="shared" si="104"/>
        <v>0.11559999999999999</v>
      </c>
      <c r="N188" s="18">
        <f t="shared" si="105"/>
        <v>1.36</v>
      </c>
      <c r="O188" s="19">
        <f>IF(E188="HERRAJE",IFERROR(_xlfn.XLOOKUP(D188,'⚙️ Configuración Costos'!$A$11:$A$20,'⚙️ Configuración Costos'!$B$11:$B$20),""),IFERROR(_xlfn.XLOOKUP(E188,'⚙️ Configuración Costos'!$A$5:$A$6,'⚙️ Configuración Costos'!$B$5:$B$6),""))</f>
        <v>332.85245901639348</v>
      </c>
      <c r="P188" s="19">
        <f t="shared" si="106"/>
        <v>38.477744262295083</v>
      </c>
      <c r="Q188" s="19">
        <f>IF(E188="HERRAJE",0,IFERROR(_xlfn.XLOOKUP(E188,'⚙️ Configuración Costos'!$E$5:$E$6,'⚙️ Configuración Costos'!$F$5:$F$6),""))</f>
        <v>9.5</v>
      </c>
      <c r="R188" s="19">
        <f t="shared" si="107"/>
        <v>12.920000000000002</v>
      </c>
      <c r="S188" s="37">
        <f t="shared" si="108"/>
        <v>51.397744262295085</v>
      </c>
      <c r="T188" s="94" t="str">
        <f t="shared" si="109"/>
        <v>OK</v>
      </c>
      <c r="U188" s="95" t="str">
        <f t="shared" si="110"/>
        <v/>
      </c>
      <c r="V188" s="96">
        <f t="shared" si="111"/>
        <v>0</v>
      </c>
    </row>
    <row r="189" spans="1:22" x14ac:dyDescent="0.2">
      <c r="A189" s="35">
        <v>1</v>
      </c>
      <c r="B189" s="44">
        <v>309</v>
      </c>
      <c r="C189" s="44">
        <v>469</v>
      </c>
      <c r="D189" s="43" t="s">
        <v>473</v>
      </c>
      <c r="E189" s="43" t="s">
        <v>85</v>
      </c>
      <c r="F189" s="53">
        <v>1</v>
      </c>
      <c r="G189" s="44">
        <v>0</v>
      </c>
      <c r="H189" s="44">
        <v>0</v>
      </c>
      <c r="I189" s="44">
        <v>0</v>
      </c>
      <c r="J189" s="44">
        <v>0</v>
      </c>
      <c r="K189" s="23" t="s">
        <v>633</v>
      </c>
      <c r="L189" t="s">
        <v>634</v>
      </c>
      <c r="M189" s="17">
        <f t="shared" si="104"/>
        <v>0.14492099999999999</v>
      </c>
      <c r="N189" s="18">
        <f t="shared" si="105"/>
        <v>0</v>
      </c>
      <c r="O189" s="19">
        <f>IF(E189="HERRAJE",IFERROR(_xlfn.XLOOKUP(D189,'⚙️ Configuración Costos'!$A$11:$A$20,'⚙️ Configuración Costos'!$B$11:$B$20),""),IFERROR(_xlfn.XLOOKUP(E189,'⚙️ Configuración Costos'!$A$5:$A$6,'⚙️ Configuración Costos'!$B$5:$B$6),""))</f>
        <v>332.85245901639348</v>
      </c>
      <c r="P189" s="19">
        <f t="shared" si="106"/>
        <v>48.237311213114758</v>
      </c>
      <c r="Q189" s="19">
        <f>IF(E189="HERRAJE",0,IFERROR(_xlfn.XLOOKUP(E189,'⚙️ Configuración Costos'!$E$5:$E$6,'⚙️ Configuración Costos'!$F$5:$F$6),""))</f>
        <v>9.5</v>
      </c>
      <c r="R189" s="19">
        <f t="shared" si="107"/>
        <v>0</v>
      </c>
      <c r="S189" s="37">
        <f t="shared" si="108"/>
        <v>48.237311213114758</v>
      </c>
      <c r="T189" s="94" t="str">
        <f t="shared" si="109"/>
        <v>OK</v>
      </c>
      <c r="U189" s="95" t="str">
        <f t="shared" si="110"/>
        <v/>
      </c>
      <c r="V189" s="96">
        <f t="shared" si="111"/>
        <v>0</v>
      </c>
    </row>
    <row r="190" spans="1:22" x14ac:dyDescent="0.2">
      <c r="A190" s="35">
        <v>1</v>
      </c>
      <c r="B190" s="44">
        <v>469</v>
      </c>
      <c r="C190" s="44">
        <v>400</v>
      </c>
      <c r="D190" s="43" t="s">
        <v>474</v>
      </c>
      <c r="E190" s="43" t="s">
        <v>85</v>
      </c>
      <c r="F190" s="53">
        <v>1</v>
      </c>
      <c r="G190" s="44">
        <v>0</v>
      </c>
      <c r="H190" s="44">
        <v>0</v>
      </c>
      <c r="I190" s="44">
        <v>1</v>
      </c>
      <c r="J190" s="44">
        <v>1</v>
      </c>
      <c r="K190" s="23" t="s">
        <v>633</v>
      </c>
      <c r="L190" t="s">
        <v>635</v>
      </c>
      <c r="M190" s="17">
        <f t="shared" si="104"/>
        <v>0.18759999999999999</v>
      </c>
      <c r="N190" s="18">
        <f t="shared" si="105"/>
        <v>0.8</v>
      </c>
      <c r="O190" s="19">
        <f>IF(E190="HERRAJE",IFERROR(_xlfn.XLOOKUP(D190,'⚙️ Configuración Costos'!$A$11:$A$20,'⚙️ Configuración Costos'!$B$11:$B$20),""),IFERROR(_xlfn.XLOOKUP(E190,'⚙️ Configuración Costos'!$A$5:$A$6,'⚙️ Configuración Costos'!$B$5:$B$6),""))</f>
        <v>332.85245901639348</v>
      </c>
      <c r="P190" s="19">
        <f t="shared" si="106"/>
        <v>62.443121311475416</v>
      </c>
      <c r="Q190" s="19">
        <f>IF(E190="HERRAJE",0,IFERROR(_xlfn.XLOOKUP(E190,'⚙️ Configuración Costos'!$E$5:$E$6,'⚙️ Configuración Costos'!$F$5:$F$6),""))</f>
        <v>9.5</v>
      </c>
      <c r="R190" s="19">
        <f t="shared" si="107"/>
        <v>7.6000000000000005</v>
      </c>
      <c r="S190" s="37">
        <f t="shared" si="108"/>
        <v>70.043121311475417</v>
      </c>
      <c r="T190" s="94" t="str">
        <f t="shared" si="109"/>
        <v>OK</v>
      </c>
      <c r="U190" s="95" t="str">
        <f t="shared" si="110"/>
        <v/>
      </c>
      <c r="V190" s="96">
        <f t="shared" si="111"/>
        <v>0</v>
      </c>
    </row>
    <row r="191" spans="1:22" x14ac:dyDescent="0.2">
      <c r="A191" s="35">
        <v>1</v>
      </c>
      <c r="B191" s="44">
        <v>469</v>
      </c>
      <c r="C191" s="44">
        <v>340</v>
      </c>
      <c r="D191" s="43" t="s">
        <v>475</v>
      </c>
      <c r="E191" s="43" t="s">
        <v>85</v>
      </c>
      <c r="F191" s="53">
        <v>1</v>
      </c>
      <c r="G191" s="44">
        <v>0</v>
      </c>
      <c r="H191" s="44">
        <v>0</v>
      </c>
      <c r="I191" s="44">
        <v>1</v>
      </c>
      <c r="J191" s="44">
        <v>1</v>
      </c>
      <c r="K191" s="23" t="s">
        <v>633</v>
      </c>
      <c r="L191" t="s">
        <v>636</v>
      </c>
      <c r="M191" s="17">
        <f t="shared" si="104"/>
        <v>0.15945999999999999</v>
      </c>
      <c r="N191" s="18">
        <f t="shared" si="105"/>
        <v>0.68</v>
      </c>
      <c r="O191" s="19">
        <f>IF(E191="HERRAJE",IFERROR(_xlfn.XLOOKUP(D191,'⚙️ Configuración Costos'!$A$11:$A$20,'⚙️ Configuración Costos'!$B$11:$B$20),""),IFERROR(_xlfn.XLOOKUP(E191,'⚙️ Configuración Costos'!$A$5:$A$6,'⚙️ Configuración Costos'!$B$5:$B$6),""))</f>
        <v>332.85245901639348</v>
      </c>
      <c r="P191" s="19">
        <f t="shared" si="106"/>
        <v>53.076653114754102</v>
      </c>
      <c r="Q191" s="19">
        <f>IF(E191="HERRAJE",0,IFERROR(_xlfn.XLOOKUP(E191,'⚙️ Configuración Costos'!$E$5:$E$6,'⚙️ Configuración Costos'!$F$5:$F$6),""))</f>
        <v>9.5</v>
      </c>
      <c r="R191" s="19">
        <f t="shared" si="107"/>
        <v>6.4600000000000009</v>
      </c>
      <c r="S191" s="37">
        <f t="shared" si="108"/>
        <v>59.536653114754102</v>
      </c>
      <c r="T191" s="94" t="str">
        <f t="shared" si="109"/>
        <v>OK</v>
      </c>
      <c r="U191" s="95" t="str">
        <f t="shared" si="110"/>
        <v/>
      </c>
      <c r="V191" s="96">
        <f t="shared" si="111"/>
        <v>0</v>
      </c>
    </row>
    <row r="192" spans="1:22" x14ac:dyDescent="0.2">
      <c r="A192" s="36">
        <f>4*(IF(LEFT(D187,4)="Base",A187,0)+IF(LEFT(D187,4)="Piso",A187,0)+IF(LEFT(D187,5)="Techo",A187,0)+IF(LEFT(D188,4)="Base",A188,0)+IF(LEFT(D188,4)="Piso",A188,0)+IF(LEFT(D188,5)="Techo",A188,0)+IF(LEFT(D189,4)="Base",A189,0)+IF(LEFT(D189,4)="Piso",A189,0)+IF(LEFT(D189,5)="Techo",A189,0)+IF(LEFT(D190,4)="Base",A190,0)+IF(LEFT(D190,4)="Piso",A190,0)+IF(LEFT(D190,5)="Techo",A190,0)+IF(LEFT(D191,4)="Base",A191,0)+IF(LEFT(D191,4)="Piso",A191,0)+IF(LEFT(D191,5)="Techo",A191,0))+10*(IF(LEFT(D187,8)="Respaldo",A187,0)+IF(LEFT(D188,8)="Respaldo",A188,0)+IF(LEFT(D189,8)="Respaldo",A189,0)+IF(LEFT(D190,8)="Respaldo",A190,0)+IF(LEFT(D191,8)="Respaldo",A191,0))+2*(IF(LEFT(D187,8)="Manguete",A187,0)+IF(LEFT(D188,8)="Manguete",A188,0)+IF(LEFT(D189,8)="Manguete",A189,0)+IF(LEFT(D190,8)="Manguete",A190,0)+IF(LEFT(D191,8)="Manguete",A191,0))</f>
        <v>18</v>
      </c>
      <c r="B192" s="20">
        <v>0</v>
      </c>
      <c r="C192" s="20">
        <v>0</v>
      </c>
      <c r="D192" s="21" t="s">
        <v>400</v>
      </c>
      <c r="E192" s="21" t="s">
        <v>91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3" t="s">
        <v>633</v>
      </c>
      <c r="L192" s="48" t="s">
        <v>360</v>
      </c>
      <c r="M192" s="17">
        <f t="shared" si="104"/>
        <v>0</v>
      </c>
      <c r="N192" s="18">
        <f t="shared" si="105"/>
        <v>0</v>
      </c>
      <c r="O192" s="19">
        <f>IF(E192="HERRAJE",IFERROR(_xlfn.XLOOKUP(D192,'⚙️ Configuración Costos'!$A$11:$A$20,'⚙️ Configuración Costos'!$B$11:$B$20),""),IFERROR(_xlfn.XLOOKUP(E192,'⚙️ Configuración Costos'!$A$5:$A$6,'⚙️ Configuración Costos'!$B$5:$B$6),""))</f>
        <v>3</v>
      </c>
      <c r="P192" s="19">
        <f t="shared" si="106"/>
        <v>54</v>
      </c>
      <c r="Q192" s="19">
        <f>IF(E192="HERRAJE",0,IFERROR(_xlfn.XLOOKUP(E192,'⚙️ Configuración Costos'!$E$5:$E$6,'⚙️ Configuración Costos'!$F$5:$F$6),""))</f>
        <v>0</v>
      </c>
      <c r="R192" s="19">
        <f t="shared" si="107"/>
        <v>0</v>
      </c>
      <c r="S192" s="37">
        <f t="shared" si="108"/>
        <v>54</v>
      </c>
      <c r="T192" s="94" t="str">
        <f t="shared" si="109"/>
        <v>OK</v>
      </c>
      <c r="U192" s="95" t="str">
        <f t="shared" si="110"/>
        <v/>
      </c>
      <c r="V192" s="96">
        <f t="shared" si="111"/>
        <v>0</v>
      </c>
    </row>
    <row r="193" spans="1:22" ht="16" thickBot="1" x14ac:dyDescent="0.25">
      <c r="A193" s="36">
        <f>6*(IF(LEFT(D187,4)="Base",A187,0)+IF(LEFT(D187,4)="Piso",A187,0)+IF(LEFT(D187,5)="Techo",A187,0)+IF(LEFT(D188,4)="Base",A188,0)+IF(LEFT(D188,4)="Piso",A188,0)+IF(LEFT(D188,5)="Techo",A188,0)+IF(LEFT(D189,4)="Base",A189,0)+IF(LEFT(D189,4)="Piso",A189,0)+IF(LEFT(D189,5)="Techo",A189,0)+IF(LEFT(D190,4)="Base",A190,0)+IF(LEFT(D190,4)="Piso",A190,0)+IF(LEFT(D190,5)="Techo",A190,0)+IF(LEFT(D191,4)="Base",A191,0)+IF(LEFT(D191,4)="Piso",A191,0)+IF(LEFT(D191,5)="Techo",A191,0))+10*(IF(LEFT(D187,8)="Respaldo",A187,0)+IF(LEFT(D188,8)="Respaldo",A188,0)+IF(LEFT(D189,8)="Respaldo",A189,0)+IF(LEFT(D190,8)="Respaldo",A190,0)+IF(LEFT(D191,8)="Respaldo",A191,0))+4*(IF(LEFT(D187,8)="Manguete",A187,0)+IF(LEFT(D188,8)="Manguete",A188,0)+IF(LEFT(D189,8)="Manguete",A189,0)+IF(LEFT(D190,8)="Manguete",A190,0)+IF(LEFT(D191,8)="Manguete",A191,0))</f>
        <v>22</v>
      </c>
      <c r="B193" s="20">
        <v>0</v>
      </c>
      <c r="C193" s="20">
        <v>0</v>
      </c>
      <c r="D193" s="21" t="s">
        <v>468</v>
      </c>
      <c r="E193" s="21" t="s">
        <v>91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3" t="s">
        <v>633</v>
      </c>
      <c r="L193" s="48" t="s">
        <v>361</v>
      </c>
      <c r="M193" s="17">
        <f t="shared" si="104"/>
        <v>0</v>
      </c>
      <c r="N193" s="18">
        <f t="shared" si="105"/>
        <v>0</v>
      </c>
      <c r="O193" s="19">
        <f>IF(E193="HERRAJE",IFERROR(_xlfn.XLOOKUP(D193,'⚙️ Configuración Costos'!$A$11:$A$20,'⚙️ Configuración Costos'!$B$11:$B$20),""),IFERROR(_xlfn.XLOOKUP(E193,'⚙️ Configuración Costos'!$A$5:$A$6,'⚙️ Configuración Costos'!$B$5:$B$6),""))</f>
        <v>1</v>
      </c>
      <c r="P193" s="19">
        <f t="shared" si="106"/>
        <v>22</v>
      </c>
      <c r="Q193" s="19">
        <f>IF(E193="HERRAJE",0,IFERROR(_xlfn.XLOOKUP(E193,'⚙️ Configuración Costos'!$E$5:$E$6,'⚙️ Configuración Costos'!$F$5:$F$6),""))</f>
        <v>0</v>
      </c>
      <c r="R193" s="19">
        <f t="shared" si="107"/>
        <v>0</v>
      </c>
      <c r="S193" s="37">
        <f t="shared" si="108"/>
        <v>22</v>
      </c>
      <c r="T193" s="94" t="str">
        <f t="shared" si="109"/>
        <v>OK</v>
      </c>
      <c r="U193" s="95" t="str">
        <f t="shared" si="110"/>
        <v/>
      </c>
      <c r="V193" s="96">
        <f t="shared" si="111"/>
        <v>0</v>
      </c>
    </row>
    <row r="194" spans="1:22" ht="16" thickTop="1" x14ac:dyDescent="0.2">
      <c r="A194" s="27" t="s">
        <v>99</v>
      </c>
      <c r="B194" s="27"/>
      <c r="C194" s="27"/>
      <c r="D194" s="28"/>
      <c r="E194" s="28"/>
      <c r="F194" s="29"/>
      <c r="G194" s="29"/>
      <c r="H194" s="29"/>
      <c r="I194" s="29"/>
      <c r="J194" s="29"/>
      <c r="K194" s="30"/>
      <c r="L194" s="49"/>
      <c r="M194" s="31">
        <f>SUM(M187:M193)</f>
        <v>0.72318099999999985</v>
      </c>
      <c r="N194" s="32">
        <f>SUM(N187:N193)</f>
        <v>4.2</v>
      </c>
      <c r="O194" s="33"/>
      <c r="P194" s="33">
        <f>SUM(P187:P193)</f>
        <v>316.71257416393439</v>
      </c>
      <c r="Q194" s="33"/>
      <c r="R194" s="33">
        <f>SUM(R187:R193)</f>
        <v>39.900000000000006</v>
      </c>
      <c r="S194" s="33">
        <f>SUM(S187:S193)</f>
        <v>356.61257416393448</v>
      </c>
      <c r="T194" s="97"/>
      <c r="U194" s="98"/>
      <c r="V194" s="99"/>
    </row>
    <row r="195" spans="1:22" x14ac:dyDescent="0.2">
      <c r="A195" s="186" t="s">
        <v>163</v>
      </c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8"/>
      <c r="T195" s="97"/>
      <c r="U195" s="98"/>
      <c r="V195" s="99"/>
    </row>
    <row r="196" spans="1:22" x14ac:dyDescent="0.2">
      <c r="A196" s="35">
        <v>1</v>
      </c>
      <c r="B196" s="44">
        <v>340</v>
      </c>
      <c r="C196" s="44">
        <v>340</v>
      </c>
      <c r="D196" s="43" t="s">
        <v>471</v>
      </c>
      <c r="E196" s="43" t="s">
        <v>85</v>
      </c>
      <c r="F196" s="53">
        <v>1</v>
      </c>
      <c r="G196" s="44">
        <v>1</v>
      </c>
      <c r="H196" s="44">
        <v>1</v>
      </c>
      <c r="I196" s="44">
        <v>1</v>
      </c>
      <c r="J196" s="44">
        <v>1</v>
      </c>
      <c r="K196" s="23" t="s">
        <v>15</v>
      </c>
      <c r="L196" t="s">
        <v>157</v>
      </c>
      <c r="M196" s="17">
        <f t="shared" ref="M196:M202" si="112">IF(AND(ISNUMBER(B196),ISNUMBER(C196),B196&gt;0,C196&gt;0),A196*(B196*C196/1000000),0)</f>
        <v>0.11559999999999999</v>
      </c>
      <c r="N196" s="18">
        <f t="shared" ref="N196:N202" si="113">IF(AND(ISNUMBER(B196),B196&gt;0),A196*(((G196+H196)*B196+(I196+J196)*C196)/1000),0)</f>
        <v>1.36</v>
      </c>
      <c r="O196" s="19">
        <f>IF(E196="HERRAJE",IFERROR(_xlfn.XLOOKUP(D196,'⚙️ Configuración Costos'!$A$11:$A$20,'⚙️ Configuración Costos'!$B$11:$B$20),""),IFERROR(_xlfn.XLOOKUP(E196,'⚙️ Configuración Costos'!$A$5:$A$6,'⚙️ Configuración Costos'!$B$5:$B$6),""))</f>
        <v>332.85245901639348</v>
      </c>
      <c r="P196" s="19">
        <f t="shared" ref="P196:P202" si="114">IF(E196="HERRAJE",A196*O196,M196*O196)</f>
        <v>38.477744262295083</v>
      </c>
      <c r="Q196" s="19">
        <f>IF(E196="HERRAJE",0,IFERROR(_xlfn.XLOOKUP(E196,'⚙️ Configuración Costos'!$E$5:$E$6,'⚙️ Configuración Costos'!$F$5:$F$6),""))</f>
        <v>9.5</v>
      </c>
      <c r="R196" s="19">
        <f t="shared" ref="R196:R202" si="115">N196*Q196</f>
        <v>12.920000000000002</v>
      </c>
      <c r="S196" s="37">
        <f t="shared" ref="S196:S202" si="116">P196+R196</f>
        <v>51.397744262295085</v>
      </c>
      <c r="T196" s="94" t="str">
        <f t="shared" ref="T196:T202" si="117">IF(K196="","SIN ID MÓDULO",IF(E196="HERRAJE",IF(OR(O196="",O196&lt;=0),"SIN PRECIO HERRAJE","OK"),IF(OR(O196="",O196&lt;=0),"SIN PRECIO MATERIAL",IF(AND(N196&gt;0,OR(Q196="",Q196&lt;=0)),"SIN PRECIO CINTILLA","OK"))))</f>
        <v>OK</v>
      </c>
      <c r="U196" s="95" t="str">
        <f t="shared" ref="U196:U202" si="118">IF(T196="OK","",IF(T196="SIN PRECIO HERRAJE","Capturar precio: "&amp;D196,IF(T196="SIN PRECIO MATERIAL","Configurar material: "&amp;E196,IF(T196="SIN PRECIO CINTILLA","Configurar cintilla: "&amp;E196,IF(T196="SIN ID MÓDULO","Revisar ID del módulo","")))))</f>
        <v/>
      </c>
      <c r="V196" s="96">
        <f t="shared" ref="V196:V202" si="119">IF(T196="OK",0,IF(T196="",0,1))</f>
        <v>0</v>
      </c>
    </row>
    <row r="197" spans="1:22" x14ac:dyDescent="0.2">
      <c r="A197" s="35">
        <v>1</v>
      </c>
      <c r="B197" s="44">
        <v>340</v>
      </c>
      <c r="C197" s="44">
        <v>340</v>
      </c>
      <c r="D197" s="43" t="s">
        <v>472</v>
      </c>
      <c r="E197" s="43" t="s">
        <v>85</v>
      </c>
      <c r="F197" s="53">
        <v>1</v>
      </c>
      <c r="G197" s="44">
        <v>1</v>
      </c>
      <c r="H197" s="44">
        <v>1</v>
      </c>
      <c r="I197" s="44">
        <v>1</v>
      </c>
      <c r="J197" s="44">
        <v>1</v>
      </c>
      <c r="K197" s="23" t="s">
        <v>15</v>
      </c>
      <c r="L197" t="s">
        <v>158</v>
      </c>
      <c r="M197" s="17">
        <f t="shared" si="112"/>
        <v>0.11559999999999999</v>
      </c>
      <c r="N197" s="18">
        <f t="shared" si="113"/>
        <v>1.36</v>
      </c>
      <c r="O197" s="19">
        <f>IF(E197="HERRAJE",IFERROR(_xlfn.XLOOKUP(D197,'⚙️ Configuración Costos'!$A$11:$A$20,'⚙️ Configuración Costos'!$B$11:$B$20),""),IFERROR(_xlfn.XLOOKUP(E197,'⚙️ Configuración Costos'!$A$5:$A$6,'⚙️ Configuración Costos'!$B$5:$B$6),""))</f>
        <v>332.85245901639348</v>
      </c>
      <c r="P197" s="19">
        <f t="shared" si="114"/>
        <v>38.477744262295083</v>
      </c>
      <c r="Q197" s="19">
        <f>IF(E197="HERRAJE",0,IFERROR(_xlfn.XLOOKUP(E197,'⚙️ Configuración Costos'!$E$5:$E$6,'⚙️ Configuración Costos'!$F$5:$F$6),""))</f>
        <v>9.5</v>
      </c>
      <c r="R197" s="19">
        <f t="shared" si="115"/>
        <v>12.920000000000002</v>
      </c>
      <c r="S197" s="37">
        <f t="shared" si="116"/>
        <v>51.397744262295085</v>
      </c>
      <c r="T197" s="94" t="str">
        <f t="shared" si="117"/>
        <v>OK</v>
      </c>
      <c r="U197" s="95" t="str">
        <f t="shared" si="118"/>
        <v/>
      </c>
      <c r="V197" s="96">
        <f t="shared" si="119"/>
        <v>0</v>
      </c>
    </row>
    <row r="198" spans="1:22" x14ac:dyDescent="0.2">
      <c r="A198" s="35">
        <v>1</v>
      </c>
      <c r="B198" s="44">
        <v>309</v>
      </c>
      <c r="C198" s="44">
        <v>569</v>
      </c>
      <c r="D198" s="43" t="s">
        <v>473</v>
      </c>
      <c r="E198" s="43" t="s">
        <v>85</v>
      </c>
      <c r="F198" s="53">
        <v>1</v>
      </c>
      <c r="G198" s="44">
        <v>0</v>
      </c>
      <c r="H198" s="44">
        <v>0</v>
      </c>
      <c r="I198" s="44">
        <v>0</v>
      </c>
      <c r="J198" s="44">
        <v>0</v>
      </c>
      <c r="K198" s="23" t="s">
        <v>15</v>
      </c>
      <c r="L198" t="s">
        <v>159</v>
      </c>
      <c r="M198" s="17">
        <f t="shared" si="112"/>
        <v>0.17582100000000001</v>
      </c>
      <c r="N198" s="18">
        <f t="shared" si="113"/>
        <v>0</v>
      </c>
      <c r="O198" s="19">
        <f>IF(E198="HERRAJE",IFERROR(_xlfn.XLOOKUP(D198,'⚙️ Configuración Costos'!$A$11:$A$20,'⚙️ Configuración Costos'!$B$11:$B$20),""),IFERROR(_xlfn.XLOOKUP(E198,'⚙️ Configuración Costos'!$A$5:$A$6,'⚙️ Configuración Costos'!$B$5:$B$6),""))</f>
        <v>332.85245901639348</v>
      </c>
      <c r="P198" s="19">
        <f t="shared" si="114"/>
        <v>58.522452196721318</v>
      </c>
      <c r="Q198" s="19">
        <f>IF(E198="HERRAJE",0,IFERROR(_xlfn.XLOOKUP(E198,'⚙️ Configuración Costos'!$E$5:$E$6,'⚙️ Configuración Costos'!$F$5:$F$6),""))</f>
        <v>9.5</v>
      </c>
      <c r="R198" s="19">
        <f t="shared" si="115"/>
        <v>0</v>
      </c>
      <c r="S198" s="37">
        <f t="shared" si="116"/>
        <v>58.522452196721318</v>
      </c>
      <c r="T198" s="94" t="str">
        <f t="shared" si="117"/>
        <v>OK</v>
      </c>
      <c r="U198" s="95" t="str">
        <f t="shared" si="118"/>
        <v/>
      </c>
      <c r="V198" s="96">
        <f t="shared" si="119"/>
        <v>0</v>
      </c>
    </row>
    <row r="199" spans="1:22" x14ac:dyDescent="0.2">
      <c r="A199" s="35">
        <v>1</v>
      </c>
      <c r="B199" s="44">
        <v>569</v>
      </c>
      <c r="C199" s="44">
        <v>400</v>
      </c>
      <c r="D199" s="43" t="s">
        <v>474</v>
      </c>
      <c r="E199" s="43" t="s">
        <v>85</v>
      </c>
      <c r="F199" s="53">
        <v>1</v>
      </c>
      <c r="G199" s="44">
        <v>0</v>
      </c>
      <c r="H199" s="44">
        <v>0</v>
      </c>
      <c r="I199" s="44">
        <v>1</v>
      </c>
      <c r="J199" s="44">
        <v>1</v>
      </c>
      <c r="K199" s="23" t="s">
        <v>15</v>
      </c>
      <c r="L199" t="s">
        <v>160</v>
      </c>
      <c r="M199" s="17">
        <f t="shared" si="112"/>
        <v>0.2276</v>
      </c>
      <c r="N199" s="18">
        <f t="shared" si="113"/>
        <v>0.8</v>
      </c>
      <c r="O199" s="19">
        <f>IF(E199="HERRAJE",IFERROR(_xlfn.XLOOKUP(D199,'⚙️ Configuración Costos'!$A$11:$A$20,'⚙️ Configuración Costos'!$B$11:$B$20),""),IFERROR(_xlfn.XLOOKUP(E199,'⚙️ Configuración Costos'!$A$5:$A$6,'⚙️ Configuración Costos'!$B$5:$B$6),""))</f>
        <v>332.85245901639348</v>
      </c>
      <c r="P199" s="19">
        <f t="shared" si="114"/>
        <v>75.757219672131157</v>
      </c>
      <c r="Q199" s="19">
        <f>IF(E199="HERRAJE",0,IFERROR(_xlfn.XLOOKUP(E199,'⚙️ Configuración Costos'!$E$5:$E$6,'⚙️ Configuración Costos'!$F$5:$F$6),""))</f>
        <v>9.5</v>
      </c>
      <c r="R199" s="19">
        <f t="shared" si="115"/>
        <v>7.6000000000000005</v>
      </c>
      <c r="S199" s="37">
        <f t="shared" si="116"/>
        <v>83.357219672131151</v>
      </c>
      <c r="T199" s="94" t="str">
        <f t="shared" si="117"/>
        <v>OK</v>
      </c>
      <c r="U199" s="95" t="str">
        <f t="shared" si="118"/>
        <v/>
      </c>
      <c r="V199" s="96">
        <f t="shared" si="119"/>
        <v>0</v>
      </c>
    </row>
    <row r="200" spans="1:22" x14ac:dyDescent="0.2">
      <c r="A200" s="35">
        <v>1</v>
      </c>
      <c r="B200" s="44">
        <v>569</v>
      </c>
      <c r="C200" s="44">
        <v>340</v>
      </c>
      <c r="D200" s="43" t="s">
        <v>475</v>
      </c>
      <c r="E200" s="43" t="s">
        <v>85</v>
      </c>
      <c r="F200" s="53">
        <v>1</v>
      </c>
      <c r="G200" s="44">
        <v>0</v>
      </c>
      <c r="H200" s="44">
        <v>0</v>
      </c>
      <c r="I200" s="44">
        <v>1</v>
      </c>
      <c r="J200" s="44">
        <v>1</v>
      </c>
      <c r="K200" s="23" t="s">
        <v>15</v>
      </c>
      <c r="L200" t="s">
        <v>161</v>
      </c>
      <c r="M200" s="17">
        <f t="shared" si="112"/>
        <v>0.19345999999999999</v>
      </c>
      <c r="N200" s="18">
        <f t="shared" si="113"/>
        <v>0.68</v>
      </c>
      <c r="O200" s="19">
        <f>IF(E200="HERRAJE",IFERROR(_xlfn.XLOOKUP(D200,'⚙️ Configuración Costos'!$A$11:$A$20,'⚙️ Configuración Costos'!$B$11:$B$20),""),IFERROR(_xlfn.XLOOKUP(E200,'⚙️ Configuración Costos'!$A$5:$A$6,'⚙️ Configuración Costos'!$B$5:$B$6),""))</f>
        <v>332.85245901639348</v>
      </c>
      <c r="P200" s="19">
        <f t="shared" si="114"/>
        <v>64.393636721311481</v>
      </c>
      <c r="Q200" s="19">
        <f>IF(E200="HERRAJE",0,IFERROR(_xlfn.XLOOKUP(E200,'⚙️ Configuración Costos'!$E$5:$E$6,'⚙️ Configuración Costos'!$F$5:$F$6),""))</f>
        <v>9.5</v>
      </c>
      <c r="R200" s="19">
        <f t="shared" si="115"/>
        <v>6.4600000000000009</v>
      </c>
      <c r="S200" s="37">
        <f t="shared" si="116"/>
        <v>70.853636721311489</v>
      </c>
      <c r="T200" s="94" t="str">
        <f t="shared" si="117"/>
        <v>OK</v>
      </c>
      <c r="U200" s="95" t="str">
        <f t="shared" si="118"/>
        <v/>
      </c>
      <c r="V200" s="96">
        <f t="shared" si="119"/>
        <v>0</v>
      </c>
    </row>
    <row r="201" spans="1:22" x14ac:dyDescent="0.2">
      <c r="A201" s="36">
        <f>4*(IF(LEFT(D196,4)="Base",A196,0)+IF(LEFT(D196,4)="Piso",A196,0)+IF(LEFT(D196,5)="Techo",A196,0)+IF(LEFT(D197,4)="Base",A197,0)+IF(LEFT(D197,4)="Piso",A197,0)+IF(LEFT(D197,5)="Techo",A197,0)+IF(LEFT(D198,4)="Base",A198,0)+IF(LEFT(D198,4)="Piso",A198,0)+IF(LEFT(D198,5)="Techo",A198,0)+IF(LEFT(D199,4)="Base",A199,0)+IF(LEFT(D199,4)="Piso",A199,0)+IF(LEFT(D199,5)="Techo",A199,0)+IF(LEFT(D200,4)="Base",A200,0)+IF(LEFT(D200,4)="Piso",A200,0)+IF(LEFT(D200,5)="Techo",A200,0))+10*(IF(LEFT(D196,8)="Respaldo",A196,0)+IF(LEFT(D197,8)="Respaldo",A197,0)+IF(LEFT(D198,8)="Respaldo",A198,0)+IF(LEFT(D199,8)="Respaldo",A199,0)+IF(LEFT(D200,8)="Respaldo",A200,0))+2*(IF(LEFT(D196,8)="Manguete",A196,0)+IF(LEFT(D197,8)="Manguete",A197,0)+IF(LEFT(D198,8)="Manguete",A198,0)+IF(LEFT(D199,8)="Manguete",A199,0)+IF(LEFT(D200,8)="Manguete",A200,0))</f>
        <v>18</v>
      </c>
      <c r="B201" s="20">
        <v>0</v>
      </c>
      <c r="C201" s="20">
        <v>0</v>
      </c>
      <c r="D201" s="21" t="s">
        <v>400</v>
      </c>
      <c r="E201" s="21" t="s">
        <v>91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3" t="s">
        <v>15</v>
      </c>
      <c r="L201" s="48" t="s">
        <v>360</v>
      </c>
      <c r="M201" s="17">
        <f t="shared" si="112"/>
        <v>0</v>
      </c>
      <c r="N201" s="18">
        <f t="shared" si="113"/>
        <v>0</v>
      </c>
      <c r="O201" s="19">
        <f>IF(E201="HERRAJE",IFERROR(_xlfn.XLOOKUP(D201,'⚙️ Configuración Costos'!$A$11:$A$20,'⚙️ Configuración Costos'!$B$11:$B$20),""),IFERROR(_xlfn.XLOOKUP(E201,'⚙️ Configuración Costos'!$A$5:$A$6,'⚙️ Configuración Costos'!$B$5:$B$6),""))</f>
        <v>3</v>
      </c>
      <c r="P201" s="19">
        <f t="shared" si="114"/>
        <v>54</v>
      </c>
      <c r="Q201" s="19">
        <f>IF(E201="HERRAJE",0,IFERROR(_xlfn.XLOOKUP(E201,'⚙️ Configuración Costos'!$E$5:$E$6,'⚙️ Configuración Costos'!$F$5:$F$6),""))</f>
        <v>0</v>
      </c>
      <c r="R201" s="19">
        <f t="shared" si="115"/>
        <v>0</v>
      </c>
      <c r="S201" s="37">
        <f t="shared" si="116"/>
        <v>54</v>
      </c>
      <c r="T201" s="94" t="str">
        <f t="shared" si="117"/>
        <v>OK</v>
      </c>
      <c r="U201" s="95" t="str">
        <f t="shared" si="118"/>
        <v/>
      </c>
      <c r="V201" s="96">
        <f t="shared" si="119"/>
        <v>0</v>
      </c>
    </row>
    <row r="202" spans="1:22" ht="16" thickBot="1" x14ac:dyDescent="0.25">
      <c r="A202" s="36">
        <f>6*(IF(LEFT(D196,4)="Base",A196,0)+IF(LEFT(D196,4)="Piso",A196,0)+IF(LEFT(D196,5)="Techo",A196,0)+IF(LEFT(D197,4)="Base",A197,0)+IF(LEFT(D197,4)="Piso",A197,0)+IF(LEFT(D197,5)="Techo",A197,0)+IF(LEFT(D198,4)="Base",A198,0)+IF(LEFT(D198,4)="Piso",A198,0)+IF(LEFT(D198,5)="Techo",A198,0)+IF(LEFT(D199,4)="Base",A199,0)+IF(LEFT(D199,4)="Piso",A199,0)+IF(LEFT(D199,5)="Techo",A199,0)+IF(LEFT(D200,4)="Base",A200,0)+IF(LEFT(D200,4)="Piso",A200,0)+IF(LEFT(D200,5)="Techo",A200,0))+10*(IF(LEFT(D196,8)="Respaldo",A196,0)+IF(LEFT(D197,8)="Respaldo",A197,0)+IF(LEFT(D198,8)="Respaldo",A198,0)+IF(LEFT(D199,8)="Respaldo",A199,0)+IF(LEFT(D200,8)="Respaldo",A200,0))+4*(IF(LEFT(D196,8)="Manguete",A196,0)+IF(LEFT(D197,8)="Manguete",A197,0)+IF(LEFT(D198,8)="Manguete",A198,0)+IF(LEFT(D199,8)="Manguete",A199,0)+IF(LEFT(D200,8)="Manguete",A200,0))</f>
        <v>22</v>
      </c>
      <c r="B202" s="20">
        <v>0</v>
      </c>
      <c r="C202" s="20">
        <v>0</v>
      </c>
      <c r="D202" s="21" t="s">
        <v>468</v>
      </c>
      <c r="E202" s="21" t="s">
        <v>91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3" t="s">
        <v>15</v>
      </c>
      <c r="L202" s="48" t="s">
        <v>361</v>
      </c>
      <c r="M202" s="17">
        <f t="shared" si="112"/>
        <v>0</v>
      </c>
      <c r="N202" s="18">
        <f t="shared" si="113"/>
        <v>0</v>
      </c>
      <c r="O202" s="19">
        <f>IF(E202="HERRAJE",IFERROR(_xlfn.XLOOKUP(D202,'⚙️ Configuración Costos'!$A$11:$A$20,'⚙️ Configuración Costos'!$B$11:$B$20),""),IFERROR(_xlfn.XLOOKUP(E202,'⚙️ Configuración Costos'!$A$5:$A$6,'⚙️ Configuración Costos'!$B$5:$B$6),""))</f>
        <v>1</v>
      </c>
      <c r="P202" s="19">
        <f t="shared" si="114"/>
        <v>22</v>
      </c>
      <c r="Q202" s="19">
        <f>IF(E202="HERRAJE",0,IFERROR(_xlfn.XLOOKUP(E202,'⚙️ Configuración Costos'!$E$5:$E$6,'⚙️ Configuración Costos'!$F$5:$F$6),""))</f>
        <v>0</v>
      </c>
      <c r="R202" s="19">
        <f t="shared" si="115"/>
        <v>0</v>
      </c>
      <c r="S202" s="37">
        <f t="shared" si="116"/>
        <v>22</v>
      </c>
      <c r="T202" s="94" t="str">
        <f t="shared" si="117"/>
        <v>OK</v>
      </c>
      <c r="U202" s="95" t="str">
        <f t="shared" si="118"/>
        <v/>
      </c>
      <c r="V202" s="96">
        <f t="shared" si="119"/>
        <v>0</v>
      </c>
    </row>
    <row r="203" spans="1:22" ht="16" thickTop="1" x14ac:dyDescent="0.2">
      <c r="A203" s="27" t="s">
        <v>99</v>
      </c>
      <c r="B203" s="27"/>
      <c r="C203" s="27"/>
      <c r="D203" s="28"/>
      <c r="E203" s="28"/>
      <c r="F203" s="29"/>
      <c r="G203" s="29"/>
      <c r="H203" s="29"/>
      <c r="I203" s="29"/>
      <c r="J203" s="29"/>
      <c r="K203" s="30"/>
      <c r="L203" s="49"/>
      <c r="M203" s="31">
        <f>SUM(M196:M202)</f>
        <v>0.82808099999999996</v>
      </c>
      <c r="N203" s="32">
        <f>SUM(N196:N202)</f>
        <v>4.2</v>
      </c>
      <c r="O203" s="33"/>
      <c r="P203" s="33">
        <f>SUM(P196:P202)</f>
        <v>351.62879711475409</v>
      </c>
      <c r="Q203" s="33"/>
      <c r="R203" s="33">
        <f>SUM(R196:R202)</f>
        <v>39.900000000000006</v>
      </c>
      <c r="S203" s="33">
        <f>SUM(S196:S202)</f>
        <v>391.52879711475413</v>
      </c>
      <c r="T203" s="97"/>
      <c r="U203" s="98"/>
      <c r="V203" s="99"/>
    </row>
    <row r="204" spans="1:22" x14ac:dyDescent="0.2">
      <c r="A204" s="186" t="s">
        <v>164</v>
      </c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8"/>
      <c r="T204" s="97"/>
      <c r="U204" s="98"/>
      <c r="V204" s="99"/>
    </row>
    <row r="205" spans="1:22" x14ac:dyDescent="0.2">
      <c r="A205" s="35">
        <v>1</v>
      </c>
      <c r="B205" s="44">
        <v>720</v>
      </c>
      <c r="C205" s="44">
        <v>580</v>
      </c>
      <c r="D205" s="43" t="s">
        <v>165</v>
      </c>
      <c r="E205" s="43" t="s">
        <v>85</v>
      </c>
      <c r="F205" s="44">
        <v>1</v>
      </c>
      <c r="G205" s="44">
        <v>1</v>
      </c>
      <c r="H205" s="44">
        <v>1</v>
      </c>
      <c r="I205" s="44">
        <v>1</v>
      </c>
      <c r="J205" s="44">
        <v>1</v>
      </c>
      <c r="K205" s="16" t="s">
        <v>16</v>
      </c>
      <c r="L205" s="46" t="s">
        <v>362</v>
      </c>
      <c r="M205" s="17">
        <f t="shared" ref="M205:M221" si="120">IF(AND(ISNUMBER(B205),ISNUMBER(C205),B205&gt;0,C205&gt;0),A205*(B205*C205/1000000),0)</f>
        <v>0.41760000000000003</v>
      </c>
      <c r="N205" s="18">
        <f t="shared" ref="N205:N221" si="121">IF(AND(ISNUMBER(B205),B205&gt;0),A205*(((G205+H205)*B205+(I205+J205)*C205)/1000),0)</f>
        <v>2.6</v>
      </c>
      <c r="O205" s="19">
        <f>IF(E205="HERRAJE",IFERROR(_xlfn.XLOOKUP(D205,'⚙️ Configuración Costos'!$A$11:$A$20,'⚙️ Configuración Costos'!$B$11:$B$20),""),IFERROR(_xlfn.XLOOKUP(E205,'⚙️ Configuración Costos'!$A$5:$A$6,'⚙️ Configuración Costos'!$B$5:$B$6),""))</f>
        <v>332.85245901639348</v>
      </c>
      <c r="P205" s="19">
        <f t="shared" ref="P205:P221" si="122">IF(E205="HERRAJE",A205*O205,M205*O205)</f>
        <v>138.99918688524593</v>
      </c>
      <c r="Q205" s="19">
        <f>IF(E205="HERRAJE",0,IFERROR(_xlfn.XLOOKUP(E205,'⚙️ Configuración Costos'!$E$5:$E$6,'⚙️ Configuración Costos'!$F$5:$F$6),""))</f>
        <v>9.5</v>
      </c>
      <c r="R205" s="19">
        <f t="shared" ref="R205:R221" si="123">N205*Q205</f>
        <v>24.7</v>
      </c>
      <c r="S205" s="37">
        <f t="shared" ref="S205:S221" si="124">P205+R205</f>
        <v>163.69918688524592</v>
      </c>
      <c r="T205" s="94" t="str">
        <f t="shared" ref="T205:T221" si="125">IF(K205="","SIN ID MÓDULO",IF(E205="HERRAJE",IF(OR(O205="",O205&lt;=0),"SIN PRECIO HERRAJE","OK"),IF(OR(O205="",O205&lt;=0),"SIN PRECIO MATERIAL",IF(AND(N205&gt;0,OR(Q205="",Q205&lt;=0)),"SIN PRECIO CINTILLA","OK"))))</f>
        <v>OK</v>
      </c>
      <c r="U205" s="95" t="str">
        <f t="shared" ref="U205:U221" si="126">IF(T205="OK","",IF(T205="SIN PRECIO HERRAJE","Capturar precio: "&amp;D205,IF(T205="SIN PRECIO MATERIAL","Configurar material: "&amp;E205,IF(T205="SIN PRECIO CINTILLA","Configurar cintilla: "&amp;E205,IF(T205="SIN ID MÓDULO","Revisar ID del módulo","")))))</f>
        <v/>
      </c>
      <c r="V205" s="96">
        <f t="shared" ref="V205:V221" si="127">IF(T205="OK",0,IF(T205="",0,1))</f>
        <v>0</v>
      </c>
    </row>
    <row r="206" spans="1:22" x14ac:dyDescent="0.2">
      <c r="A206" s="35">
        <v>1</v>
      </c>
      <c r="B206" s="44">
        <v>720</v>
      </c>
      <c r="C206" s="44">
        <v>580</v>
      </c>
      <c r="D206" s="43" t="s">
        <v>167</v>
      </c>
      <c r="E206" s="43" t="s">
        <v>85</v>
      </c>
      <c r="F206" s="44">
        <v>1</v>
      </c>
      <c r="G206" s="44">
        <v>1</v>
      </c>
      <c r="H206" s="44">
        <v>1</v>
      </c>
      <c r="I206" s="44">
        <v>1</v>
      </c>
      <c r="J206" s="44">
        <v>1</v>
      </c>
      <c r="K206" s="16" t="s">
        <v>16</v>
      </c>
      <c r="L206" s="46" t="s">
        <v>363</v>
      </c>
      <c r="M206" s="17">
        <f t="shared" si="120"/>
        <v>0.41760000000000003</v>
      </c>
      <c r="N206" s="18">
        <f t="shared" si="121"/>
        <v>2.6</v>
      </c>
      <c r="O206" s="19">
        <f>IF(E206="HERRAJE",IFERROR(_xlfn.XLOOKUP(D206,'⚙️ Configuración Costos'!$A$11:$A$20,'⚙️ Configuración Costos'!$B$11:$B$20),""),IFERROR(_xlfn.XLOOKUP(E206,'⚙️ Configuración Costos'!$A$5:$A$6,'⚙️ Configuración Costos'!$B$5:$B$6),""))</f>
        <v>332.85245901639348</v>
      </c>
      <c r="P206" s="19">
        <f t="shared" si="122"/>
        <v>138.99918688524593</v>
      </c>
      <c r="Q206" s="19">
        <f>IF(E206="HERRAJE",0,IFERROR(_xlfn.XLOOKUP(E206,'⚙️ Configuración Costos'!$E$5:$E$6,'⚙️ Configuración Costos'!$F$5:$F$6),""))</f>
        <v>9.5</v>
      </c>
      <c r="R206" s="19">
        <f t="shared" si="123"/>
        <v>24.7</v>
      </c>
      <c r="S206" s="37">
        <f t="shared" si="124"/>
        <v>163.69918688524592</v>
      </c>
      <c r="T206" s="94" t="str">
        <f t="shared" si="125"/>
        <v>OK</v>
      </c>
      <c r="U206" s="95" t="str">
        <f t="shared" si="126"/>
        <v/>
      </c>
      <c r="V206" s="96">
        <f t="shared" si="127"/>
        <v>0</v>
      </c>
    </row>
    <row r="207" spans="1:22" x14ac:dyDescent="0.2">
      <c r="A207" s="35">
        <v>1</v>
      </c>
      <c r="B207" s="44">
        <v>689</v>
      </c>
      <c r="C207" s="44">
        <v>969</v>
      </c>
      <c r="D207" s="43" t="s">
        <v>169</v>
      </c>
      <c r="E207" s="43" t="s">
        <v>85</v>
      </c>
      <c r="F207" s="44">
        <v>1</v>
      </c>
      <c r="G207" s="44">
        <v>0</v>
      </c>
      <c r="H207" s="44">
        <v>0</v>
      </c>
      <c r="I207" s="44">
        <v>0</v>
      </c>
      <c r="J207" s="44">
        <v>0</v>
      </c>
      <c r="K207" s="16" t="s">
        <v>16</v>
      </c>
      <c r="L207" s="46" t="s">
        <v>170</v>
      </c>
      <c r="M207" s="17">
        <f t="shared" si="120"/>
        <v>0.66764100000000004</v>
      </c>
      <c r="N207" s="18">
        <f t="shared" si="121"/>
        <v>0</v>
      </c>
      <c r="O207" s="19">
        <f>IF(E207="HERRAJE",IFERROR(_xlfn.XLOOKUP(D207,'⚙️ Configuración Costos'!$A$11:$A$20,'⚙️ Configuración Costos'!$B$11:$B$20),""),IFERROR(_xlfn.XLOOKUP(E207,'⚙️ Configuración Costos'!$A$5:$A$6,'⚙️ Configuración Costos'!$B$5:$B$6),""))</f>
        <v>332.85245901639348</v>
      </c>
      <c r="P207" s="19">
        <f t="shared" si="122"/>
        <v>222.22594859016397</v>
      </c>
      <c r="Q207" s="19">
        <f>IF(E207="HERRAJE",0,IFERROR(_xlfn.XLOOKUP(E207,'⚙️ Configuración Costos'!$E$5:$E$6,'⚙️ Configuración Costos'!$F$5:$F$6),""))</f>
        <v>9.5</v>
      </c>
      <c r="R207" s="19">
        <f t="shared" si="123"/>
        <v>0</v>
      </c>
      <c r="S207" s="37">
        <f t="shared" si="124"/>
        <v>222.22594859016397</v>
      </c>
      <c r="T207" s="94" t="str">
        <f t="shared" si="125"/>
        <v>OK</v>
      </c>
      <c r="U207" s="95" t="str">
        <f t="shared" si="126"/>
        <v/>
      </c>
      <c r="V207" s="96">
        <f t="shared" si="127"/>
        <v>0</v>
      </c>
    </row>
    <row r="208" spans="1:22" x14ac:dyDescent="0.2">
      <c r="A208" s="35">
        <v>1</v>
      </c>
      <c r="B208" s="44">
        <v>969</v>
      </c>
      <c r="C208" s="44">
        <v>580</v>
      </c>
      <c r="D208" s="43" t="s">
        <v>171</v>
      </c>
      <c r="E208" s="43" t="s">
        <v>85</v>
      </c>
      <c r="F208" s="44">
        <v>1</v>
      </c>
      <c r="G208" s="44">
        <v>1</v>
      </c>
      <c r="H208" s="44">
        <v>1</v>
      </c>
      <c r="I208" s="44">
        <v>0</v>
      </c>
      <c r="J208" s="44">
        <v>0</v>
      </c>
      <c r="K208" s="16" t="s">
        <v>16</v>
      </c>
      <c r="L208" s="46" t="s">
        <v>364</v>
      </c>
      <c r="M208" s="17">
        <f t="shared" si="120"/>
        <v>0.56201999999999996</v>
      </c>
      <c r="N208" s="18">
        <f t="shared" si="121"/>
        <v>1.9379999999999999</v>
      </c>
      <c r="O208" s="19">
        <f>IF(E208="HERRAJE",IFERROR(_xlfn.XLOOKUP(D208,'⚙️ Configuración Costos'!$A$11:$A$20,'⚙️ Configuración Costos'!$B$11:$B$20),""),IFERROR(_xlfn.XLOOKUP(E208,'⚙️ Configuración Costos'!$A$5:$A$6,'⚙️ Configuración Costos'!$B$5:$B$6),""))</f>
        <v>332.85245901639348</v>
      </c>
      <c r="P208" s="19">
        <f t="shared" si="122"/>
        <v>187.06973901639344</v>
      </c>
      <c r="Q208" s="19">
        <f>IF(E208="HERRAJE",0,IFERROR(_xlfn.XLOOKUP(E208,'⚙️ Configuración Costos'!$E$5:$E$6,'⚙️ Configuración Costos'!$F$5:$F$6),""))</f>
        <v>9.5</v>
      </c>
      <c r="R208" s="19">
        <f t="shared" si="123"/>
        <v>18.410999999999998</v>
      </c>
      <c r="S208" s="37">
        <f t="shared" si="124"/>
        <v>205.48073901639344</v>
      </c>
      <c r="T208" s="94" t="str">
        <f t="shared" si="125"/>
        <v>OK</v>
      </c>
      <c r="U208" s="95" t="str">
        <f t="shared" si="126"/>
        <v/>
      </c>
      <c r="V208" s="96">
        <f t="shared" si="127"/>
        <v>0</v>
      </c>
    </row>
    <row r="209" spans="1:22" x14ac:dyDescent="0.2">
      <c r="A209" s="35">
        <v>1</v>
      </c>
      <c r="B209" s="44">
        <v>969</v>
      </c>
      <c r="C209" s="44">
        <v>120</v>
      </c>
      <c r="D209" s="43" t="s">
        <v>477</v>
      </c>
      <c r="E209" s="43" t="s">
        <v>85</v>
      </c>
      <c r="F209" s="44">
        <v>1</v>
      </c>
      <c r="G209" s="44">
        <v>1</v>
      </c>
      <c r="H209" s="44">
        <v>1</v>
      </c>
      <c r="I209" s="44">
        <v>0</v>
      </c>
      <c r="J209" s="44">
        <v>0</v>
      </c>
      <c r="K209" s="16" t="s">
        <v>16</v>
      </c>
      <c r="L209" s="46" t="s">
        <v>174</v>
      </c>
      <c r="M209" s="17">
        <f t="shared" si="120"/>
        <v>0.11627999999999999</v>
      </c>
      <c r="N209" s="18">
        <f t="shared" si="121"/>
        <v>1.9379999999999999</v>
      </c>
      <c r="O209" s="19">
        <f>IF(E209="HERRAJE",IFERROR(_xlfn.XLOOKUP(D209,'⚙️ Configuración Costos'!$A$11:$A$20,'⚙️ Configuración Costos'!$B$11:$B$20),""),IFERROR(_xlfn.XLOOKUP(E209,'⚙️ Configuración Costos'!$A$5:$A$6,'⚙️ Configuración Costos'!$B$5:$B$6),""))</f>
        <v>332.85245901639348</v>
      </c>
      <c r="P209" s="19">
        <f t="shared" si="122"/>
        <v>38.70408393442623</v>
      </c>
      <c r="Q209" s="19">
        <f>IF(E209="HERRAJE",0,IFERROR(_xlfn.XLOOKUP(E209,'⚙️ Configuración Costos'!$E$5:$E$6,'⚙️ Configuración Costos'!$F$5:$F$6),""))</f>
        <v>9.5</v>
      </c>
      <c r="R209" s="19">
        <f t="shared" si="123"/>
        <v>18.410999999999998</v>
      </c>
      <c r="S209" s="37">
        <f t="shared" si="124"/>
        <v>57.115083934426224</v>
      </c>
      <c r="T209" s="94" t="str">
        <f t="shared" si="125"/>
        <v>OK</v>
      </c>
      <c r="U209" s="95" t="str">
        <f t="shared" si="126"/>
        <v/>
      </c>
      <c r="V209" s="96">
        <f t="shared" si="127"/>
        <v>0</v>
      </c>
    </row>
    <row r="210" spans="1:22" x14ac:dyDescent="0.2">
      <c r="A210" s="35">
        <v>1</v>
      </c>
      <c r="B210" s="44">
        <v>969</v>
      </c>
      <c r="C210" s="44">
        <v>120</v>
      </c>
      <c r="D210" s="43" t="s">
        <v>478</v>
      </c>
      <c r="E210" s="43" t="s">
        <v>85</v>
      </c>
      <c r="F210" s="44">
        <v>1</v>
      </c>
      <c r="G210" s="44">
        <v>1</v>
      </c>
      <c r="H210" s="44">
        <v>1</v>
      </c>
      <c r="I210" s="44">
        <v>0</v>
      </c>
      <c r="J210" s="44">
        <v>0</v>
      </c>
      <c r="K210" s="16" t="s">
        <v>16</v>
      </c>
      <c r="L210" s="46" t="s">
        <v>176</v>
      </c>
      <c r="M210" s="17">
        <f t="shared" si="120"/>
        <v>0.11627999999999999</v>
      </c>
      <c r="N210" s="18">
        <f t="shared" si="121"/>
        <v>1.9379999999999999</v>
      </c>
      <c r="O210" s="19">
        <f>IF(E210="HERRAJE",IFERROR(_xlfn.XLOOKUP(D210,'⚙️ Configuración Costos'!$A$11:$A$20,'⚙️ Configuración Costos'!$B$11:$B$20),""),IFERROR(_xlfn.XLOOKUP(E210,'⚙️ Configuración Costos'!$A$5:$A$6,'⚙️ Configuración Costos'!$B$5:$B$6),""))</f>
        <v>332.85245901639348</v>
      </c>
      <c r="P210" s="19">
        <f t="shared" si="122"/>
        <v>38.70408393442623</v>
      </c>
      <c r="Q210" s="19">
        <f>IF(E210="HERRAJE",0,IFERROR(_xlfn.XLOOKUP(E210,'⚙️ Configuración Costos'!$E$5:$E$6,'⚙️ Configuración Costos'!$F$5:$F$6),""))</f>
        <v>9.5</v>
      </c>
      <c r="R210" s="19">
        <f t="shared" si="123"/>
        <v>18.410999999999998</v>
      </c>
      <c r="S210" s="37">
        <f t="shared" si="124"/>
        <v>57.115083934426224</v>
      </c>
      <c r="T210" s="94" t="str">
        <f t="shared" si="125"/>
        <v>OK</v>
      </c>
      <c r="U210" s="95" t="str">
        <f t="shared" si="126"/>
        <v/>
      </c>
      <c r="V210" s="96">
        <f t="shared" si="127"/>
        <v>0</v>
      </c>
    </row>
    <row r="211" spans="1:22" x14ac:dyDescent="0.2">
      <c r="A211" s="35">
        <v>1</v>
      </c>
      <c r="B211" s="44">
        <v>689</v>
      </c>
      <c r="C211" s="44">
        <v>574.5</v>
      </c>
      <c r="D211" s="43" t="s">
        <v>74</v>
      </c>
      <c r="E211" s="43" t="s">
        <v>85</v>
      </c>
      <c r="F211" s="44">
        <v>1</v>
      </c>
      <c r="G211" s="44">
        <v>0</v>
      </c>
      <c r="H211" s="44">
        <v>0</v>
      </c>
      <c r="I211" s="44">
        <v>0</v>
      </c>
      <c r="J211" s="44">
        <v>0</v>
      </c>
      <c r="K211" s="16" t="s">
        <v>16</v>
      </c>
      <c r="L211" s="46" t="s">
        <v>177</v>
      </c>
      <c r="M211" s="17">
        <f t="shared" si="120"/>
        <v>0.39583049999999997</v>
      </c>
      <c r="N211" s="18">
        <f t="shared" si="121"/>
        <v>0</v>
      </c>
      <c r="O211" s="19">
        <f>IF(E211="HERRAJE",IFERROR(_xlfn.XLOOKUP(D211,'⚙️ Configuración Costos'!$A$11:$A$20,'⚙️ Configuración Costos'!$B$11:$B$20),""),IFERROR(_xlfn.XLOOKUP(E211,'⚙️ Configuración Costos'!$A$5:$A$6,'⚙️ Configuración Costos'!$B$5:$B$6),""))</f>
        <v>332.85245901639348</v>
      </c>
      <c r="P211" s="19">
        <f t="shared" si="122"/>
        <v>131.75315527868852</v>
      </c>
      <c r="Q211" s="19">
        <f>IF(E211="HERRAJE",0,IFERROR(_xlfn.XLOOKUP(E211,'⚙️ Configuración Costos'!$E$5:$E$6,'⚙️ Configuración Costos'!$F$5:$F$6),""))</f>
        <v>9.5</v>
      </c>
      <c r="R211" s="19">
        <f t="shared" si="123"/>
        <v>0</v>
      </c>
      <c r="S211" s="37">
        <f t="shared" si="124"/>
        <v>131.75315527868852</v>
      </c>
      <c r="T211" s="94" t="str">
        <f t="shared" si="125"/>
        <v>OK</v>
      </c>
      <c r="U211" s="95" t="str">
        <f t="shared" si="126"/>
        <v/>
      </c>
      <c r="V211" s="96">
        <f t="shared" si="127"/>
        <v>0</v>
      </c>
    </row>
    <row r="212" spans="1:22" x14ac:dyDescent="0.2">
      <c r="A212" s="35">
        <v>1</v>
      </c>
      <c r="B212" s="44">
        <v>689</v>
      </c>
      <c r="C212" s="44">
        <v>70</v>
      </c>
      <c r="D212" s="43" t="s">
        <v>78</v>
      </c>
      <c r="E212" s="43" t="s">
        <v>85</v>
      </c>
      <c r="F212" s="44">
        <v>1</v>
      </c>
      <c r="G212" s="44">
        <v>1</v>
      </c>
      <c r="H212" s="44">
        <v>1</v>
      </c>
      <c r="I212" s="44">
        <v>0</v>
      </c>
      <c r="J212" s="44">
        <v>0</v>
      </c>
      <c r="K212" s="16" t="s">
        <v>16</v>
      </c>
      <c r="L212" s="46" t="s">
        <v>178</v>
      </c>
      <c r="M212" s="17">
        <f t="shared" si="120"/>
        <v>4.8230000000000002E-2</v>
      </c>
      <c r="N212" s="18">
        <f t="shared" si="121"/>
        <v>1.3779999999999999</v>
      </c>
      <c r="O212" s="19">
        <f>IF(E212="HERRAJE",IFERROR(_xlfn.XLOOKUP(D212,'⚙️ Configuración Costos'!$A$11:$A$20,'⚙️ Configuración Costos'!$B$11:$B$20),""),IFERROR(_xlfn.XLOOKUP(E212,'⚙️ Configuración Costos'!$A$5:$A$6,'⚙️ Configuración Costos'!$B$5:$B$6),""))</f>
        <v>332.85245901639348</v>
      </c>
      <c r="P212" s="19">
        <f t="shared" si="122"/>
        <v>16.05347409836066</v>
      </c>
      <c r="Q212" s="19">
        <f>IF(E212="HERRAJE",0,IFERROR(_xlfn.XLOOKUP(E212,'⚙️ Configuración Costos'!$E$5:$E$6,'⚙️ Configuración Costos'!$F$5:$F$6),""))</f>
        <v>9.5</v>
      </c>
      <c r="R212" s="19">
        <f t="shared" si="123"/>
        <v>13.090999999999999</v>
      </c>
      <c r="S212" s="37">
        <f t="shared" si="124"/>
        <v>29.144474098360661</v>
      </c>
      <c r="T212" s="94" t="str">
        <f t="shared" si="125"/>
        <v>OK</v>
      </c>
      <c r="U212" s="95" t="str">
        <f t="shared" si="126"/>
        <v/>
      </c>
      <c r="V212" s="96">
        <f t="shared" si="127"/>
        <v>0</v>
      </c>
    </row>
    <row r="213" spans="1:22" x14ac:dyDescent="0.2">
      <c r="A213" s="35">
        <v>1</v>
      </c>
      <c r="B213" s="44">
        <v>969</v>
      </c>
      <c r="C213" s="44">
        <v>490</v>
      </c>
      <c r="D213" s="43" t="s">
        <v>479</v>
      </c>
      <c r="E213" s="43" t="s">
        <v>85</v>
      </c>
      <c r="F213" s="44">
        <v>1</v>
      </c>
      <c r="G213" s="44">
        <v>1</v>
      </c>
      <c r="H213" s="44">
        <v>0</v>
      </c>
      <c r="I213" s="44">
        <v>0</v>
      </c>
      <c r="J213" s="44">
        <v>0</v>
      </c>
      <c r="K213" s="16" t="s">
        <v>16</v>
      </c>
      <c r="L213" s="46" t="s">
        <v>180</v>
      </c>
      <c r="M213" s="17">
        <f t="shared" si="120"/>
        <v>0.47481000000000001</v>
      </c>
      <c r="N213" s="18">
        <f t="shared" si="121"/>
        <v>0.96899999999999997</v>
      </c>
      <c r="O213" s="19">
        <f>IF(E213="HERRAJE",IFERROR(_xlfn.XLOOKUP(D213,'⚙️ Configuración Costos'!$A$11:$A$20,'⚙️ Configuración Costos'!$B$11:$B$20),""),IFERROR(_xlfn.XLOOKUP(E213,'⚙️ Configuración Costos'!$A$5:$A$6,'⚙️ Configuración Costos'!$B$5:$B$6),""))</f>
        <v>332.85245901639348</v>
      </c>
      <c r="P213" s="19">
        <f t="shared" si="122"/>
        <v>158.0416760655738</v>
      </c>
      <c r="Q213" s="19">
        <f>IF(E213="HERRAJE",0,IFERROR(_xlfn.XLOOKUP(E213,'⚙️ Configuración Costos'!$E$5:$E$6,'⚙️ Configuración Costos'!$F$5:$F$6),""))</f>
        <v>9.5</v>
      </c>
      <c r="R213" s="19">
        <f t="shared" si="123"/>
        <v>9.2054999999999989</v>
      </c>
      <c r="S213" s="37">
        <f t="shared" si="124"/>
        <v>167.2471760655738</v>
      </c>
      <c r="T213" s="94" t="str">
        <f t="shared" si="125"/>
        <v>OK</v>
      </c>
      <c r="U213" s="95" t="str">
        <f t="shared" si="126"/>
        <v/>
      </c>
      <c r="V213" s="96">
        <f t="shared" si="127"/>
        <v>0</v>
      </c>
    </row>
    <row r="214" spans="1:22" x14ac:dyDescent="0.2">
      <c r="A214" s="35">
        <v>1</v>
      </c>
      <c r="B214" s="44">
        <v>717</v>
      </c>
      <c r="C214" s="44">
        <v>407</v>
      </c>
      <c r="D214" s="43" t="s">
        <v>480</v>
      </c>
      <c r="E214" s="43" t="s">
        <v>85</v>
      </c>
      <c r="F214" s="44">
        <v>1</v>
      </c>
      <c r="G214" s="44">
        <v>1</v>
      </c>
      <c r="H214" s="44">
        <v>1</v>
      </c>
      <c r="I214" s="44">
        <v>1</v>
      </c>
      <c r="J214" s="44">
        <v>1</v>
      </c>
      <c r="K214" s="16" t="s">
        <v>16</v>
      </c>
      <c r="L214" s="46" t="s">
        <v>182</v>
      </c>
      <c r="M214" s="17">
        <f t="shared" si="120"/>
        <v>0.291819</v>
      </c>
      <c r="N214" s="18">
        <f t="shared" si="121"/>
        <v>2.2480000000000002</v>
      </c>
      <c r="O214" s="19">
        <f>IF(E214="HERRAJE",IFERROR(_xlfn.XLOOKUP(D214,'⚙️ Configuración Costos'!$A$11:$A$20,'⚙️ Configuración Costos'!$B$11:$B$20),""),IFERROR(_xlfn.XLOOKUP(E214,'⚙️ Configuración Costos'!$A$5:$A$6,'⚙️ Configuración Costos'!$B$5:$B$6),""))</f>
        <v>332.85245901639348</v>
      </c>
      <c r="P214" s="19">
        <f t="shared" si="122"/>
        <v>97.132671737704925</v>
      </c>
      <c r="Q214" s="19">
        <f>IF(E214="HERRAJE",0,IFERROR(_xlfn.XLOOKUP(E214,'⚙️ Configuración Costos'!$E$5:$E$6,'⚙️ Configuración Costos'!$F$5:$F$6),""))</f>
        <v>9.5</v>
      </c>
      <c r="R214" s="19">
        <f t="shared" si="123"/>
        <v>21.356000000000002</v>
      </c>
      <c r="S214" s="37">
        <f t="shared" si="124"/>
        <v>118.48867173770492</v>
      </c>
      <c r="T214" s="94" t="str">
        <f t="shared" si="125"/>
        <v>OK</v>
      </c>
      <c r="U214" s="95" t="str">
        <f t="shared" si="126"/>
        <v/>
      </c>
      <c r="V214" s="96">
        <f t="shared" si="127"/>
        <v>0</v>
      </c>
    </row>
    <row r="215" spans="1:22" x14ac:dyDescent="0.2">
      <c r="A215" s="35">
        <v>1</v>
      </c>
      <c r="B215" s="44">
        <v>717</v>
      </c>
      <c r="C215" s="44">
        <v>70</v>
      </c>
      <c r="D215" s="43" t="s">
        <v>481</v>
      </c>
      <c r="E215" s="43" t="s">
        <v>85</v>
      </c>
      <c r="F215" s="44">
        <v>1</v>
      </c>
      <c r="G215" s="44">
        <v>1</v>
      </c>
      <c r="H215" s="44">
        <v>1</v>
      </c>
      <c r="I215" s="44">
        <v>1</v>
      </c>
      <c r="J215" s="44">
        <v>1</v>
      </c>
      <c r="K215" s="16" t="s">
        <v>16</v>
      </c>
      <c r="L215" s="46" t="s">
        <v>183</v>
      </c>
      <c r="M215" s="17">
        <f t="shared" si="120"/>
        <v>5.0189999999999999E-2</v>
      </c>
      <c r="N215" s="18">
        <f t="shared" si="121"/>
        <v>1.5740000000000001</v>
      </c>
      <c r="O215" s="19">
        <f>IF(E215="HERRAJE",IFERROR(_xlfn.XLOOKUP(D215,'⚙️ Configuración Costos'!$A$11:$A$20,'⚙️ Configuración Costos'!$B$11:$B$20),""),IFERROR(_xlfn.XLOOKUP(E215,'⚙️ Configuración Costos'!$A$5:$A$6,'⚙️ Configuración Costos'!$B$5:$B$6),""))</f>
        <v>332.85245901639348</v>
      </c>
      <c r="P215" s="19">
        <f t="shared" si="122"/>
        <v>16.705864918032788</v>
      </c>
      <c r="Q215" s="19">
        <f>IF(E215="HERRAJE",0,IFERROR(_xlfn.XLOOKUP(E215,'⚙️ Configuración Costos'!$E$5:$E$6,'⚙️ Configuración Costos'!$F$5:$F$6),""))</f>
        <v>9.5</v>
      </c>
      <c r="R215" s="19">
        <f t="shared" si="123"/>
        <v>14.953000000000001</v>
      </c>
      <c r="S215" s="37">
        <f t="shared" si="124"/>
        <v>31.658864918032791</v>
      </c>
      <c r="T215" s="94" t="str">
        <f t="shared" si="125"/>
        <v>OK</v>
      </c>
      <c r="U215" s="95" t="str">
        <f t="shared" si="126"/>
        <v/>
      </c>
      <c r="V215" s="96">
        <f t="shared" si="127"/>
        <v>0</v>
      </c>
    </row>
    <row r="216" spans="1:22" x14ac:dyDescent="0.2">
      <c r="A216" s="35">
        <v>1</v>
      </c>
      <c r="B216" s="44">
        <v>717</v>
      </c>
      <c r="C216" s="44">
        <v>70</v>
      </c>
      <c r="D216" s="43" t="s">
        <v>482</v>
      </c>
      <c r="E216" s="43" t="s">
        <v>85</v>
      </c>
      <c r="F216" s="44">
        <v>1</v>
      </c>
      <c r="G216" s="44">
        <v>1</v>
      </c>
      <c r="H216" s="44">
        <v>1</v>
      </c>
      <c r="I216" s="44">
        <v>1</v>
      </c>
      <c r="J216" s="44">
        <v>1</v>
      </c>
      <c r="K216" s="16" t="s">
        <v>16</v>
      </c>
      <c r="L216" s="46" t="s">
        <v>185</v>
      </c>
      <c r="M216" s="17">
        <f t="shared" si="120"/>
        <v>5.0189999999999999E-2</v>
      </c>
      <c r="N216" s="18">
        <f t="shared" si="121"/>
        <v>1.5740000000000001</v>
      </c>
      <c r="O216" s="19">
        <f>IF(E216="HERRAJE",IFERROR(_xlfn.XLOOKUP(D216,'⚙️ Configuración Costos'!$A$11:$A$20,'⚙️ Configuración Costos'!$B$11:$B$20),""),IFERROR(_xlfn.XLOOKUP(E216,'⚙️ Configuración Costos'!$A$5:$A$6,'⚙️ Configuración Costos'!$B$5:$B$6),""))</f>
        <v>332.85245901639348</v>
      </c>
      <c r="P216" s="19">
        <f t="shared" si="122"/>
        <v>16.705864918032788</v>
      </c>
      <c r="Q216" s="19">
        <f>IF(E216="HERRAJE",0,IFERROR(_xlfn.XLOOKUP(E216,'⚙️ Configuración Costos'!$E$5:$E$6,'⚙️ Configuración Costos'!$F$5:$F$6),""))</f>
        <v>9.5</v>
      </c>
      <c r="R216" s="19">
        <f t="shared" si="123"/>
        <v>14.953000000000001</v>
      </c>
      <c r="S216" s="37">
        <f t="shared" si="124"/>
        <v>31.658864918032791</v>
      </c>
      <c r="T216" s="94" t="str">
        <f t="shared" si="125"/>
        <v>OK</v>
      </c>
      <c r="U216" s="95" t="str">
        <f t="shared" si="126"/>
        <v/>
      </c>
      <c r="V216" s="96">
        <f t="shared" si="127"/>
        <v>0</v>
      </c>
    </row>
    <row r="217" spans="1:22" x14ac:dyDescent="0.2">
      <c r="A217" s="35">
        <v>1</v>
      </c>
      <c r="B217" s="6">
        <v>0</v>
      </c>
      <c r="C217" s="6">
        <v>0</v>
      </c>
      <c r="D217" s="7" t="s">
        <v>93</v>
      </c>
      <c r="E217" s="7" t="s">
        <v>91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16" t="s">
        <v>16</v>
      </c>
      <c r="L217" s="47" t="s">
        <v>94</v>
      </c>
      <c r="M217" s="17">
        <f t="shared" si="120"/>
        <v>0</v>
      </c>
      <c r="N217" s="18">
        <f t="shared" si="121"/>
        <v>0</v>
      </c>
      <c r="O217" s="19">
        <f>IF(E217="HERRAJE",IFERROR(_xlfn.XLOOKUP(D217,'⚙️ Configuración Costos'!$A$11:$A$20,'⚙️ Configuración Costos'!$B$11:$B$20),""),IFERROR(_xlfn.XLOOKUP(E217,'⚙️ Configuración Costos'!$A$5:$A$6,'⚙️ Configuración Costos'!$B$5:$B$6),""))</f>
        <v>15</v>
      </c>
      <c r="P217" s="19">
        <f t="shared" si="122"/>
        <v>15</v>
      </c>
      <c r="Q217" s="19">
        <f>IF(E217="HERRAJE",0,IFERROR(_xlfn.XLOOKUP(E217,'⚙️ Configuración Costos'!$E$5:$E$6,'⚙️ Configuración Costos'!$F$5:$F$6),""))</f>
        <v>0</v>
      </c>
      <c r="R217" s="19">
        <f t="shared" si="123"/>
        <v>0</v>
      </c>
      <c r="S217" s="37">
        <f t="shared" si="124"/>
        <v>15</v>
      </c>
      <c r="T217" s="94" t="str">
        <f t="shared" si="125"/>
        <v>OK</v>
      </c>
      <c r="U217" s="95" t="str">
        <f t="shared" si="126"/>
        <v/>
      </c>
      <c r="V217" s="96">
        <f t="shared" si="127"/>
        <v>0</v>
      </c>
    </row>
    <row r="218" spans="1:22" x14ac:dyDescent="0.2">
      <c r="A218" s="35">
        <v>4</v>
      </c>
      <c r="B218" s="6">
        <v>0</v>
      </c>
      <c r="C218" s="6">
        <v>0</v>
      </c>
      <c r="D218" s="7" t="s">
        <v>186</v>
      </c>
      <c r="E218" s="7" t="s">
        <v>91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16" t="s">
        <v>16</v>
      </c>
      <c r="L218" s="47" t="s">
        <v>187</v>
      </c>
      <c r="M218" s="17">
        <f t="shared" si="120"/>
        <v>0</v>
      </c>
      <c r="N218" s="18">
        <f t="shared" si="121"/>
        <v>0</v>
      </c>
      <c r="O218" s="19">
        <f>IF(E218="HERRAJE",IFERROR(_xlfn.XLOOKUP(D218,'⚙️ Configuración Costos'!$A$11:$A$20,'⚙️ Configuración Costos'!$B$11:$B$20),""),IFERROR(_xlfn.XLOOKUP(E218,'⚙️ Configuración Costos'!$A$5:$A$6,'⚙️ Configuración Costos'!$B$5:$B$6),""))</f>
        <v>15</v>
      </c>
      <c r="P218" s="19">
        <f t="shared" si="122"/>
        <v>60</v>
      </c>
      <c r="Q218" s="19">
        <f>IF(E218="HERRAJE",0,IFERROR(_xlfn.XLOOKUP(E218,'⚙️ Configuración Costos'!$E$5:$E$6,'⚙️ Configuración Costos'!$F$5:$F$6),""))</f>
        <v>0</v>
      </c>
      <c r="R218" s="19">
        <f t="shared" si="123"/>
        <v>0</v>
      </c>
      <c r="S218" s="37">
        <f t="shared" si="124"/>
        <v>60</v>
      </c>
      <c r="T218" s="94" t="str">
        <f t="shared" si="125"/>
        <v>OK</v>
      </c>
      <c r="U218" s="95" t="str">
        <f t="shared" si="126"/>
        <v/>
      </c>
      <c r="V218" s="96">
        <f t="shared" si="127"/>
        <v>0</v>
      </c>
    </row>
    <row r="219" spans="1:22" x14ac:dyDescent="0.2">
      <c r="A219" s="35">
        <v>4</v>
      </c>
      <c r="B219" s="6">
        <v>0</v>
      </c>
      <c r="C219" s="6">
        <v>0</v>
      </c>
      <c r="D219" s="7" t="s">
        <v>95</v>
      </c>
      <c r="E219" s="7" t="s">
        <v>91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16" t="s">
        <v>16</v>
      </c>
      <c r="L219" s="47" t="s">
        <v>96</v>
      </c>
      <c r="M219" s="17">
        <f t="shared" si="120"/>
        <v>0</v>
      </c>
      <c r="N219" s="18">
        <f t="shared" si="121"/>
        <v>0</v>
      </c>
      <c r="O219" s="19">
        <f>IF(E219="HERRAJE",IFERROR(_xlfn.XLOOKUP(D219,'⚙️ Configuración Costos'!$A$11:$A$20,'⚙️ Configuración Costos'!$B$11:$B$20),""),IFERROR(_xlfn.XLOOKUP(E219,'⚙️ Configuración Costos'!$A$5:$A$6,'⚙️ Configuración Costos'!$B$5:$B$6),""))</f>
        <v>2</v>
      </c>
      <c r="P219" s="19">
        <f t="shared" si="122"/>
        <v>8</v>
      </c>
      <c r="Q219" s="19">
        <f>IF(E219="HERRAJE",0,IFERROR(_xlfn.XLOOKUP(E219,'⚙️ Configuración Costos'!$E$5:$E$6,'⚙️ Configuración Costos'!$F$5:$F$6),""))</f>
        <v>0</v>
      </c>
      <c r="R219" s="19">
        <f t="shared" si="123"/>
        <v>0</v>
      </c>
      <c r="S219" s="37">
        <f t="shared" si="124"/>
        <v>8</v>
      </c>
      <c r="T219" s="94" t="str">
        <f t="shared" si="125"/>
        <v>OK</v>
      </c>
      <c r="U219" s="95" t="str">
        <f t="shared" si="126"/>
        <v/>
      </c>
      <c r="V219" s="96">
        <f t="shared" si="127"/>
        <v>0</v>
      </c>
    </row>
    <row r="220" spans="1:22" x14ac:dyDescent="0.2">
      <c r="A220" s="36">
        <f>4*(IF(LEFT(D205,4)="Base",A205,0)+IF(LEFT(D205,4)="Piso",A205,0)+IF(LEFT(D205,5)="Techo",A205,0)+IF(LEFT(D206,4)="Base",A206,0)+IF(LEFT(D206,4)="Piso",A206,0)+IF(LEFT(D206,5)="Techo",A206,0)+IF(LEFT(D207,4)="Base",A207,0)+IF(LEFT(D207,4)="Piso",A207,0)+IF(LEFT(D207,5)="Techo",A207,0)+IF(LEFT(D208,4)="Base",A208,0)+IF(LEFT(D208,4)="Piso",A208,0)+IF(LEFT(D208,5)="Techo",A208,0)+IF(LEFT(D209,4)="Base",A209,0)+IF(LEFT(D209,4)="Piso",A209,0)+IF(LEFT(D209,5)="Techo",A209,0)+IF(LEFT(D210,4)="Base",A210,0)+IF(LEFT(D210,4)="Piso",A210,0)+IF(LEFT(D210,5)="Techo",A210,0)+IF(LEFT(D211,4)="Base",A211,0)+IF(LEFT(D211,4)="Piso",A211,0)+IF(LEFT(D211,5)="Techo",A211,0)+IF(LEFT(D212,4)="Base",A212,0)+IF(LEFT(D212,4)="Piso",A212,0)+IF(LEFT(D212,5)="Techo",A212,0)+IF(LEFT(D213,4)="Base",A213,0)+IF(LEFT(D213,4)="Piso",A213,0)+IF(LEFT(D213,5)="Techo",A213,0)+IF(LEFT(D214,4)="Base",A214,0)+IF(LEFT(D214,4)="Piso",A214,0)+IF(LEFT(D214,5)="Techo",A214,0)+IF(LEFT(D215,4)="Base",A215,0)+IF(LEFT(D215,4)="Piso",A215,0)+IF(LEFT(D215,5)="Techo",A215,0)+IF(LEFT(D216,4)="Base",A216,0)+IF(LEFT(D216,4)="Piso",A216,0)+IF(LEFT(D216,5)="Techo",A216,0))+10*(IF(LEFT(D205,8)="Respaldo",A205,0)+IF(LEFT(D206,8)="Respaldo",A206,0)+IF(LEFT(D207,8)="Respaldo",A207,0)+IF(LEFT(D208,8)="Respaldo",A208,0)+IF(LEFT(D209,8)="Respaldo",A209,0)+IF(LEFT(D210,8)="Respaldo",A210,0)+IF(LEFT(D211,8)="Respaldo",A211,0)+IF(LEFT(D212,8)="Respaldo",A212,0)+IF(LEFT(D213,8)="Respaldo",A213,0)+IF(LEFT(D214,8)="Respaldo",A214,0)+IF(LEFT(D215,8)="Respaldo",A215,0)+IF(LEFT(D216,8)="Respaldo",A216,0))+2*(IF(LEFT(D205,8)="Manguete",A205,0)+IF(LEFT(D206,8)="Manguete",A206,0)+IF(LEFT(D207,8)="Manguete",A207,0)+IF(LEFT(D208,8)="Manguete",A208,0)+IF(LEFT(D209,8)="Manguete",A209,0)+IF(LEFT(D210,8)="Manguete",A210,0)+IF(LEFT(D211,8)="Manguete",A211,0)+IF(LEFT(D212,8)="Manguete",A212,0)+IF(LEFT(D213,8)="Manguete",A213,0)+IF(LEFT(D214,8)="Manguete",A214,0)+IF(LEFT(D215,8)="Manguete",A215,0)+IF(LEFT(D216,8)="Manguete",A216,0))</f>
        <v>18</v>
      </c>
      <c r="B220" s="20">
        <v>0</v>
      </c>
      <c r="C220" s="20">
        <v>0</v>
      </c>
      <c r="D220" s="21" t="s">
        <v>400</v>
      </c>
      <c r="E220" s="21" t="s">
        <v>91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16" t="s">
        <v>16</v>
      </c>
      <c r="L220" s="48" t="s">
        <v>360</v>
      </c>
      <c r="M220" s="17">
        <f t="shared" si="120"/>
        <v>0</v>
      </c>
      <c r="N220" s="18">
        <f t="shared" si="121"/>
        <v>0</v>
      </c>
      <c r="O220" s="19">
        <f>IF(E220="HERRAJE",IFERROR(_xlfn.XLOOKUP(D220,'⚙️ Configuración Costos'!$A$11:$A$20,'⚙️ Configuración Costos'!$B$11:$B$20),""),IFERROR(_xlfn.XLOOKUP(E220,'⚙️ Configuración Costos'!$A$5:$A$6,'⚙️ Configuración Costos'!$B$5:$B$6),""))</f>
        <v>3</v>
      </c>
      <c r="P220" s="19">
        <f t="shared" si="122"/>
        <v>54</v>
      </c>
      <c r="Q220" s="19">
        <f>IF(E220="HERRAJE",0,IFERROR(_xlfn.XLOOKUP(E220,'⚙️ Configuración Costos'!$E$5:$E$6,'⚙️ Configuración Costos'!$F$5:$F$6),""))</f>
        <v>0</v>
      </c>
      <c r="R220" s="19">
        <f t="shared" si="123"/>
        <v>0</v>
      </c>
      <c r="S220" s="37">
        <f t="shared" si="124"/>
        <v>54</v>
      </c>
      <c r="T220" s="94" t="str">
        <f t="shared" si="125"/>
        <v>OK</v>
      </c>
      <c r="U220" s="95" t="str">
        <f t="shared" si="126"/>
        <v/>
      </c>
      <c r="V220" s="96">
        <f t="shared" si="127"/>
        <v>0</v>
      </c>
    </row>
    <row r="221" spans="1:22" ht="16" thickBot="1" x14ac:dyDescent="0.25">
      <c r="A221" s="36">
        <f>6*(IF(LEFT(D205,4)="Base",A205,0)+IF(LEFT(D205,4)="Piso",A205,0)+IF(LEFT(D205,5)="Techo",A205,0)+IF(LEFT(D206,4)="Base",A206,0)+IF(LEFT(D206,4)="Piso",A206,0)+IF(LEFT(D206,5)="Techo",A206,0)+IF(LEFT(D207,4)="Base",A207,0)+IF(LEFT(D207,4)="Piso",A207,0)+IF(LEFT(D207,5)="Techo",A207,0)+IF(LEFT(D208,4)="Base",A208,0)+IF(LEFT(D208,4)="Piso",A208,0)+IF(LEFT(D208,5)="Techo",A208,0)+IF(LEFT(D209,4)="Base",A209,0)+IF(LEFT(D209,4)="Piso",A209,0)+IF(LEFT(D209,5)="Techo",A209,0)+IF(LEFT(D210,4)="Base",A210,0)+IF(LEFT(D210,4)="Piso",A210,0)+IF(LEFT(D210,5)="Techo",A210,0)+IF(LEFT(D211,4)="Base",A211,0)+IF(LEFT(D211,4)="Piso",A211,0)+IF(LEFT(D211,5)="Techo",A211,0)+IF(LEFT(D212,4)="Base",A212,0)+IF(LEFT(D212,4)="Piso",A212,0)+IF(LEFT(D212,5)="Techo",A212,0)+IF(LEFT(D213,4)="Base",A213,0)+IF(LEFT(D213,4)="Piso",A213,0)+IF(LEFT(D213,5)="Techo",A213,0)+IF(LEFT(D214,4)="Base",A214,0)+IF(LEFT(D214,4)="Piso",A214,0)+IF(LEFT(D214,5)="Techo",A214,0)+IF(LEFT(D215,4)="Base",A215,0)+IF(LEFT(D215,4)="Piso",A215,0)+IF(LEFT(D215,5)="Techo",A215,0)+IF(LEFT(D216,4)="Base",A216,0)+IF(LEFT(D216,4)="Piso",A216,0)+IF(LEFT(D216,5)="Techo",A216,0))+10*(IF(LEFT(D205,8)="Respaldo",A205,0)+IF(LEFT(D206,8)="Respaldo",A206,0)+IF(LEFT(D207,8)="Respaldo",A207,0)+IF(LEFT(D208,8)="Respaldo",A208,0)+IF(LEFT(D209,8)="Respaldo",A209,0)+IF(LEFT(D210,8)="Respaldo",A210,0)+IF(LEFT(D211,8)="Respaldo",A211,0)+IF(LEFT(D212,8)="Respaldo",A212,0)+IF(LEFT(D213,8)="Respaldo",A213,0)+IF(LEFT(D214,8)="Respaldo",A214,0)+IF(LEFT(D215,8)="Respaldo",A215,0)+IF(LEFT(D216,8)="Respaldo",A216,0))+4*(IF(LEFT(D205,8)="Manguete",A205,0)+IF(LEFT(D206,8)="Manguete",A206,0)+IF(LEFT(D207,8)="Manguete",A207,0)+IF(LEFT(D208,8)="Manguete",A208,0)+IF(LEFT(D209,8)="Manguete",A209,0)+IF(LEFT(D210,8)="Manguete",A210,0)+IF(LEFT(D211,8)="Manguete",A211,0)+IF(LEFT(D212,8)="Manguete",A212,0)+IF(LEFT(D213,8)="Manguete",A213,0)+IF(LEFT(D214,8)="Manguete",A214,0)+IF(LEFT(D215,8)="Manguete",A215,0)+IF(LEFT(D216,8)="Manguete",A216,0))</f>
        <v>24</v>
      </c>
      <c r="B221" s="20">
        <v>0</v>
      </c>
      <c r="C221" s="20">
        <v>0</v>
      </c>
      <c r="D221" s="21" t="s">
        <v>468</v>
      </c>
      <c r="E221" s="21" t="s">
        <v>91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16" t="s">
        <v>16</v>
      </c>
      <c r="L221" s="48" t="s">
        <v>361</v>
      </c>
      <c r="M221" s="17">
        <f t="shared" si="120"/>
        <v>0</v>
      </c>
      <c r="N221" s="18">
        <f t="shared" si="121"/>
        <v>0</v>
      </c>
      <c r="O221" s="19">
        <f>IF(E221="HERRAJE",IFERROR(_xlfn.XLOOKUP(D221,'⚙️ Configuración Costos'!$A$11:$A$20,'⚙️ Configuración Costos'!$B$11:$B$20),""),IFERROR(_xlfn.XLOOKUP(E221,'⚙️ Configuración Costos'!$A$5:$A$6,'⚙️ Configuración Costos'!$B$5:$B$6),""))</f>
        <v>1</v>
      </c>
      <c r="P221" s="19">
        <f t="shared" si="122"/>
        <v>24</v>
      </c>
      <c r="Q221" s="19">
        <f>IF(E221="HERRAJE",0,IFERROR(_xlfn.XLOOKUP(E221,'⚙️ Configuración Costos'!$E$5:$E$6,'⚙️ Configuración Costos'!$F$5:$F$6),""))</f>
        <v>0</v>
      </c>
      <c r="R221" s="19">
        <f t="shared" si="123"/>
        <v>0</v>
      </c>
      <c r="S221" s="37">
        <f t="shared" si="124"/>
        <v>24</v>
      </c>
      <c r="T221" s="94" t="str">
        <f t="shared" si="125"/>
        <v>OK</v>
      </c>
      <c r="U221" s="95" t="str">
        <f t="shared" si="126"/>
        <v/>
      </c>
      <c r="V221" s="96">
        <f t="shared" si="127"/>
        <v>0</v>
      </c>
    </row>
    <row r="222" spans="1:22" ht="16" thickTop="1" x14ac:dyDescent="0.2">
      <c r="A222" s="27" t="s">
        <v>99</v>
      </c>
      <c r="B222" s="27"/>
      <c r="C222" s="27"/>
      <c r="D222" s="28"/>
      <c r="E222" s="28"/>
      <c r="F222" s="29"/>
      <c r="G222" s="29"/>
      <c r="H222" s="29"/>
      <c r="I222" s="29"/>
      <c r="J222" s="29"/>
      <c r="K222" s="30"/>
      <c r="L222" s="49"/>
      <c r="M222" s="33">
        <f>SUM(M205:M221)</f>
        <v>3.6084905000000012</v>
      </c>
      <c r="N222" s="33">
        <f>SUM(N205:N221)</f>
        <v>18.757000000000005</v>
      </c>
      <c r="O222" s="33"/>
      <c r="P222" s="33">
        <f>SUM(P205:P221)</f>
        <v>1362.0949362622951</v>
      </c>
      <c r="Q222" s="33"/>
      <c r="R222" s="33">
        <f>SUM(R205:R221)</f>
        <v>178.19149999999999</v>
      </c>
      <c r="S222" s="33">
        <f>SUM(S205:S221)</f>
        <v>1540.2864362622952</v>
      </c>
      <c r="T222" s="97"/>
      <c r="U222" s="98"/>
      <c r="V222" s="99"/>
    </row>
    <row r="223" spans="1:22" x14ac:dyDescent="0.2">
      <c r="A223" s="186" t="s">
        <v>189</v>
      </c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8"/>
      <c r="T223" s="97"/>
      <c r="U223" s="98"/>
      <c r="V223" s="99"/>
    </row>
    <row r="224" spans="1:22" x14ac:dyDescent="0.2">
      <c r="A224" s="34">
        <v>1</v>
      </c>
      <c r="B224" s="13">
        <v>720</v>
      </c>
      <c r="C224" s="13">
        <v>580</v>
      </c>
      <c r="D224" s="14" t="s">
        <v>63</v>
      </c>
      <c r="E224" s="14" t="s">
        <v>85</v>
      </c>
      <c r="F224" s="15">
        <v>1</v>
      </c>
      <c r="G224" s="15">
        <v>1</v>
      </c>
      <c r="H224" s="15">
        <v>1</v>
      </c>
      <c r="I224" s="15">
        <v>1</v>
      </c>
      <c r="J224" s="15">
        <v>1</v>
      </c>
      <c r="K224" s="16" t="s">
        <v>17</v>
      </c>
      <c r="L224" s="46" t="s">
        <v>365</v>
      </c>
      <c r="M224" s="17">
        <f t="shared" ref="M224:M237" si="128">IF(AND(ISNUMBER(B224),ISNUMBER(C224),B224&gt;0,C224&gt;0),A224*(B224*C224/1000000),0)</f>
        <v>0.41760000000000003</v>
      </c>
      <c r="N224" s="18">
        <f t="shared" ref="N224:N237" si="129">IF(AND(ISNUMBER(B224),B224&gt;0),A224*(((G224+H224)*B224+(I224+J224)*C224)/1000),0)</f>
        <v>2.6</v>
      </c>
      <c r="O224" s="19">
        <f>IF(E224="HERRAJE",IFERROR(_xlfn.XLOOKUP(D224,'⚙️ Configuración Costos'!$A$11:$A$20,'⚙️ Configuración Costos'!$B$11:$B$20),""),IFERROR(_xlfn.XLOOKUP(E224,'⚙️ Configuración Costos'!$A$5:$A$6,'⚙️ Configuración Costos'!$B$5:$B$6),""))</f>
        <v>332.85245901639348</v>
      </c>
      <c r="P224" s="19">
        <f t="shared" ref="P224:P237" si="130">IF(E224="HERRAJE",A224*O224,M224*O224)</f>
        <v>138.99918688524593</v>
      </c>
      <c r="Q224" s="19">
        <f>IF(E224="HERRAJE",0,IFERROR(_xlfn.XLOOKUP(E224,'⚙️ Configuración Costos'!$E$5:$E$6,'⚙️ Configuración Costos'!$F$5:$F$6),""))</f>
        <v>9.5</v>
      </c>
      <c r="R224" s="19">
        <f t="shared" ref="R224:R237" si="131">N224*Q224</f>
        <v>24.7</v>
      </c>
      <c r="S224" s="37">
        <f t="shared" ref="S224:S237" si="132">P224+R224</f>
        <v>163.69918688524592</v>
      </c>
      <c r="T224" s="94" t="str">
        <f t="shared" ref="T224:T237" si="133">IF(K224="","SIN ID MÓDULO",IF(E224="HERRAJE",IF(OR(O224="",O224&lt;=0),"SIN PRECIO HERRAJE","OK"),IF(OR(O224="",O224&lt;=0),"SIN PRECIO MATERIAL",IF(AND(N224&gt;0,OR(Q224="",Q224&lt;=0)),"SIN PRECIO CINTILLA","OK"))))</f>
        <v>OK</v>
      </c>
      <c r="U224" s="95" t="str">
        <f t="shared" ref="U224:U237" si="134">IF(T224="OK","",IF(T224="SIN PRECIO HERRAJE","Capturar precio: "&amp;D224,IF(T224="SIN PRECIO MATERIAL","Configurar material: "&amp;E224,IF(T224="SIN PRECIO CINTILLA","Configurar cintilla: "&amp;E224,IF(T224="SIN ID MÓDULO","Revisar ID del módulo","")))))</f>
        <v/>
      </c>
      <c r="V224" s="96">
        <f t="shared" ref="V224:V237" si="135">IF(T224="OK",0,IF(T224="",0,1))</f>
        <v>0</v>
      </c>
    </row>
    <row r="225" spans="1:22" x14ac:dyDescent="0.2">
      <c r="A225" s="35">
        <v>1</v>
      </c>
      <c r="B225" s="6">
        <v>720</v>
      </c>
      <c r="C225" s="6">
        <v>580</v>
      </c>
      <c r="D225" s="7" t="s">
        <v>66</v>
      </c>
      <c r="E225" s="7" t="s">
        <v>85</v>
      </c>
      <c r="F225" s="8">
        <v>1</v>
      </c>
      <c r="G225" s="8">
        <v>1</v>
      </c>
      <c r="H225" s="8">
        <v>1</v>
      </c>
      <c r="I225" s="8">
        <v>1</v>
      </c>
      <c r="J225" s="8">
        <v>1</v>
      </c>
      <c r="K225" s="16" t="s">
        <v>17</v>
      </c>
      <c r="L225" s="47" t="s">
        <v>366</v>
      </c>
      <c r="M225" s="17">
        <f t="shared" si="128"/>
        <v>0.41760000000000003</v>
      </c>
      <c r="N225" s="18">
        <f t="shared" si="129"/>
        <v>2.6</v>
      </c>
      <c r="O225" s="19">
        <f>IF(E225="HERRAJE",IFERROR(_xlfn.XLOOKUP(D225,'⚙️ Configuración Costos'!$A$11:$A$20,'⚙️ Configuración Costos'!$B$11:$B$20),""),IFERROR(_xlfn.XLOOKUP(E225,'⚙️ Configuración Costos'!$A$5:$A$6,'⚙️ Configuración Costos'!$B$5:$B$6),""))</f>
        <v>332.85245901639348</v>
      </c>
      <c r="P225" s="19">
        <f t="shared" si="130"/>
        <v>138.99918688524593</v>
      </c>
      <c r="Q225" s="19">
        <f>IF(E225="HERRAJE",0,IFERROR(_xlfn.XLOOKUP(E225,'⚙️ Configuración Costos'!$E$5:$E$6,'⚙️ Configuración Costos'!$F$5:$F$6),""))</f>
        <v>9.5</v>
      </c>
      <c r="R225" s="19">
        <f t="shared" si="131"/>
        <v>24.7</v>
      </c>
      <c r="S225" s="37">
        <f t="shared" si="132"/>
        <v>163.69918688524592</v>
      </c>
      <c r="T225" s="94" t="str">
        <f t="shared" si="133"/>
        <v>OK</v>
      </c>
      <c r="U225" s="95" t="str">
        <f t="shared" si="134"/>
        <v/>
      </c>
      <c r="V225" s="96">
        <f t="shared" si="135"/>
        <v>0</v>
      </c>
    </row>
    <row r="226" spans="1:22" x14ac:dyDescent="0.2">
      <c r="A226" s="35">
        <v>1</v>
      </c>
      <c r="B226" s="6">
        <v>689</v>
      </c>
      <c r="C226" s="6">
        <v>269</v>
      </c>
      <c r="D226" s="7" t="s">
        <v>169</v>
      </c>
      <c r="E226" s="7" t="s">
        <v>85</v>
      </c>
      <c r="F226" s="8">
        <v>1</v>
      </c>
      <c r="G226" s="8">
        <v>0</v>
      </c>
      <c r="H226" s="8">
        <v>0</v>
      </c>
      <c r="I226" s="8">
        <v>0</v>
      </c>
      <c r="J226" s="8">
        <v>0</v>
      </c>
      <c r="K226" s="16" t="s">
        <v>17</v>
      </c>
      <c r="L226" s="47" t="s">
        <v>192</v>
      </c>
      <c r="M226" s="17">
        <f t="shared" si="128"/>
        <v>0.18534100000000001</v>
      </c>
      <c r="N226" s="18">
        <f t="shared" si="129"/>
        <v>0</v>
      </c>
      <c r="O226" s="19">
        <f>IF(E226="HERRAJE",IFERROR(_xlfn.XLOOKUP(D226,'⚙️ Configuración Costos'!$A$11:$A$20,'⚙️ Configuración Costos'!$B$11:$B$20),""),IFERROR(_xlfn.XLOOKUP(E226,'⚙️ Configuración Costos'!$A$5:$A$6,'⚙️ Configuración Costos'!$B$5:$B$6),""))</f>
        <v>332.85245901639348</v>
      </c>
      <c r="P226" s="19">
        <f t="shared" si="130"/>
        <v>61.691207606557384</v>
      </c>
      <c r="Q226" s="19">
        <f>IF(E226="HERRAJE",0,IFERROR(_xlfn.XLOOKUP(E226,'⚙️ Configuración Costos'!$E$5:$E$6,'⚙️ Configuración Costos'!$F$5:$F$6),""))</f>
        <v>9.5</v>
      </c>
      <c r="R226" s="19">
        <f t="shared" si="131"/>
        <v>0</v>
      </c>
      <c r="S226" s="37">
        <f t="shared" si="132"/>
        <v>61.691207606557384</v>
      </c>
      <c r="T226" s="94" t="str">
        <f t="shared" si="133"/>
        <v>OK</v>
      </c>
      <c r="U226" s="95" t="str">
        <f t="shared" si="134"/>
        <v/>
      </c>
      <c r="V226" s="96">
        <f t="shared" si="135"/>
        <v>0</v>
      </c>
    </row>
    <row r="227" spans="1:22" x14ac:dyDescent="0.2">
      <c r="A227" s="35">
        <v>1</v>
      </c>
      <c r="B227" s="6">
        <v>269</v>
      </c>
      <c r="C227" s="6">
        <v>580</v>
      </c>
      <c r="D227" s="7" t="s">
        <v>171</v>
      </c>
      <c r="E227" s="7" t="s">
        <v>85</v>
      </c>
      <c r="F227" s="8">
        <v>1</v>
      </c>
      <c r="G227" s="8">
        <v>0</v>
      </c>
      <c r="H227" s="8">
        <v>0</v>
      </c>
      <c r="I227" s="8">
        <v>1</v>
      </c>
      <c r="J227" s="8">
        <v>1</v>
      </c>
      <c r="K227" s="16" t="s">
        <v>17</v>
      </c>
      <c r="L227" s="47" t="s">
        <v>367</v>
      </c>
      <c r="M227" s="17">
        <f t="shared" si="128"/>
        <v>0.15601999999999999</v>
      </c>
      <c r="N227" s="18">
        <f t="shared" si="129"/>
        <v>1.1599999999999999</v>
      </c>
      <c r="O227" s="19">
        <f>IF(E227="HERRAJE",IFERROR(_xlfn.XLOOKUP(D227,'⚙️ Configuración Costos'!$A$11:$A$20,'⚙️ Configuración Costos'!$B$11:$B$20),""),IFERROR(_xlfn.XLOOKUP(E227,'⚙️ Configuración Costos'!$A$5:$A$6,'⚙️ Configuración Costos'!$B$5:$B$6),""))</f>
        <v>332.85245901639348</v>
      </c>
      <c r="P227" s="19">
        <f t="shared" si="130"/>
        <v>51.931640655737709</v>
      </c>
      <c r="Q227" s="19">
        <f>IF(E227="HERRAJE",0,IFERROR(_xlfn.XLOOKUP(E227,'⚙️ Configuración Costos'!$E$5:$E$6,'⚙️ Configuración Costos'!$F$5:$F$6),""))</f>
        <v>9.5</v>
      </c>
      <c r="R227" s="19">
        <f t="shared" si="131"/>
        <v>11.02</v>
      </c>
      <c r="S227" s="37">
        <f t="shared" si="132"/>
        <v>62.951640655737705</v>
      </c>
      <c r="T227" s="94" t="str">
        <f t="shared" si="133"/>
        <v>OK</v>
      </c>
      <c r="U227" s="95" t="str">
        <f t="shared" si="134"/>
        <v/>
      </c>
      <c r="V227" s="96">
        <f t="shared" si="135"/>
        <v>0</v>
      </c>
    </row>
    <row r="228" spans="1:22" x14ac:dyDescent="0.2">
      <c r="A228" s="35">
        <v>1</v>
      </c>
      <c r="B228" s="6">
        <v>269</v>
      </c>
      <c r="C228" s="6">
        <v>120</v>
      </c>
      <c r="D228" s="7" t="s">
        <v>194</v>
      </c>
      <c r="E228" s="7" t="s">
        <v>85</v>
      </c>
      <c r="F228" s="8">
        <v>1</v>
      </c>
      <c r="G228" s="8">
        <v>1</v>
      </c>
      <c r="H228" s="8">
        <v>1</v>
      </c>
      <c r="I228" s="8">
        <v>0</v>
      </c>
      <c r="J228" s="8">
        <v>0</v>
      </c>
      <c r="K228" s="16" t="s">
        <v>17</v>
      </c>
      <c r="L228" s="47" t="s">
        <v>195</v>
      </c>
      <c r="M228" s="17">
        <f t="shared" si="128"/>
        <v>3.2280000000000003E-2</v>
      </c>
      <c r="N228" s="18">
        <f t="shared" si="129"/>
        <v>0.53800000000000003</v>
      </c>
      <c r="O228" s="19">
        <f>IF(E228="HERRAJE",IFERROR(_xlfn.XLOOKUP(D228,'⚙️ Configuración Costos'!$A$11:$A$20,'⚙️ Configuración Costos'!$B$11:$B$20),""),IFERROR(_xlfn.XLOOKUP(E228,'⚙️ Configuración Costos'!$A$5:$A$6,'⚙️ Configuración Costos'!$B$5:$B$6),""))</f>
        <v>332.85245901639348</v>
      </c>
      <c r="P228" s="19">
        <f t="shared" si="130"/>
        <v>10.744477377049183</v>
      </c>
      <c r="Q228" s="19">
        <f>IF(E228="HERRAJE",0,IFERROR(_xlfn.XLOOKUP(E228,'⚙️ Configuración Costos'!$E$5:$E$6,'⚙️ Configuración Costos'!$F$5:$F$6),""))</f>
        <v>9.5</v>
      </c>
      <c r="R228" s="19">
        <f t="shared" si="131"/>
        <v>5.1110000000000007</v>
      </c>
      <c r="S228" s="37">
        <f t="shared" si="132"/>
        <v>15.855477377049183</v>
      </c>
      <c r="T228" s="94" t="str">
        <f t="shared" si="133"/>
        <v>OK</v>
      </c>
      <c r="U228" s="95" t="str">
        <f t="shared" si="134"/>
        <v/>
      </c>
      <c r="V228" s="96">
        <f t="shared" si="135"/>
        <v>0</v>
      </c>
    </row>
    <row r="229" spans="1:22" x14ac:dyDescent="0.2">
      <c r="A229" s="35">
        <v>1</v>
      </c>
      <c r="B229" s="6">
        <v>269</v>
      </c>
      <c r="C229" s="6">
        <v>120</v>
      </c>
      <c r="D229" s="7" t="s">
        <v>194</v>
      </c>
      <c r="E229" s="7" t="s">
        <v>85</v>
      </c>
      <c r="F229" s="8">
        <v>1</v>
      </c>
      <c r="G229" s="8">
        <v>1</v>
      </c>
      <c r="H229" s="8">
        <v>1</v>
      </c>
      <c r="I229" s="8">
        <v>0</v>
      </c>
      <c r="J229" s="8">
        <v>0</v>
      </c>
      <c r="K229" s="16" t="s">
        <v>17</v>
      </c>
      <c r="L229" s="47" t="s">
        <v>195</v>
      </c>
      <c r="M229" s="17">
        <f t="shared" si="128"/>
        <v>3.2280000000000003E-2</v>
      </c>
      <c r="N229" s="18">
        <f t="shared" si="129"/>
        <v>0.53800000000000003</v>
      </c>
      <c r="O229" s="19">
        <f>IF(E229="HERRAJE",IFERROR(_xlfn.XLOOKUP(D229,'⚙️ Configuración Costos'!$A$11:$A$20,'⚙️ Configuración Costos'!$B$11:$B$20),""),IFERROR(_xlfn.XLOOKUP(E229,'⚙️ Configuración Costos'!$A$5:$A$6,'⚙️ Configuración Costos'!$B$5:$B$6),""))</f>
        <v>332.85245901639348</v>
      </c>
      <c r="P229" s="19">
        <f t="shared" si="130"/>
        <v>10.744477377049183</v>
      </c>
      <c r="Q229" s="19">
        <f>IF(E229="HERRAJE",0,IFERROR(_xlfn.XLOOKUP(E229,'⚙️ Configuración Costos'!$E$5:$E$6,'⚙️ Configuración Costos'!$F$5:$F$6),""))</f>
        <v>9.5</v>
      </c>
      <c r="R229" s="19">
        <f t="shared" si="131"/>
        <v>5.1110000000000007</v>
      </c>
      <c r="S229" s="37">
        <f t="shared" si="132"/>
        <v>15.855477377049183</v>
      </c>
      <c r="T229" s="94" t="str">
        <f t="shared" si="133"/>
        <v>OK</v>
      </c>
      <c r="U229" s="95" t="str">
        <f t="shared" si="134"/>
        <v/>
      </c>
      <c r="V229" s="96">
        <f t="shared" si="135"/>
        <v>0</v>
      </c>
    </row>
    <row r="230" spans="1:22" x14ac:dyDescent="0.2">
      <c r="A230" s="35">
        <v>1</v>
      </c>
      <c r="B230" s="6">
        <v>269</v>
      </c>
      <c r="C230" s="6">
        <v>490</v>
      </c>
      <c r="D230" s="7" t="s">
        <v>479</v>
      </c>
      <c r="E230" s="7" t="s">
        <v>85</v>
      </c>
      <c r="F230" s="8">
        <v>1</v>
      </c>
      <c r="G230" s="8">
        <v>0</v>
      </c>
      <c r="H230" s="8">
        <v>0</v>
      </c>
      <c r="I230" s="8">
        <v>0</v>
      </c>
      <c r="J230" s="8">
        <v>1</v>
      </c>
      <c r="K230" s="16" t="s">
        <v>17</v>
      </c>
      <c r="L230" s="47" t="s">
        <v>196</v>
      </c>
      <c r="M230" s="17">
        <f t="shared" si="128"/>
        <v>0.13181000000000001</v>
      </c>
      <c r="N230" s="18">
        <f t="shared" si="129"/>
        <v>0.49</v>
      </c>
      <c r="O230" s="19">
        <f>IF(E230="HERRAJE",IFERROR(_xlfn.XLOOKUP(D230,'⚙️ Configuración Costos'!$A$11:$A$20,'⚙️ Configuración Costos'!$B$11:$B$20),""),IFERROR(_xlfn.XLOOKUP(E230,'⚙️ Configuración Costos'!$A$5:$A$6,'⚙️ Configuración Costos'!$B$5:$B$6),""))</f>
        <v>332.85245901639348</v>
      </c>
      <c r="P230" s="19">
        <f t="shared" si="130"/>
        <v>43.873282622950825</v>
      </c>
      <c r="Q230" s="19">
        <f>IF(E230="HERRAJE",0,IFERROR(_xlfn.XLOOKUP(E230,'⚙️ Configuración Costos'!$E$5:$E$6,'⚙️ Configuración Costos'!$F$5:$F$6),""))</f>
        <v>9.5</v>
      </c>
      <c r="R230" s="19">
        <f t="shared" si="131"/>
        <v>4.6550000000000002</v>
      </c>
      <c r="S230" s="37">
        <f t="shared" si="132"/>
        <v>48.528282622950826</v>
      </c>
      <c r="T230" s="94" t="str">
        <f t="shared" si="133"/>
        <v>OK</v>
      </c>
      <c r="U230" s="95" t="str">
        <f t="shared" si="134"/>
        <v/>
      </c>
      <c r="V230" s="96">
        <f t="shared" si="135"/>
        <v>0</v>
      </c>
    </row>
    <row r="231" spans="1:22" x14ac:dyDescent="0.2">
      <c r="A231" s="35">
        <v>1</v>
      </c>
      <c r="B231" s="6">
        <v>717</v>
      </c>
      <c r="C231" s="6">
        <v>297</v>
      </c>
      <c r="D231" s="7" t="s">
        <v>197</v>
      </c>
      <c r="E231" s="7" t="s">
        <v>85</v>
      </c>
      <c r="F231" s="8">
        <v>1</v>
      </c>
      <c r="G231" s="8">
        <v>1</v>
      </c>
      <c r="H231" s="8">
        <v>1</v>
      </c>
      <c r="I231" s="8">
        <v>1</v>
      </c>
      <c r="J231" s="8">
        <v>1</v>
      </c>
      <c r="K231" s="16" t="s">
        <v>17</v>
      </c>
      <c r="L231" s="47" t="s">
        <v>198</v>
      </c>
      <c r="M231" s="17">
        <f t="shared" si="128"/>
        <v>0.212949</v>
      </c>
      <c r="N231" s="18">
        <f t="shared" si="129"/>
        <v>2.028</v>
      </c>
      <c r="O231" s="19">
        <f>IF(E231="HERRAJE",IFERROR(_xlfn.XLOOKUP(D231,'⚙️ Configuración Costos'!$A$11:$A$20,'⚙️ Configuración Costos'!$B$11:$B$20),""),IFERROR(_xlfn.XLOOKUP(E231,'⚙️ Configuración Costos'!$A$5:$A$6,'⚙️ Configuración Costos'!$B$5:$B$6),""))</f>
        <v>332.85245901639348</v>
      </c>
      <c r="P231" s="19">
        <f t="shared" si="130"/>
        <v>70.880598295081981</v>
      </c>
      <c r="Q231" s="19">
        <f>IF(E231="HERRAJE",0,IFERROR(_xlfn.XLOOKUP(E231,'⚙️ Configuración Costos'!$E$5:$E$6,'⚙️ Configuración Costos'!$F$5:$F$6),""))</f>
        <v>9.5</v>
      </c>
      <c r="R231" s="19">
        <f t="shared" si="131"/>
        <v>19.266000000000002</v>
      </c>
      <c r="S231" s="37">
        <f t="shared" si="132"/>
        <v>90.146598295081986</v>
      </c>
      <c r="T231" s="94" t="str">
        <f t="shared" si="133"/>
        <v>OK</v>
      </c>
      <c r="U231" s="95" t="str">
        <f t="shared" si="134"/>
        <v/>
      </c>
      <c r="V231" s="96">
        <f t="shared" si="135"/>
        <v>0</v>
      </c>
    </row>
    <row r="232" spans="1:22" x14ac:dyDescent="0.2">
      <c r="A232" s="35">
        <v>2</v>
      </c>
      <c r="B232" s="6">
        <v>0</v>
      </c>
      <c r="C232" s="6">
        <v>0</v>
      </c>
      <c r="D232" s="7" t="s">
        <v>90</v>
      </c>
      <c r="E232" s="7" t="s">
        <v>91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16" t="s">
        <v>17</v>
      </c>
      <c r="L232" s="47" t="s">
        <v>92</v>
      </c>
      <c r="M232" s="17">
        <f t="shared" si="128"/>
        <v>0</v>
      </c>
      <c r="N232" s="18">
        <f t="shared" si="129"/>
        <v>0</v>
      </c>
      <c r="O232" s="19">
        <f>IF(E232="HERRAJE",IFERROR(_xlfn.XLOOKUP(D232,'⚙️ Configuración Costos'!$A$11:$A$20,'⚙️ Configuración Costos'!$B$11:$B$20),""),IFERROR(_xlfn.XLOOKUP(E232,'⚙️ Configuración Costos'!$A$5:$A$6,'⚙️ Configuración Costos'!$B$5:$B$6),""))</f>
        <v>20</v>
      </c>
      <c r="P232" s="19">
        <f t="shared" si="130"/>
        <v>40</v>
      </c>
      <c r="Q232" s="19">
        <f>IF(E232="HERRAJE",0,IFERROR(_xlfn.XLOOKUP(E232,'⚙️ Configuración Costos'!$E$5:$E$6,'⚙️ Configuración Costos'!$F$5:$F$6),""))</f>
        <v>0</v>
      </c>
      <c r="R232" s="19">
        <f t="shared" si="131"/>
        <v>0</v>
      </c>
      <c r="S232" s="37">
        <f t="shared" si="132"/>
        <v>40</v>
      </c>
      <c r="T232" s="94" t="str">
        <f t="shared" si="133"/>
        <v>OK</v>
      </c>
      <c r="U232" s="95" t="str">
        <f t="shared" si="134"/>
        <v/>
      </c>
      <c r="V232" s="96">
        <f t="shared" si="135"/>
        <v>0</v>
      </c>
    </row>
    <row r="233" spans="1:22" x14ac:dyDescent="0.2">
      <c r="A233" s="35">
        <v>1</v>
      </c>
      <c r="B233" s="6">
        <v>0</v>
      </c>
      <c r="C233" s="6">
        <v>0</v>
      </c>
      <c r="D233" s="7" t="s">
        <v>93</v>
      </c>
      <c r="E233" s="7" t="s">
        <v>91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6" t="s">
        <v>17</v>
      </c>
      <c r="L233" s="47" t="s">
        <v>94</v>
      </c>
      <c r="M233" s="17">
        <f t="shared" si="128"/>
        <v>0</v>
      </c>
      <c r="N233" s="18">
        <f t="shared" si="129"/>
        <v>0</v>
      </c>
      <c r="O233" s="19">
        <f>IF(E233="HERRAJE",IFERROR(_xlfn.XLOOKUP(D233,'⚙️ Configuración Costos'!$A$11:$A$20,'⚙️ Configuración Costos'!$B$11:$B$20),""),IFERROR(_xlfn.XLOOKUP(E233,'⚙️ Configuración Costos'!$A$5:$A$6,'⚙️ Configuración Costos'!$B$5:$B$6),""))</f>
        <v>15</v>
      </c>
      <c r="P233" s="19">
        <f t="shared" si="130"/>
        <v>15</v>
      </c>
      <c r="Q233" s="19">
        <f>IF(E233="HERRAJE",0,IFERROR(_xlfn.XLOOKUP(E233,'⚙️ Configuración Costos'!$E$5:$E$6,'⚙️ Configuración Costos'!$F$5:$F$6),""))</f>
        <v>0</v>
      </c>
      <c r="R233" s="19">
        <f t="shared" si="131"/>
        <v>0</v>
      </c>
      <c r="S233" s="37">
        <f t="shared" si="132"/>
        <v>15</v>
      </c>
      <c r="T233" s="94" t="str">
        <f t="shared" si="133"/>
        <v>OK</v>
      </c>
      <c r="U233" s="95" t="str">
        <f t="shared" si="134"/>
        <v/>
      </c>
      <c r="V233" s="96">
        <f t="shared" si="135"/>
        <v>0</v>
      </c>
    </row>
    <row r="234" spans="1:22" x14ac:dyDescent="0.2">
      <c r="A234" s="35">
        <v>4</v>
      </c>
      <c r="B234" s="6">
        <v>0</v>
      </c>
      <c r="C234" s="6">
        <v>0</v>
      </c>
      <c r="D234" s="7" t="s">
        <v>186</v>
      </c>
      <c r="E234" s="7" t="s">
        <v>91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16" t="s">
        <v>17</v>
      </c>
      <c r="L234" s="47" t="s">
        <v>187</v>
      </c>
      <c r="M234" s="17">
        <f t="shared" si="128"/>
        <v>0</v>
      </c>
      <c r="N234" s="18">
        <f t="shared" si="129"/>
        <v>0</v>
      </c>
      <c r="O234" s="19">
        <f>IF(E234="HERRAJE",IFERROR(_xlfn.XLOOKUP(D234,'⚙️ Configuración Costos'!$A$11:$A$20,'⚙️ Configuración Costos'!$B$11:$B$20),""),IFERROR(_xlfn.XLOOKUP(E234,'⚙️ Configuración Costos'!$A$5:$A$6,'⚙️ Configuración Costos'!$B$5:$B$6),""))</f>
        <v>15</v>
      </c>
      <c r="P234" s="19">
        <f t="shared" si="130"/>
        <v>60</v>
      </c>
      <c r="Q234" s="19">
        <f>IF(E234="HERRAJE",0,IFERROR(_xlfn.XLOOKUP(E234,'⚙️ Configuración Costos'!$E$5:$E$6,'⚙️ Configuración Costos'!$F$5:$F$6),""))</f>
        <v>0</v>
      </c>
      <c r="R234" s="19">
        <f t="shared" si="131"/>
        <v>0</v>
      </c>
      <c r="S234" s="37">
        <f t="shared" si="132"/>
        <v>60</v>
      </c>
      <c r="T234" s="94" t="str">
        <f t="shared" si="133"/>
        <v>OK</v>
      </c>
      <c r="U234" s="95" t="str">
        <f t="shared" si="134"/>
        <v/>
      </c>
      <c r="V234" s="96">
        <f t="shared" si="135"/>
        <v>0</v>
      </c>
    </row>
    <row r="235" spans="1:22" x14ac:dyDescent="0.2">
      <c r="A235" s="35">
        <v>4</v>
      </c>
      <c r="B235" s="6">
        <v>0</v>
      </c>
      <c r="C235" s="6">
        <v>0</v>
      </c>
      <c r="D235" s="7" t="s">
        <v>95</v>
      </c>
      <c r="E235" s="7" t="s">
        <v>91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16" t="s">
        <v>17</v>
      </c>
      <c r="L235" s="47" t="s">
        <v>96</v>
      </c>
      <c r="M235" s="17">
        <f t="shared" si="128"/>
        <v>0</v>
      </c>
      <c r="N235" s="18">
        <f t="shared" si="129"/>
        <v>0</v>
      </c>
      <c r="O235" s="19">
        <f>IF(E235="HERRAJE",IFERROR(_xlfn.XLOOKUP(D235,'⚙️ Configuración Costos'!$A$11:$A$20,'⚙️ Configuración Costos'!$B$11:$B$20),""),IFERROR(_xlfn.XLOOKUP(E235,'⚙️ Configuración Costos'!$A$5:$A$6,'⚙️ Configuración Costos'!$B$5:$B$6),""))</f>
        <v>2</v>
      </c>
      <c r="P235" s="19">
        <f t="shared" si="130"/>
        <v>8</v>
      </c>
      <c r="Q235" s="19">
        <f>IF(E235="HERRAJE",0,IFERROR(_xlfn.XLOOKUP(E235,'⚙️ Configuración Costos'!$E$5:$E$6,'⚙️ Configuración Costos'!$F$5:$F$6),""))</f>
        <v>0</v>
      </c>
      <c r="R235" s="19">
        <f t="shared" si="131"/>
        <v>0</v>
      </c>
      <c r="S235" s="37">
        <f t="shared" si="132"/>
        <v>8</v>
      </c>
      <c r="T235" s="94" t="str">
        <f t="shared" si="133"/>
        <v>OK</v>
      </c>
      <c r="U235" s="95" t="str">
        <f t="shared" si="134"/>
        <v/>
      </c>
      <c r="V235" s="96">
        <f t="shared" si="135"/>
        <v>0</v>
      </c>
    </row>
    <row r="236" spans="1:22" x14ac:dyDescent="0.2">
      <c r="A236" s="36">
        <f>4*(IF(LEFT(D224,4)="Base",A224,0)+IF(LEFT(D224,4)="Piso",A224,0)+IF(LEFT(D224,5)="Techo",A224,0)+IF(LEFT(D225,4)="Base",A225,0)+IF(LEFT(D225,4)="Piso",A225,0)+IF(LEFT(D225,5)="Techo",A225,0)+IF(LEFT(D226,4)="Base",A226,0)+IF(LEFT(D226,4)="Piso",A226,0)+IF(LEFT(D226,5)="Techo",A226,0)+IF(LEFT(D227,4)="Base",A227,0)+IF(LEFT(D227,4)="Piso",A227,0)+IF(LEFT(D227,5)="Techo",A227,0)+IF(LEFT(D228,4)="Base",A228,0)+IF(LEFT(D228,4)="Piso",A228,0)+IF(LEFT(D228,5)="Techo",A228,0)+IF(LEFT(D229,4)="Base",A229,0)+IF(LEFT(D229,4)="Piso",A229,0)+IF(LEFT(D229,5)="Techo",A229,0)+IF(LEFT(D230,4)="Base",A230,0)+IF(LEFT(D230,4)="Piso",A230,0)+IF(LEFT(D230,5)="Techo",A230,0)+IF(LEFT(D231,4)="Base",A231,0)+IF(LEFT(D231,4)="Piso",A231,0)+IF(LEFT(D231,5)="Techo",A231,0))+10*(IF(LEFT(D224,8)="Respaldo",A224,0)+IF(LEFT(D225,8)="Respaldo",A225,0)+IF(LEFT(D226,8)="Respaldo",A226,0)+IF(LEFT(D227,8)="Respaldo",A227,0)+IF(LEFT(D228,8)="Respaldo",A228,0)+IF(LEFT(D229,8)="Respaldo",A229,0)+IF(LEFT(D230,8)="Respaldo",A230,0)+IF(LEFT(D231,8)="Respaldo",A231,0))+2*(IF(LEFT(D224,8)="Manguete",A224,0)+IF(LEFT(D225,8)="Manguete",A225,0)+IF(LEFT(D226,8)="Manguete",A226,0)+IF(LEFT(D227,8)="Manguete",A227,0)+IF(LEFT(D228,8)="Manguete",A228,0)+IF(LEFT(D229,8)="Manguete",A229,0)+IF(LEFT(D230,8)="Manguete",A230,0)+IF(LEFT(D231,8)="Manguete",A231,0))</f>
        <v>18</v>
      </c>
      <c r="B236" s="20">
        <v>0</v>
      </c>
      <c r="C236" s="20">
        <v>0</v>
      </c>
      <c r="D236" s="21" t="s">
        <v>400</v>
      </c>
      <c r="E236" s="21" t="s">
        <v>91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16" t="s">
        <v>17</v>
      </c>
      <c r="L236" s="48" t="s">
        <v>360</v>
      </c>
      <c r="M236" s="17">
        <f t="shared" si="128"/>
        <v>0</v>
      </c>
      <c r="N236" s="18">
        <f t="shared" si="129"/>
        <v>0</v>
      </c>
      <c r="O236" s="19">
        <f>IF(E236="HERRAJE",IFERROR(_xlfn.XLOOKUP(D236,'⚙️ Configuración Costos'!$A$11:$A$20,'⚙️ Configuración Costos'!$B$11:$B$20),""),IFERROR(_xlfn.XLOOKUP(E236,'⚙️ Configuración Costos'!$A$5:$A$6,'⚙️ Configuración Costos'!$B$5:$B$6),""))</f>
        <v>3</v>
      </c>
      <c r="P236" s="19">
        <f t="shared" si="130"/>
        <v>54</v>
      </c>
      <c r="Q236" s="19">
        <f>IF(E236="HERRAJE",0,IFERROR(_xlfn.XLOOKUP(E236,'⚙️ Configuración Costos'!$E$5:$E$6,'⚙️ Configuración Costos'!$F$5:$F$6),""))</f>
        <v>0</v>
      </c>
      <c r="R236" s="19">
        <f t="shared" si="131"/>
        <v>0</v>
      </c>
      <c r="S236" s="37">
        <f t="shared" si="132"/>
        <v>54</v>
      </c>
      <c r="T236" s="94" t="str">
        <f t="shared" si="133"/>
        <v>OK</v>
      </c>
      <c r="U236" s="95" t="str">
        <f t="shared" si="134"/>
        <v/>
      </c>
      <c r="V236" s="96">
        <f t="shared" si="135"/>
        <v>0</v>
      </c>
    </row>
    <row r="237" spans="1:22" ht="16" thickBot="1" x14ac:dyDescent="0.25">
      <c r="A237" s="36">
        <f>6*(IF(LEFT(D224,4)="Base",A224,0)+IF(LEFT(D224,4)="Piso",A224,0)+IF(LEFT(D224,5)="Techo",A224,0)+IF(LEFT(D225,4)="Base",A225,0)+IF(LEFT(D225,4)="Piso",A225,0)+IF(LEFT(D225,5)="Techo",A225,0)+IF(LEFT(D226,4)="Base",A226,0)+IF(LEFT(D226,4)="Piso",A226,0)+IF(LEFT(D226,5)="Techo",A226,0)+IF(LEFT(D227,4)="Base",A227,0)+IF(LEFT(D227,4)="Piso",A227,0)+IF(LEFT(D227,5)="Techo",A227,0)+IF(LEFT(D228,4)="Base",A228,0)+IF(LEFT(D228,4)="Piso",A228,0)+IF(LEFT(D228,5)="Techo",A228,0)+IF(LEFT(D229,4)="Base",A229,0)+IF(LEFT(D229,4)="Piso",A229,0)+IF(LEFT(D229,5)="Techo",A229,0)+IF(LEFT(D230,4)="Base",A230,0)+IF(LEFT(D230,4)="Piso",A230,0)+IF(LEFT(D230,5)="Techo",A230,0)+IF(LEFT(D231,4)="Base",A231,0)+IF(LEFT(D231,4)="Piso",A231,0)+IF(LEFT(D231,5)="Techo",A231,0))+10*(IF(LEFT(D224,8)="Respaldo",A224,0)+IF(LEFT(D225,8)="Respaldo",A225,0)+IF(LEFT(D226,8)="Respaldo",A226,0)+IF(LEFT(D227,8)="Respaldo",A227,0)+IF(LEFT(D228,8)="Respaldo",A228,0)+IF(LEFT(D229,8)="Respaldo",A229,0)+IF(LEFT(D230,8)="Respaldo",A230,0)+IF(LEFT(D231,8)="Respaldo",A231,0))+4*(IF(LEFT(D224,8)="Manguete",A224,0)+IF(LEFT(D225,8)="Manguete",A225,0)+IF(LEFT(D226,8)="Manguete",A226,0)+IF(LEFT(D227,8)="Manguete",A227,0)+IF(LEFT(D228,8)="Manguete",A228,0)+IF(LEFT(D229,8)="Manguete",A229,0)+IF(LEFT(D230,8)="Manguete",A230,0)+IF(LEFT(D231,8)="Manguete",A231,0))</f>
        <v>24</v>
      </c>
      <c r="B237" s="20">
        <v>0</v>
      </c>
      <c r="C237" s="20">
        <v>0</v>
      </c>
      <c r="D237" s="21" t="s">
        <v>468</v>
      </c>
      <c r="E237" s="21" t="s">
        <v>91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16" t="s">
        <v>17</v>
      </c>
      <c r="L237" s="48" t="s">
        <v>361</v>
      </c>
      <c r="M237" s="17">
        <f t="shared" si="128"/>
        <v>0</v>
      </c>
      <c r="N237" s="18">
        <f t="shared" si="129"/>
        <v>0</v>
      </c>
      <c r="O237" s="19">
        <f>IF(E237="HERRAJE",IFERROR(_xlfn.XLOOKUP(D237,'⚙️ Configuración Costos'!$A$11:$A$20,'⚙️ Configuración Costos'!$B$11:$B$20),""),IFERROR(_xlfn.XLOOKUP(E237,'⚙️ Configuración Costos'!$A$5:$A$6,'⚙️ Configuración Costos'!$B$5:$B$6),""))</f>
        <v>1</v>
      </c>
      <c r="P237" s="19">
        <f t="shared" si="130"/>
        <v>24</v>
      </c>
      <c r="Q237" s="19">
        <f>IF(E237="HERRAJE",0,IFERROR(_xlfn.XLOOKUP(E237,'⚙️ Configuración Costos'!$E$5:$E$6,'⚙️ Configuración Costos'!$F$5:$F$6),""))</f>
        <v>0</v>
      </c>
      <c r="R237" s="19">
        <f t="shared" si="131"/>
        <v>0</v>
      </c>
      <c r="S237" s="37">
        <f t="shared" si="132"/>
        <v>24</v>
      </c>
      <c r="T237" s="94" t="str">
        <f t="shared" si="133"/>
        <v>OK</v>
      </c>
      <c r="U237" s="95" t="str">
        <f t="shared" si="134"/>
        <v/>
      </c>
      <c r="V237" s="96">
        <f t="shared" si="135"/>
        <v>0</v>
      </c>
    </row>
    <row r="238" spans="1:22" ht="16" thickTop="1" x14ac:dyDescent="0.2">
      <c r="A238" s="27" t="s">
        <v>99</v>
      </c>
      <c r="B238" s="27"/>
      <c r="C238" s="27"/>
      <c r="D238" s="28"/>
      <c r="E238" s="28"/>
      <c r="F238" s="29"/>
      <c r="G238" s="29"/>
      <c r="H238" s="29"/>
      <c r="I238" s="29"/>
      <c r="J238" s="29"/>
      <c r="K238" s="30"/>
      <c r="L238" s="49"/>
      <c r="M238" s="31">
        <f>SUM(M224:M237)</f>
        <v>1.5858800000000004</v>
      </c>
      <c r="N238" s="32">
        <f>SUM(N224:N237)</f>
        <v>9.9540000000000006</v>
      </c>
      <c r="O238" s="33"/>
      <c r="P238" s="33">
        <f>SUM(P224:P237)</f>
        <v>728.86405770491808</v>
      </c>
      <c r="Q238" s="33"/>
      <c r="R238" s="33">
        <f>SUM(R224:R237)</f>
        <v>94.563000000000017</v>
      </c>
      <c r="S238" s="33">
        <f>SUM(S224:S237)</f>
        <v>823.42705770491807</v>
      </c>
      <c r="T238" s="97"/>
      <c r="U238" s="98"/>
      <c r="V238" s="99"/>
    </row>
    <row r="239" spans="1:22" x14ac:dyDescent="0.2">
      <c r="A239" s="186" t="s">
        <v>199</v>
      </c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8"/>
      <c r="T239" s="97"/>
      <c r="U239" s="98"/>
      <c r="V239" s="99"/>
    </row>
    <row r="240" spans="1:22" x14ac:dyDescent="0.2">
      <c r="A240" s="34">
        <v>1</v>
      </c>
      <c r="B240" s="13">
        <v>720</v>
      </c>
      <c r="C240" s="13">
        <v>580</v>
      </c>
      <c r="D240" s="14" t="s">
        <v>63</v>
      </c>
      <c r="E240" s="14" t="s">
        <v>85</v>
      </c>
      <c r="F240" s="15">
        <v>1</v>
      </c>
      <c r="G240" s="15">
        <v>1</v>
      </c>
      <c r="H240" s="15">
        <v>1</v>
      </c>
      <c r="I240" s="15">
        <v>1</v>
      </c>
      <c r="J240" s="15">
        <v>1</v>
      </c>
      <c r="K240" s="16" t="s">
        <v>18</v>
      </c>
      <c r="L240" s="46" t="s">
        <v>365</v>
      </c>
      <c r="M240" s="17">
        <f t="shared" ref="M240:M253" si="136">IF(AND(ISNUMBER(B240),ISNUMBER(C240),B240&gt;0,C240&gt;0),A240*(B240*C240/1000000),0)</f>
        <v>0.41760000000000003</v>
      </c>
      <c r="N240" s="18">
        <f t="shared" ref="N240:N253" si="137">IF(AND(ISNUMBER(B240),B240&gt;0),A240*(((G240+H240)*B240+(I240+J240)*C240)/1000),0)</f>
        <v>2.6</v>
      </c>
      <c r="O240" s="19">
        <f>IF(E240="HERRAJE",IFERROR(_xlfn.XLOOKUP(D240,'⚙️ Configuración Costos'!$A$11:$A$20,'⚙️ Configuración Costos'!$B$11:$B$20),""),IFERROR(_xlfn.XLOOKUP(E240,'⚙️ Configuración Costos'!$A$5:$A$6,'⚙️ Configuración Costos'!$B$5:$B$6),""))</f>
        <v>332.85245901639348</v>
      </c>
      <c r="P240" s="19">
        <f t="shared" ref="P240:P253" si="138">IF(E240="HERRAJE",A240*O240,M240*O240)</f>
        <v>138.99918688524593</v>
      </c>
      <c r="Q240" s="19">
        <f>IF(E240="HERRAJE",0,IFERROR(_xlfn.XLOOKUP(E240,'⚙️ Configuración Costos'!$E$5:$E$6,'⚙️ Configuración Costos'!$F$5:$F$6),""))</f>
        <v>9.5</v>
      </c>
      <c r="R240" s="19">
        <f t="shared" ref="R240:R253" si="139">N240*Q240</f>
        <v>24.7</v>
      </c>
      <c r="S240" s="37">
        <f t="shared" ref="S240:S253" si="140">P240+R240</f>
        <v>163.69918688524592</v>
      </c>
      <c r="T240" s="94" t="str">
        <f t="shared" ref="T240:T253" si="141">IF(K240="","SIN ID MÓDULO",IF(E240="HERRAJE",IF(OR(O240="",O240&lt;=0),"SIN PRECIO HERRAJE","OK"),IF(OR(O240="",O240&lt;=0),"SIN PRECIO MATERIAL",IF(AND(N240&gt;0,OR(Q240="",Q240&lt;=0)),"SIN PRECIO CINTILLA","OK"))))</f>
        <v>OK</v>
      </c>
      <c r="U240" s="95" t="str">
        <f t="shared" ref="U240:U253" si="142">IF(T240="OK","",IF(T240="SIN PRECIO HERRAJE","Capturar precio: "&amp;D240,IF(T240="SIN PRECIO MATERIAL","Configurar material: "&amp;E240,IF(T240="SIN PRECIO CINTILLA","Configurar cintilla: "&amp;E240,IF(T240="SIN ID MÓDULO","Revisar ID del módulo","")))))</f>
        <v/>
      </c>
      <c r="V240" s="96">
        <f t="shared" ref="V240:V253" si="143">IF(T240="OK",0,IF(T240="",0,1))</f>
        <v>0</v>
      </c>
    </row>
    <row r="241" spans="1:22" x14ac:dyDescent="0.2">
      <c r="A241" s="35">
        <v>1</v>
      </c>
      <c r="B241" s="6">
        <v>720</v>
      </c>
      <c r="C241" s="6">
        <v>580</v>
      </c>
      <c r="D241" s="7" t="s">
        <v>66</v>
      </c>
      <c r="E241" s="7" t="s">
        <v>85</v>
      </c>
      <c r="F241" s="8">
        <v>1</v>
      </c>
      <c r="G241" s="8">
        <v>1</v>
      </c>
      <c r="H241" s="8">
        <v>1</v>
      </c>
      <c r="I241" s="8">
        <v>1</v>
      </c>
      <c r="J241" s="8">
        <v>1</v>
      </c>
      <c r="K241" s="16" t="s">
        <v>18</v>
      </c>
      <c r="L241" s="47" t="s">
        <v>366</v>
      </c>
      <c r="M241" s="17">
        <f t="shared" si="136"/>
        <v>0.41760000000000003</v>
      </c>
      <c r="N241" s="18">
        <f t="shared" si="137"/>
        <v>2.6</v>
      </c>
      <c r="O241" s="19">
        <f>IF(E241="HERRAJE",IFERROR(_xlfn.XLOOKUP(D241,'⚙️ Configuración Costos'!$A$11:$A$20,'⚙️ Configuración Costos'!$B$11:$B$20),""),IFERROR(_xlfn.XLOOKUP(E241,'⚙️ Configuración Costos'!$A$5:$A$6,'⚙️ Configuración Costos'!$B$5:$B$6),""))</f>
        <v>332.85245901639348</v>
      </c>
      <c r="P241" s="19">
        <f t="shared" si="138"/>
        <v>138.99918688524593</v>
      </c>
      <c r="Q241" s="19">
        <f>IF(E241="HERRAJE",0,IFERROR(_xlfn.XLOOKUP(E241,'⚙️ Configuración Costos'!$E$5:$E$6,'⚙️ Configuración Costos'!$F$5:$F$6),""))</f>
        <v>9.5</v>
      </c>
      <c r="R241" s="19">
        <f t="shared" si="139"/>
        <v>24.7</v>
      </c>
      <c r="S241" s="37">
        <f t="shared" si="140"/>
        <v>163.69918688524592</v>
      </c>
      <c r="T241" s="94" t="str">
        <f t="shared" si="141"/>
        <v>OK</v>
      </c>
      <c r="U241" s="95" t="str">
        <f t="shared" si="142"/>
        <v/>
      </c>
      <c r="V241" s="96">
        <f t="shared" si="143"/>
        <v>0</v>
      </c>
    </row>
    <row r="242" spans="1:22" x14ac:dyDescent="0.2">
      <c r="A242" s="35">
        <v>1</v>
      </c>
      <c r="B242" s="6">
        <v>689</v>
      </c>
      <c r="C242" s="6">
        <v>369</v>
      </c>
      <c r="D242" s="7" t="s">
        <v>169</v>
      </c>
      <c r="E242" s="7" t="s">
        <v>85</v>
      </c>
      <c r="F242" s="8">
        <v>1</v>
      </c>
      <c r="G242" s="8">
        <v>0</v>
      </c>
      <c r="H242" s="8">
        <v>0</v>
      </c>
      <c r="I242" s="8">
        <v>0</v>
      </c>
      <c r="J242" s="8">
        <v>0</v>
      </c>
      <c r="K242" s="16" t="s">
        <v>18</v>
      </c>
      <c r="L242" s="47" t="s">
        <v>200</v>
      </c>
      <c r="M242" s="17">
        <f t="shared" si="136"/>
        <v>0.25424099999999999</v>
      </c>
      <c r="N242" s="18">
        <f t="shared" si="137"/>
        <v>0</v>
      </c>
      <c r="O242" s="19">
        <f>IF(E242="HERRAJE",IFERROR(_xlfn.XLOOKUP(D242,'⚙️ Configuración Costos'!$A$11:$A$20,'⚙️ Configuración Costos'!$B$11:$B$20),""),IFERROR(_xlfn.XLOOKUP(E242,'⚙️ Configuración Costos'!$A$5:$A$6,'⚙️ Configuración Costos'!$B$5:$B$6),""))</f>
        <v>332.85245901639348</v>
      </c>
      <c r="P242" s="19">
        <f t="shared" si="138"/>
        <v>84.624742032786898</v>
      </c>
      <c r="Q242" s="19">
        <f>IF(E242="HERRAJE",0,IFERROR(_xlfn.XLOOKUP(E242,'⚙️ Configuración Costos'!$E$5:$E$6,'⚙️ Configuración Costos'!$F$5:$F$6),""))</f>
        <v>9.5</v>
      </c>
      <c r="R242" s="19">
        <f t="shared" si="139"/>
        <v>0</v>
      </c>
      <c r="S242" s="37">
        <f t="shared" si="140"/>
        <v>84.624742032786898</v>
      </c>
      <c r="T242" s="94" t="str">
        <f t="shared" si="141"/>
        <v>OK</v>
      </c>
      <c r="U242" s="95" t="str">
        <f t="shared" si="142"/>
        <v/>
      </c>
      <c r="V242" s="96">
        <f t="shared" si="143"/>
        <v>0</v>
      </c>
    </row>
    <row r="243" spans="1:22" x14ac:dyDescent="0.2">
      <c r="A243" s="35">
        <v>1</v>
      </c>
      <c r="B243" s="6">
        <v>369</v>
      </c>
      <c r="C243" s="6">
        <v>580</v>
      </c>
      <c r="D243" s="7" t="s">
        <v>171</v>
      </c>
      <c r="E243" s="7" t="s">
        <v>85</v>
      </c>
      <c r="F243" s="8">
        <v>1</v>
      </c>
      <c r="G243" s="8">
        <v>0</v>
      </c>
      <c r="H243" s="8">
        <v>0</v>
      </c>
      <c r="I243" s="8">
        <v>1</v>
      </c>
      <c r="J243" s="8">
        <v>1</v>
      </c>
      <c r="K243" s="16" t="s">
        <v>18</v>
      </c>
      <c r="L243" s="47" t="s">
        <v>368</v>
      </c>
      <c r="M243" s="17">
        <f t="shared" si="136"/>
        <v>0.21401999999999999</v>
      </c>
      <c r="N243" s="18">
        <f t="shared" si="137"/>
        <v>1.1599999999999999</v>
      </c>
      <c r="O243" s="19">
        <f>IF(E243="HERRAJE",IFERROR(_xlfn.XLOOKUP(D243,'⚙️ Configuración Costos'!$A$11:$A$20,'⚙️ Configuración Costos'!$B$11:$B$20),""),IFERROR(_xlfn.XLOOKUP(E243,'⚙️ Configuración Costos'!$A$5:$A$6,'⚙️ Configuración Costos'!$B$5:$B$6),""))</f>
        <v>332.85245901639348</v>
      </c>
      <c r="P243" s="19">
        <f t="shared" si="138"/>
        <v>71.23708327868853</v>
      </c>
      <c r="Q243" s="19">
        <f>IF(E243="HERRAJE",0,IFERROR(_xlfn.XLOOKUP(E243,'⚙️ Configuración Costos'!$E$5:$E$6,'⚙️ Configuración Costos'!$F$5:$F$6),""))</f>
        <v>9.5</v>
      </c>
      <c r="R243" s="19">
        <f t="shared" si="139"/>
        <v>11.02</v>
      </c>
      <c r="S243" s="37">
        <f t="shared" si="140"/>
        <v>82.257083278688526</v>
      </c>
      <c r="T243" s="94" t="str">
        <f t="shared" si="141"/>
        <v>OK</v>
      </c>
      <c r="U243" s="95" t="str">
        <f t="shared" si="142"/>
        <v/>
      </c>
      <c r="V243" s="96">
        <f t="shared" si="143"/>
        <v>0</v>
      </c>
    </row>
    <row r="244" spans="1:22" x14ac:dyDescent="0.2">
      <c r="A244" s="35">
        <v>1</v>
      </c>
      <c r="B244" s="6">
        <v>369</v>
      </c>
      <c r="C244" s="6">
        <v>120</v>
      </c>
      <c r="D244" s="7" t="s">
        <v>194</v>
      </c>
      <c r="E244" s="7" t="s">
        <v>85</v>
      </c>
      <c r="F244" s="8">
        <v>1</v>
      </c>
      <c r="G244" s="8">
        <v>1</v>
      </c>
      <c r="H244" s="8">
        <v>1</v>
      </c>
      <c r="I244" s="8">
        <v>0</v>
      </c>
      <c r="J244" s="8">
        <v>0</v>
      </c>
      <c r="K244" s="16" t="s">
        <v>18</v>
      </c>
      <c r="L244" s="47" t="s">
        <v>202</v>
      </c>
      <c r="M244" s="17">
        <f t="shared" si="136"/>
        <v>4.428E-2</v>
      </c>
      <c r="N244" s="18">
        <f t="shared" si="137"/>
        <v>0.73799999999999999</v>
      </c>
      <c r="O244" s="19">
        <f>IF(E244="HERRAJE",IFERROR(_xlfn.XLOOKUP(D244,'⚙️ Configuración Costos'!$A$11:$A$20,'⚙️ Configuración Costos'!$B$11:$B$20),""),IFERROR(_xlfn.XLOOKUP(E244,'⚙️ Configuración Costos'!$A$5:$A$6,'⚙️ Configuración Costos'!$B$5:$B$6),""))</f>
        <v>332.85245901639348</v>
      </c>
      <c r="P244" s="19">
        <f t="shared" si="138"/>
        <v>14.738706885245904</v>
      </c>
      <c r="Q244" s="19">
        <f>IF(E244="HERRAJE",0,IFERROR(_xlfn.XLOOKUP(E244,'⚙️ Configuración Costos'!$E$5:$E$6,'⚙️ Configuración Costos'!$F$5:$F$6),""))</f>
        <v>9.5</v>
      </c>
      <c r="R244" s="19">
        <f t="shared" si="139"/>
        <v>7.0110000000000001</v>
      </c>
      <c r="S244" s="37">
        <f t="shared" si="140"/>
        <v>21.749706885245903</v>
      </c>
      <c r="T244" s="94" t="str">
        <f t="shared" si="141"/>
        <v>OK</v>
      </c>
      <c r="U244" s="95" t="str">
        <f t="shared" si="142"/>
        <v/>
      </c>
      <c r="V244" s="96">
        <f t="shared" si="143"/>
        <v>0</v>
      </c>
    </row>
    <row r="245" spans="1:22" x14ac:dyDescent="0.2">
      <c r="A245" s="35">
        <v>1</v>
      </c>
      <c r="B245" s="6">
        <v>369</v>
      </c>
      <c r="C245" s="6">
        <v>120</v>
      </c>
      <c r="D245" s="7" t="s">
        <v>194</v>
      </c>
      <c r="E245" s="7" t="s">
        <v>85</v>
      </c>
      <c r="F245" s="8">
        <v>1</v>
      </c>
      <c r="G245" s="8">
        <v>1</v>
      </c>
      <c r="H245" s="8">
        <v>1</v>
      </c>
      <c r="I245" s="8">
        <v>0</v>
      </c>
      <c r="J245" s="8">
        <v>0</v>
      </c>
      <c r="K245" s="16" t="s">
        <v>18</v>
      </c>
      <c r="L245" s="47" t="s">
        <v>202</v>
      </c>
      <c r="M245" s="17">
        <f t="shared" si="136"/>
        <v>4.428E-2</v>
      </c>
      <c r="N245" s="18">
        <f t="shared" si="137"/>
        <v>0.73799999999999999</v>
      </c>
      <c r="O245" s="19">
        <f>IF(E245="HERRAJE",IFERROR(_xlfn.XLOOKUP(D245,'⚙️ Configuración Costos'!$A$11:$A$20,'⚙️ Configuración Costos'!$B$11:$B$20),""),IFERROR(_xlfn.XLOOKUP(E245,'⚙️ Configuración Costos'!$A$5:$A$6,'⚙️ Configuración Costos'!$B$5:$B$6),""))</f>
        <v>332.85245901639348</v>
      </c>
      <c r="P245" s="19">
        <f t="shared" si="138"/>
        <v>14.738706885245904</v>
      </c>
      <c r="Q245" s="19">
        <f>IF(E245="HERRAJE",0,IFERROR(_xlfn.XLOOKUP(E245,'⚙️ Configuración Costos'!$E$5:$E$6,'⚙️ Configuración Costos'!$F$5:$F$6),""))</f>
        <v>9.5</v>
      </c>
      <c r="R245" s="19">
        <f t="shared" si="139"/>
        <v>7.0110000000000001</v>
      </c>
      <c r="S245" s="37">
        <f t="shared" si="140"/>
        <v>21.749706885245903</v>
      </c>
      <c r="T245" s="94" t="str">
        <f t="shared" si="141"/>
        <v>OK</v>
      </c>
      <c r="U245" s="95" t="str">
        <f t="shared" si="142"/>
        <v/>
      </c>
      <c r="V245" s="96">
        <f t="shared" si="143"/>
        <v>0</v>
      </c>
    </row>
    <row r="246" spans="1:22" x14ac:dyDescent="0.2">
      <c r="A246" s="35">
        <v>1</v>
      </c>
      <c r="B246" s="6">
        <v>369</v>
      </c>
      <c r="C246" s="6">
        <v>490</v>
      </c>
      <c r="D246" s="7" t="s">
        <v>479</v>
      </c>
      <c r="E246" s="7" t="s">
        <v>85</v>
      </c>
      <c r="F246" s="8">
        <v>1</v>
      </c>
      <c r="G246" s="8">
        <v>0</v>
      </c>
      <c r="H246" s="8">
        <v>0</v>
      </c>
      <c r="I246" s="8">
        <v>0</v>
      </c>
      <c r="J246" s="8">
        <v>1</v>
      </c>
      <c r="K246" s="16" t="s">
        <v>18</v>
      </c>
      <c r="L246" s="47" t="s">
        <v>203</v>
      </c>
      <c r="M246" s="17">
        <f t="shared" si="136"/>
        <v>0.18081</v>
      </c>
      <c r="N246" s="18">
        <f t="shared" si="137"/>
        <v>0.49</v>
      </c>
      <c r="O246" s="19">
        <f>IF(E246="HERRAJE",IFERROR(_xlfn.XLOOKUP(D246,'⚙️ Configuración Costos'!$A$11:$A$20,'⚙️ Configuración Costos'!$B$11:$B$20),""),IFERROR(_xlfn.XLOOKUP(E246,'⚙️ Configuración Costos'!$A$5:$A$6,'⚙️ Configuración Costos'!$B$5:$B$6),""))</f>
        <v>332.85245901639348</v>
      </c>
      <c r="P246" s="19">
        <f t="shared" si="138"/>
        <v>60.183053114754102</v>
      </c>
      <c r="Q246" s="19">
        <f>IF(E246="HERRAJE",0,IFERROR(_xlfn.XLOOKUP(E246,'⚙️ Configuración Costos'!$E$5:$E$6,'⚙️ Configuración Costos'!$F$5:$F$6),""))</f>
        <v>9.5</v>
      </c>
      <c r="R246" s="19">
        <f t="shared" si="139"/>
        <v>4.6550000000000002</v>
      </c>
      <c r="S246" s="37">
        <f t="shared" si="140"/>
        <v>64.838053114754103</v>
      </c>
      <c r="T246" s="94" t="str">
        <f t="shared" si="141"/>
        <v>OK</v>
      </c>
      <c r="U246" s="95" t="str">
        <f t="shared" si="142"/>
        <v/>
      </c>
      <c r="V246" s="96">
        <f t="shared" si="143"/>
        <v>0</v>
      </c>
    </row>
    <row r="247" spans="1:22" x14ac:dyDescent="0.2">
      <c r="A247" s="35">
        <v>1</v>
      </c>
      <c r="B247" s="6">
        <v>717</v>
      </c>
      <c r="C247" s="6">
        <v>397</v>
      </c>
      <c r="D247" s="7" t="s">
        <v>197</v>
      </c>
      <c r="E247" s="7" t="s">
        <v>85</v>
      </c>
      <c r="F247" s="8">
        <v>1</v>
      </c>
      <c r="G247" s="8">
        <v>1</v>
      </c>
      <c r="H247" s="8">
        <v>1</v>
      </c>
      <c r="I247" s="8">
        <v>1</v>
      </c>
      <c r="J247" s="8">
        <v>1</v>
      </c>
      <c r="K247" s="16" t="s">
        <v>18</v>
      </c>
      <c r="L247" s="47" t="s">
        <v>204</v>
      </c>
      <c r="M247" s="17">
        <f t="shared" si="136"/>
        <v>0.28464899999999999</v>
      </c>
      <c r="N247" s="18">
        <f t="shared" si="137"/>
        <v>2.2280000000000002</v>
      </c>
      <c r="O247" s="19">
        <f>IF(E247="HERRAJE",IFERROR(_xlfn.XLOOKUP(D247,'⚙️ Configuración Costos'!$A$11:$A$20,'⚙️ Configuración Costos'!$B$11:$B$20),""),IFERROR(_xlfn.XLOOKUP(E247,'⚙️ Configuración Costos'!$A$5:$A$6,'⚙️ Configuración Costos'!$B$5:$B$6),""))</f>
        <v>332.85245901639348</v>
      </c>
      <c r="P247" s="19">
        <f t="shared" si="138"/>
        <v>94.746119606557386</v>
      </c>
      <c r="Q247" s="19">
        <f>IF(E247="HERRAJE",0,IFERROR(_xlfn.XLOOKUP(E247,'⚙️ Configuración Costos'!$E$5:$E$6,'⚙️ Configuración Costos'!$F$5:$F$6),""))</f>
        <v>9.5</v>
      </c>
      <c r="R247" s="19">
        <f t="shared" si="139"/>
        <v>21.166</v>
      </c>
      <c r="S247" s="37">
        <f t="shared" si="140"/>
        <v>115.91211960655738</v>
      </c>
      <c r="T247" s="94" t="str">
        <f t="shared" si="141"/>
        <v>OK</v>
      </c>
      <c r="U247" s="95" t="str">
        <f t="shared" si="142"/>
        <v/>
      </c>
      <c r="V247" s="96">
        <f t="shared" si="143"/>
        <v>0</v>
      </c>
    </row>
    <row r="248" spans="1:22" x14ac:dyDescent="0.2">
      <c r="A248" s="35">
        <v>2</v>
      </c>
      <c r="B248" s="6">
        <v>0</v>
      </c>
      <c r="C248" s="6">
        <v>0</v>
      </c>
      <c r="D248" s="7" t="s">
        <v>90</v>
      </c>
      <c r="E248" s="7" t="s">
        <v>91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16" t="s">
        <v>18</v>
      </c>
      <c r="L248" s="47" t="s">
        <v>92</v>
      </c>
      <c r="M248" s="17">
        <f t="shared" si="136"/>
        <v>0</v>
      </c>
      <c r="N248" s="18">
        <f t="shared" si="137"/>
        <v>0</v>
      </c>
      <c r="O248" s="19">
        <f>IF(E248="HERRAJE",IFERROR(_xlfn.XLOOKUP(D248,'⚙️ Configuración Costos'!$A$11:$A$20,'⚙️ Configuración Costos'!$B$11:$B$20),""),IFERROR(_xlfn.XLOOKUP(E248,'⚙️ Configuración Costos'!$A$5:$A$6,'⚙️ Configuración Costos'!$B$5:$B$6),""))</f>
        <v>20</v>
      </c>
      <c r="P248" s="19">
        <f t="shared" si="138"/>
        <v>40</v>
      </c>
      <c r="Q248" s="19">
        <f>IF(E248="HERRAJE",0,IFERROR(_xlfn.XLOOKUP(E248,'⚙️ Configuración Costos'!$E$5:$E$6,'⚙️ Configuración Costos'!$F$5:$F$6),""))</f>
        <v>0</v>
      </c>
      <c r="R248" s="19">
        <f t="shared" si="139"/>
        <v>0</v>
      </c>
      <c r="S248" s="37">
        <f t="shared" si="140"/>
        <v>40</v>
      </c>
      <c r="T248" s="94" t="str">
        <f t="shared" si="141"/>
        <v>OK</v>
      </c>
      <c r="U248" s="95" t="str">
        <f t="shared" si="142"/>
        <v/>
      </c>
      <c r="V248" s="96">
        <f t="shared" si="143"/>
        <v>0</v>
      </c>
    </row>
    <row r="249" spans="1:22" x14ac:dyDescent="0.2">
      <c r="A249" s="35">
        <v>1</v>
      </c>
      <c r="B249" s="6">
        <v>0</v>
      </c>
      <c r="C249" s="6">
        <v>0</v>
      </c>
      <c r="D249" s="7" t="s">
        <v>93</v>
      </c>
      <c r="E249" s="7" t="s">
        <v>91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16" t="s">
        <v>18</v>
      </c>
      <c r="L249" s="47" t="s">
        <v>94</v>
      </c>
      <c r="M249" s="17">
        <f t="shared" si="136"/>
        <v>0</v>
      </c>
      <c r="N249" s="18">
        <f t="shared" si="137"/>
        <v>0</v>
      </c>
      <c r="O249" s="19">
        <f>IF(E249="HERRAJE",IFERROR(_xlfn.XLOOKUP(D249,'⚙️ Configuración Costos'!$A$11:$A$20,'⚙️ Configuración Costos'!$B$11:$B$20),""),IFERROR(_xlfn.XLOOKUP(E249,'⚙️ Configuración Costos'!$A$5:$A$6,'⚙️ Configuración Costos'!$B$5:$B$6),""))</f>
        <v>15</v>
      </c>
      <c r="P249" s="19">
        <f t="shared" si="138"/>
        <v>15</v>
      </c>
      <c r="Q249" s="19">
        <f>IF(E249="HERRAJE",0,IFERROR(_xlfn.XLOOKUP(E249,'⚙️ Configuración Costos'!$E$5:$E$6,'⚙️ Configuración Costos'!$F$5:$F$6),""))</f>
        <v>0</v>
      </c>
      <c r="R249" s="19">
        <f t="shared" si="139"/>
        <v>0</v>
      </c>
      <c r="S249" s="37">
        <f t="shared" si="140"/>
        <v>15</v>
      </c>
      <c r="T249" s="94" t="str">
        <f t="shared" si="141"/>
        <v>OK</v>
      </c>
      <c r="U249" s="95" t="str">
        <f t="shared" si="142"/>
        <v/>
      </c>
      <c r="V249" s="96">
        <f t="shared" si="143"/>
        <v>0</v>
      </c>
    </row>
    <row r="250" spans="1:22" x14ac:dyDescent="0.2">
      <c r="A250" s="35">
        <v>4</v>
      </c>
      <c r="B250" s="6">
        <v>0</v>
      </c>
      <c r="C250" s="6">
        <v>0</v>
      </c>
      <c r="D250" s="7" t="s">
        <v>186</v>
      </c>
      <c r="E250" s="7" t="s">
        <v>91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16" t="s">
        <v>18</v>
      </c>
      <c r="L250" s="47" t="s">
        <v>187</v>
      </c>
      <c r="M250" s="17">
        <f t="shared" si="136"/>
        <v>0</v>
      </c>
      <c r="N250" s="18">
        <f t="shared" si="137"/>
        <v>0</v>
      </c>
      <c r="O250" s="19">
        <f>IF(E250="HERRAJE",IFERROR(_xlfn.XLOOKUP(D250,'⚙️ Configuración Costos'!$A$11:$A$20,'⚙️ Configuración Costos'!$B$11:$B$20),""),IFERROR(_xlfn.XLOOKUP(E250,'⚙️ Configuración Costos'!$A$5:$A$6,'⚙️ Configuración Costos'!$B$5:$B$6),""))</f>
        <v>15</v>
      </c>
      <c r="P250" s="19">
        <f t="shared" si="138"/>
        <v>60</v>
      </c>
      <c r="Q250" s="19">
        <f>IF(E250="HERRAJE",0,IFERROR(_xlfn.XLOOKUP(E250,'⚙️ Configuración Costos'!$E$5:$E$6,'⚙️ Configuración Costos'!$F$5:$F$6),""))</f>
        <v>0</v>
      </c>
      <c r="R250" s="19">
        <f t="shared" si="139"/>
        <v>0</v>
      </c>
      <c r="S250" s="37">
        <f t="shared" si="140"/>
        <v>60</v>
      </c>
      <c r="T250" s="94" t="str">
        <f t="shared" si="141"/>
        <v>OK</v>
      </c>
      <c r="U250" s="95" t="str">
        <f t="shared" si="142"/>
        <v/>
      </c>
      <c r="V250" s="96">
        <f t="shared" si="143"/>
        <v>0</v>
      </c>
    </row>
    <row r="251" spans="1:22" x14ac:dyDescent="0.2">
      <c r="A251" s="35">
        <v>4</v>
      </c>
      <c r="B251" s="6">
        <v>0</v>
      </c>
      <c r="C251" s="6">
        <v>0</v>
      </c>
      <c r="D251" s="7" t="s">
        <v>95</v>
      </c>
      <c r="E251" s="7" t="s">
        <v>91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16" t="s">
        <v>18</v>
      </c>
      <c r="L251" s="47" t="s">
        <v>96</v>
      </c>
      <c r="M251" s="17">
        <f t="shared" si="136"/>
        <v>0</v>
      </c>
      <c r="N251" s="18">
        <f t="shared" si="137"/>
        <v>0</v>
      </c>
      <c r="O251" s="19">
        <f>IF(E251="HERRAJE",IFERROR(_xlfn.XLOOKUP(D251,'⚙️ Configuración Costos'!$A$11:$A$20,'⚙️ Configuración Costos'!$B$11:$B$20),""),IFERROR(_xlfn.XLOOKUP(E251,'⚙️ Configuración Costos'!$A$5:$A$6,'⚙️ Configuración Costos'!$B$5:$B$6),""))</f>
        <v>2</v>
      </c>
      <c r="P251" s="19">
        <f t="shared" si="138"/>
        <v>8</v>
      </c>
      <c r="Q251" s="19">
        <f>IF(E251="HERRAJE",0,IFERROR(_xlfn.XLOOKUP(E251,'⚙️ Configuración Costos'!$E$5:$E$6,'⚙️ Configuración Costos'!$F$5:$F$6),""))</f>
        <v>0</v>
      </c>
      <c r="R251" s="19">
        <f t="shared" si="139"/>
        <v>0</v>
      </c>
      <c r="S251" s="37">
        <f t="shared" si="140"/>
        <v>8</v>
      </c>
      <c r="T251" s="94" t="str">
        <f t="shared" si="141"/>
        <v>OK</v>
      </c>
      <c r="U251" s="95" t="str">
        <f t="shared" si="142"/>
        <v/>
      </c>
      <c r="V251" s="96">
        <f t="shared" si="143"/>
        <v>0</v>
      </c>
    </row>
    <row r="252" spans="1:22" x14ac:dyDescent="0.2">
      <c r="A252" s="36">
        <f>4*(IF(LEFT(D240,4)="Base",A240,0)+IF(LEFT(D240,4)="Piso",A240,0)+IF(LEFT(D240,5)="Techo",A240,0)+IF(LEFT(D241,4)="Base",A241,0)+IF(LEFT(D241,4)="Piso",A241,0)+IF(LEFT(D241,5)="Techo",A241,0)+IF(LEFT(D242,4)="Base",A242,0)+IF(LEFT(D242,4)="Piso",A242,0)+IF(LEFT(D242,5)="Techo",A242,0)+IF(LEFT(D243,4)="Base",A243,0)+IF(LEFT(D243,4)="Piso",A243,0)+IF(LEFT(D243,5)="Techo",A243,0)+IF(LEFT(D244,4)="Base",A244,0)+IF(LEFT(D244,4)="Piso",A244,0)+IF(LEFT(D244,5)="Techo",A244,0)+IF(LEFT(D245,4)="Base",A245,0)+IF(LEFT(D245,4)="Piso",A245,0)+IF(LEFT(D245,5)="Techo",A245,0)+IF(LEFT(D246,4)="Base",A246,0)+IF(LEFT(D246,4)="Piso",A246,0)+IF(LEFT(D246,5)="Techo",A246,0)+IF(LEFT(D247,4)="Base",A247,0)+IF(LEFT(D247,4)="Piso",A247,0)+IF(LEFT(D247,5)="Techo",A247,0))+10*(IF(LEFT(D240,8)="Respaldo",A240,0)+IF(LEFT(D241,8)="Respaldo",A241,0)+IF(LEFT(D242,8)="Respaldo",A242,0)+IF(LEFT(D243,8)="Respaldo",A243,0)+IF(LEFT(D244,8)="Respaldo",A244,0)+IF(LEFT(D245,8)="Respaldo",A245,0)+IF(LEFT(D246,8)="Respaldo",A246,0)+IF(LEFT(D247,8)="Respaldo",A247,0))+2*(IF(LEFT(D240,8)="Manguete",A240,0)+IF(LEFT(D241,8)="Manguete",A241,0)+IF(LEFT(D242,8)="Manguete",A242,0)+IF(LEFT(D243,8)="Manguete",A243,0)+IF(LEFT(D244,8)="Manguete",A244,0)+IF(LEFT(D245,8)="Manguete",A245,0)+IF(LEFT(D246,8)="Manguete",A246,0)+IF(LEFT(D247,8)="Manguete",A247,0))</f>
        <v>18</v>
      </c>
      <c r="B252" s="20">
        <v>0</v>
      </c>
      <c r="C252" s="20">
        <v>0</v>
      </c>
      <c r="D252" s="21" t="s">
        <v>400</v>
      </c>
      <c r="E252" s="21" t="s">
        <v>91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16" t="s">
        <v>18</v>
      </c>
      <c r="L252" s="48" t="s">
        <v>360</v>
      </c>
      <c r="M252" s="17">
        <f t="shared" si="136"/>
        <v>0</v>
      </c>
      <c r="N252" s="18">
        <f t="shared" si="137"/>
        <v>0</v>
      </c>
      <c r="O252" s="19">
        <f>IF(E252="HERRAJE",IFERROR(_xlfn.XLOOKUP(D252,'⚙️ Configuración Costos'!$A$11:$A$20,'⚙️ Configuración Costos'!$B$11:$B$20),""),IFERROR(_xlfn.XLOOKUP(E252,'⚙️ Configuración Costos'!$A$5:$A$6,'⚙️ Configuración Costos'!$B$5:$B$6),""))</f>
        <v>3</v>
      </c>
      <c r="P252" s="19">
        <f t="shared" si="138"/>
        <v>54</v>
      </c>
      <c r="Q252" s="19">
        <f>IF(E252="HERRAJE",0,IFERROR(_xlfn.XLOOKUP(E252,'⚙️ Configuración Costos'!$E$5:$E$6,'⚙️ Configuración Costos'!$F$5:$F$6),""))</f>
        <v>0</v>
      </c>
      <c r="R252" s="19">
        <f t="shared" si="139"/>
        <v>0</v>
      </c>
      <c r="S252" s="37">
        <f t="shared" si="140"/>
        <v>54</v>
      </c>
      <c r="T252" s="94" t="str">
        <f t="shared" si="141"/>
        <v>OK</v>
      </c>
      <c r="U252" s="95" t="str">
        <f t="shared" si="142"/>
        <v/>
      </c>
      <c r="V252" s="96">
        <f t="shared" si="143"/>
        <v>0</v>
      </c>
    </row>
    <row r="253" spans="1:22" ht="16" thickBot="1" x14ac:dyDescent="0.25">
      <c r="A253" s="36">
        <f>6*(IF(LEFT(D240,4)="Base",A240,0)+IF(LEFT(D240,4)="Piso",A240,0)+IF(LEFT(D240,5)="Techo",A240,0)+IF(LEFT(D241,4)="Base",A241,0)+IF(LEFT(D241,4)="Piso",A241,0)+IF(LEFT(D241,5)="Techo",A241,0)+IF(LEFT(D242,4)="Base",A242,0)+IF(LEFT(D242,4)="Piso",A242,0)+IF(LEFT(D242,5)="Techo",A242,0)+IF(LEFT(D243,4)="Base",A243,0)+IF(LEFT(D243,4)="Piso",A243,0)+IF(LEFT(D243,5)="Techo",A243,0)+IF(LEFT(D244,4)="Base",A244,0)+IF(LEFT(D244,4)="Piso",A244,0)+IF(LEFT(D244,5)="Techo",A244,0)+IF(LEFT(D245,4)="Base",A245,0)+IF(LEFT(D245,4)="Piso",A245,0)+IF(LEFT(D245,5)="Techo",A245,0)+IF(LEFT(D246,4)="Base",A246,0)+IF(LEFT(D246,4)="Piso",A246,0)+IF(LEFT(D246,5)="Techo",A246,0)+IF(LEFT(D247,4)="Base",A247,0)+IF(LEFT(D247,4)="Piso",A247,0)+IF(LEFT(D247,5)="Techo",A247,0))+10*(IF(LEFT(D240,8)="Respaldo",A240,0)+IF(LEFT(D241,8)="Respaldo",A241,0)+IF(LEFT(D242,8)="Respaldo",A242,0)+IF(LEFT(D243,8)="Respaldo",A243,0)+IF(LEFT(D244,8)="Respaldo",A244,0)+IF(LEFT(D245,8)="Respaldo",A245,0)+IF(LEFT(D246,8)="Respaldo",A246,0)+IF(LEFT(D247,8)="Respaldo",A247,0))+4*(IF(LEFT(D240,8)="Manguete",A240,0)+IF(LEFT(D241,8)="Manguete",A241,0)+IF(LEFT(D242,8)="Manguete",A242,0)+IF(LEFT(D243,8)="Manguete",A243,0)+IF(LEFT(D244,8)="Manguete",A244,0)+IF(LEFT(D245,8)="Manguete",A245,0)+IF(LEFT(D246,8)="Manguete",A246,0)+IF(LEFT(D247,8)="Manguete",A247,0))</f>
        <v>24</v>
      </c>
      <c r="B253" s="20">
        <v>0</v>
      </c>
      <c r="C253" s="20">
        <v>0</v>
      </c>
      <c r="D253" s="21" t="s">
        <v>468</v>
      </c>
      <c r="E253" s="21" t="s">
        <v>91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16" t="s">
        <v>18</v>
      </c>
      <c r="L253" s="48" t="s">
        <v>361</v>
      </c>
      <c r="M253" s="17">
        <f t="shared" si="136"/>
        <v>0</v>
      </c>
      <c r="N253" s="18">
        <f t="shared" si="137"/>
        <v>0</v>
      </c>
      <c r="O253" s="19">
        <f>IF(E253="HERRAJE",IFERROR(_xlfn.XLOOKUP(D253,'⚙️ Configuración Costos'!$A$11:$A$20,'⚙️ Configuración Costos'!$B$11:$B$20),""),IFERROR(_xlfn.XLOOKUP(E253,'⚙️ Configuración Costos'!$A$5:$A$6,'⚙️ Configuración Costos'!$B$5:$B$6),""))</f>
        <v>1</v>
      </c>
      <c r="P253" s="19">
        <f t="shared" si="138"/>
        <v>24</v>
      </c>
      <c r="Q253" s="19">
        <f>IF(E253="HERRAJE",0,IFERROR(_xlfn.XLOOKUP(E253,'⚙️ Configuración Costos'!$E$5:$E$6,'⚙️ Configuración Costos'!$F$5:$F$6),""))</f>
        <v>0</v>
      </c>
      <c r="R253" s="19">
        <f t="shared" si="139"/>
        <v>0</v>
      </c>
      <c r="S253" s="37">
        <f t="shared" si="140"/>
        <v>24</v>
      </c>
      <c r="T253" s="94" t="str">
        <f t="shared" si="141"/>
        <v>OK</v>
      </c>
      <c r="U253" s="95" t="str">
        <f t="shared" si="142"/>
        <v/>
      </c>
      <c r="V253" s="96">
        <f t="shared" si="143"/>
        <v>0</v>
      </c>
    </row>
    <row r="254" spans="1:22" ht="16" thickTop="1" x14ac:dyDescent="0.2">
      <c r="A254" s="27" t="s">
        <v>99</v>
      </c>
      <c r="B254" s="27"/>
      <c r="C254" s="27"/>
      <c r="D254" s="28"/>
      <c r="E254" s="28"/>
      <c r="F254" s="29"/>
      <c r="G254" s="29"/>
      <c r="H254" s="29"/>
      <c r="I254" s="29"/>
      <c r="J254" s="29"/>
      <c r="K254" s="30"/>
      <c r="L254" s="49"/>
      <c r="M254" s="31">
        <f>SUM(M240:M253)</f>
        <v>1.85748</v>
      </c>
      <c r="N254" s="32">
        <f>SUM(N240:N253)</f>
        <v>10.554</v>
      </c>
      <c r="O254" s="33"/>
      <c r="P254" s="33">
        <f>SUM(P240:P253)</f>
        <v>819.26678557377068</v>
      </c>
      <c r="Q254" s="33"/>
      <c r="R254" s="33">
        <f>SUM(R240:R253)</f>
        <v>100.26299999999999</v>
      </c>
      <c r="S254" s="33">
        <f>SUM(S240:S253)</f>
        <v>919.5297855737706</v>
      </c>
      <c r="T254" s="97"/>
      <c r="U254" s="98"/>
      <c r="V254" s="99"/>
    </row>
    <row r="255" spans="1:22" x14ac:dyDescent="0.2">
      <c r="A255" s="186" t="s">
        <v>205</v>
      </c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8"/>
      <c r="T255" s="97"/>
      <c r="U255" s="98"/>
      <c r="V255" s="99"/>
    </row>
    <row r="256" spans="1:22" x14ac:dyDescent="0.2">
      <c r="A256" s="34">
        <v>1</v>
      </c>
      <c r="B256" s="13">
        <v>720</v>
      </c>
      <c r="C256" s="13">
        <v>580</v>
      </c>
      <c r="D256" s="14" t="s">
        <v>63</v>
      </c>
      <c r="E256" s="14" t="s">
        <v>85</v>
      </c>
      <c r="F256" s="15">
        <v>1</v>
      </c>
      <c r="G256" s="15">
        <v>1</v>
      </c>
      <c r="H256" s="15">
        <v>1</v>
      </c>
      <c r="I256" s="15">
        <v>1</v>
      </c>
      <c r="J256" s="15">
        <v>1</v>
      </c>
      <c r="K256" s="16" t="s">
        <v>19</v>
      </c>
      <c r="L256" s="46" t="s">
        <v>365</v>
      </c>
      <c r="M256" s="17">
        <f t="shared" ref="M256:M269" si="144">IF(AND(ISNUMBER(B256),ISNUMBER(C256),B256&gt;0,C256&gt;0),A256*(B256*C256/1000000),0)</f>
        <v>0.41760000000000003</v>
      </c>
      <c r="N256" s="18">
        <f t="shared" ref="N256:N269" si="145">IF(AND(ISNUMBER(B256),B256&gt;0),A256*(((G256+H256)*B256+(I256+J256)*C256)/1000),0)</f>
        <v>2.6</v>
      </c>
      <c r="O256" s="19">
        <f>IF(E256="HERRAJE",IFERROR(_xlfn.XLOOKUP(D256,'⚙️ Configuración Costos'!$A$11:$A$20,'⚙️ Configuración Costos'!$B$11:$B$20),""),IFERROR(_xlfn.XLOOKUP(E256,'⚙️ Configuración Costos'!$A$5:$A$6,'⚙️ Configuración Costos'!$B$5:$B$6),""))</f>
        <v>332.85245901639348</v>
      </c>
      <c r="P256" s="19">
        <f t="shared" ref="P256:P269" si="146">IF(E256="HERRAJE",A256*O256,M256*O256)</f>
        <v>138.99918688524593</v>
      </c>
      <c r="Q256" s="19">
        <f>IF(E256="HERRAJE",0,IFERROR(_xlfn.XLOOKUP(E256,'⚙️ Configuración Costos'!$E$5:$E$6,'⚙️ Configuración Costos'!$F$5:$F$6),""))</f>
        <v>9.5</v>
      </c>
      <c r="R256" s="19">
        <f t="shared" ref="R256:R269" si="147">N256*Q256</f>
        <v>24.7</v>
      </c>
      <c r="S256" s="37">
        <f t="shared" ref="S256:S269" si="148">P256+R256</f>
        <v>163.69918688524592</v>
      </c>
      <c r="T256" s="94" t="str">
        <f t="shared" ref="T256:T269" si="149">IF(K256="","SIN ID MÓDULO",IF(E256="HERRAJE",IF(OR(O256="",O256&lt;=0),"SIN PRECIO HERRAJE","OK"),IF(OR(O256="",O256&lt;=0),"SIN PRECIO MATERIAL",IF(AND(N256&gt;0,OR(Q256="",Q256&lt;=0)),"SIN PRECIO CINTILLA","OK"))))</f>
        <v>OK</v>
      </c>
      <c r="U256" s="95" t="str">
        <f t="shared" ref="U256:U269" si="150">IF(T256="OK","",IF(T256="SIN PRECIO HERRAJE","Capturar precio: "&amp;D256,IF(T256="SIN PRECIO MATERIAL","Configurar material: "&amp;E256,IF(T256="SIN PRECIO CINTILLA","Configurar cintilla: "&amp;E256,IF(T256="SIN ID MÓDULO","Revisar ID del módulo","")))))</f>
        <v/>
      </c>
      <c r="V256" s="96">
        <f t="shared" ref="V256:V269" si="151">IF(T256="OK",0,IF(T256="",0,1))</f>
        <v>0</v>
      </c>
    </row>
    <row r="257" spans="1:22" x14ac:dyDescent="0.2">
      <c r="A257" s="35">
        <v>1</v>
      </c>
      <c r="B257" s="6">
        <v>720</v>
      </c>
      <c r="C257" s="6">
        <v>580</v>
      </c>
      <c r="D257" s="7" t="s">
        <v>66</v>
      </c>
      <c r="E257" s="7" t="s">
        <v>85</v>
      </c>
      <c r="F257" s="8">
        <v>1</v>
      </c>
      <c r="G257" s="8">
        <v>1</v>
      </c>
      <c r="H257" s="8">
        <v>1</v>
      </c>
      <c r="I257" s="8">
        <v>1</v>
      </c>
      <c r="J257" s="8">
        <v>1</v>
      </c>
      <c r="K257" s="16" t="s">
        <v>19</v>
      </c>
      <c r="L257" s="47" t="s">
        <v>366</v>
      </c>
      <c r="M257" s="17">
        <f t="shared" si="144"/>
        <v>0.41760000000000003</v>
      </c>
      <c r="N257" s="18">
        <f t="shared" si="145"/>
        <v>2.6</v>
      </c>
      <c r="O257" s="19">
        <f>IF(E257="HERRAJE",IFERROR(_xlfn.XLOOKUP(D257,'⚙️ Configuración Costos'!$A$11:$A$20,'⚙️ Configuración Costos'!$B$11:$B$20),""),IFERROR(_xlfn.XLOOKUP(E257,'⚙️ Configuración Costos'!$A$5:$A$6,'⚙️ Configuración Costos'!$B$5:$B$6),""))</f>
        <v>332.85245901639348</v>
      </c>
      <c r="P257" s="19">
        <f t="shared" si="146"/>
        <v>138.99918688524593</v>
      </c>
      <c r="Q257" s="19">
        <f>IF(E257="HERRAJE",0,IFERROR(_xlfn.XLOOKUP(E257,'⚙️ Configuración Costos'!$E$5:$E$6,'⚙️ Configuración Costos'!$F$5:$F$6),""))</f>
        <v>9.5</v>
      </c>
      <c r="R257" s="19">
        <f t="shared" si="147"/>
        <v>24.7</v>
      </c>
      <c r="S257" s="37">
        <f t="shared" si="148"/>
        <v>163.69918688524592</v>
      </c>
      <c r="T257" s="94" t="str">
        <f t="shared" si="149"/>
        <v>OK</v>
      </c>
      <c r="U257" s="95" t="str">
        <f t="shared" si="150"/>
        <v/>
      </c>
      <c r="V257" s="96">
        <f t="shared" si="151"/>
        <v>0</v>
      </c>
    </row>
    <row r="258" spans="1:22" x14ac:dyDescent="0.2">
      <c r="A258" s="35">
        <v>1</v>
      </c>
      <c r="B258" s="6">
        <v>689</v>
      </c>
      <c r="C258" s="6">
        <v>469</v>
      </c>
      <c r="D258" s="7" t="s">
        <v>169</v>
      </c>
      <c r="E258" s="7" t="s">
        <v>85</v>
      </c>
      <c r="F258" s="8">
        <v>1</v>
      </c>
      <c r="G258" s="8">
        <v>0</v>
      </c>
      <c r="H258" s="8">
        <v>0</v>
      </c>
      <c r="I258" s="8">
        <v>0</v>
      </c>
      <c r="J258" s="8">
        <v>0</v>
      </c>
      <c r="K258" s="16" t="s">
        <v>19</v>
      </c>
      <c r="L258" s="47" t="s">
        <v>206</v>
      </c>
      <c r="M258" s="17">
        <f t="shared" si="144"/>
        <v>0.32314100000000001</v>
      </c>
      <c r="N258" s="18">
        <f t="shared" si="145"/>
        <v>0</v>
      </c>
      <c r="O258" s="19">
        <f>IF(E258="HERRAJE",IFERROR(_xlfn.XLOOKUP(D258,'⚙️ Configuración Costos'!$A$11:$A$20,'⚙️ Configuración Costos'!$B$11:$B$20),""),IFERROR(_xlfn.XLOOKUP(E258,'⚙️ Configuración Costos'!$A$5:$A$6,'⚙️ Configuración Costos'!$B$5:$B$6),""))</f>
        <v>332.85245901639348</v>
      </c>
      <c r="P258" s="19">
        <f t="shared" si="146"/>
        <v>107.55827645901641</v>
      </c>
      <c r="Q258" s="19">
        <f>IF(E258="HERRAJE",0,IFERROR(_xlfn.XLOOKUP(E258,'⚙️ Configuración Costos'!$E$5:$E$6,'⚙️ Configuración Costos'!$F$5:$F$6),""))</f>
        <v>9.5</v>
      </c>
      <c r="R258" s="19">
        <f t="shared" si="147"/>
        <v>0</v>
      </c>
      <c r="S258" s="37">
        <f t="shared" si="148"/>
        <v>107.55827645901641</v>
      </c>
      <c r="T258" s="94" t="str">
        <f t="shared" si="149"/>
        <v>OK</v>
      </c>
      <c r="U258" s="95" t="str">
        <f t="shared" si="150"/>
        <v/>
      </c>
      <c r="V258" s="96">
        <f t="shared" si="151"/>
        <v>0</v>
      </c>
    </row>
    <row r="259" spans="1:22" x14ac:dyDescent="0.2">
      <c r="A259" s="35">
        <v>1</v>
      </c>
      <c r="B259" s="6">
        <v>469</v>
      </c>
      <c r="C259" s="6">
        <v>580</v>
      </c>
      <c r="D259" s="7" t="s">
        <v>171</v>
      </c>
      <c r="E259" s="7" t="s">
        <v>85</v>
      </c>
      <c r="F259" s="8">
        <v>1</v>
      </c>
      <c r="G259" s="8">
        <v>0</v>
      </c>
      <c r="H259" s="8">
        <v>0</v>
      </c>
      <c r="I259" s="8">
        <v>1</v>
      </c>
      <c r="J259" s="8">
        <v>1</v>
      </c>
      <c r="K259" s="16" t="s">
        <v>19</v>
      </c>
      <c r="L259" s="47" t="s">
        <v>369</v>
      </c>
      <c r="M259" s="17">
        <f t="shared" si="144"/>
        <v>0.27201999999999998</v>
      </c>
      <c r="N259" s="18">
        <f t="shared" si="145"/>
        <v>1.1599999999999999</v>
      </c>
      <c r="O259" s="19">
        <f>IF(E259="HERRAJE",IFERROR(_xlfn.XLOOKUP(D259,'⚙️ Configuración Costos'!$A$11:$A$20,'⚙️ Configuración Costos'!$B$11:$B$20),""),IFERROR(_xlfn.XLOOKUP(E259,'⚙️ Configuración Costos'!$A$5:$A$6,'⚙️ Configuración Costos'!$B$5:$B$6),""))</f>
        <v>332.85245901639348</v>
      </c>
      <c r="P259" s="19">
        <f t="shared" si="146"/>
        <v>90.542525901639351</v>
      </c>
      <c r="Q259" s="19">
        <f>IF(E259="HERRAJE",0,IFERROR(_xlfn.XLOOKUP(E259,'⚙️ Configuración Costos'!$E$5:$E$6,'⚙️ Configuración Costos'!$F$5:$F$6),""))</f>
        <v>9.5</v>
      </c>
      <c r="R259" s="19">
        <f t="shared" si="147"/>
        <v>11.02</v>
      </c>
      <c r="S259" s="37">
        <f t="shared" si="148"/>
        <v>101.56252590163935</v>
      </c>
      <c r="T259" s="94" t="str">
        <f t="shared" si="149"/>
        <v>OK</v>
      </c>
      <c r="U259" s="95" t="str">
        <f t="shared" si="150"/>
        <v/>
      </c>
      <c r="V259" s="96">
        <f t="shared" si="151"/>
        <v>0</v>
      </c>
    </row>
    <row r="260" spans="1:22" x14ac:dyDescent="0.2">
      <c r="A260" s="35">
        <v>1</v>
      </c>
      <c r="B260" s="6">
        <v>469</v>
      </c>
      <c r="C260" s="6">
        <v>120</v>
      </c>
      <c r="D260" s="7" t="s">
        <v>194</v>
      </c>
      <c r="E260" s="7" t="s">
        <v>85</v>
      </c>
      <c r="F260" s="8">
        <v>1</v>
      </c>
      <c r="G260" s="8">
        <v>1</v>
      </c>
      <c r="H260" s="8">
        <v>1</v>
      </c>
      <c r="I260" s="8">
        <v>0</v>
      </c>
      <c r="J260" s="8">
        <v>0</v>
      </c>
      <c r="K260" s="16" t="s">
        <v>19</v>
      </c>
      <c r="L260" s="47" t="s">
        <v>208</v>
      </c>
      <c r="M260" s="17">
        <f t="shared" si="144"/>
        <v>5.6279999999999997E-2</v>
      </c>
      <c r="N260" s="18">
        <f t="shared" si="145"/>
        <v>0.93799999999999994</v>
      </c>
      <c r="O260" s="19">
        <f>IF(E260="HERRAJE",IFERROR(_xlfn.XLOOKUP(D260,'⚙️ Configuración Costos'!$A$11:$A$20,'⚙️ Configuración Costos'!$B$11:$B$20),""),IFERROR(_xlfn.XLOOKUP(E260,'⚙️ Configuración Costos'!$A$5:$A$6,'⚙️ Configuración Costos'!$B$5:$B$6),""))</f>
        <v>332.85245901639348</v>
      </c>
      <c r="P260" s="19">
        <f t="shared" si="146"/>
        <v>18.732936393442625</v>
      </c>
      <c r="Q260" s="19">
        <f>IF(E260="HERRAJE",0,IFERROR(_xlfn.XLOOKUP(E260,'⚙️ Configuración Costos'!$E$5:$E$6,'⚙️ Configuración Costos'!$F$5:$F$6),""))</f>
        <v>9.5</v>
      </c>
      <c r="R260" s="19">
        <f t="shared" si="147"/>
        <v>8.9109999999999996</v>
      </c>
      <c r="S260" s="37">
        <f t="shared" si="148"/>
        <v>27.643936393442623</v>
      </c>
      <c r="T260" s="94" t="str">
        <f t="shared" si="149"/>
        <v>OK</v>
      </c>
      <c r="U260" s="95" t="str">
        <f t="shared" si="150"/>
        <v/>
      </c>
      <c r="V260" s="96">
        <f t="shared" si="151"/>
        <v>0</v>
      </c>
    </row>
    <row r="261" spans="1:22" x14ac:dyDescent="0.2">
      <c r="A261" s="35">
        <v>1</v>
      </c>
      <c r="B261" s="6">
        <v>469</v>
      </c>
      <c r="C261" s="6">
        <v>120</v>
      </c>
      <c r="D261" s="7" t="s">
        <v>194</v>
      </c>
      <c r="E261" s="7" t="s">
        <v>85</v>
      </c>
      <c r="F261" s="8">
        <v>1</v>
      </c>
      <c r="G261" s="8">
        <v>1</v>
      </c>
      <c r="H261" s="8">
        <v>1</v>
      </c>
      <c r="I261" s="8">
        <v>0</v>
      </c>
      <c r="J261" s="8">
        <v>0</v>
      </c>
      <c r="K261" s="16" t="s">
        <v>19</v>
      </c>
      <c r="L261" s="47" t="s">
        <v>208</v>
      </c>
      <c r="M261" s="17">
        <f t="shared" si="144"/>
        <v>5.6279999999999997E-2</v>
      </c>
      <c r="N261" s="18">
        <f t="shared" si="145"/>
        <v>0.93799999999999994</v>
      </c>
      <c r="O261" s="19">
        <f>IF(E261="HERRAJE",IFERROR(_xlfn.XLOOKUP(D261,'⚙️ Configuración Costos'!$A$11:$A$20,'⚙️ Configuración Costos'!$B$11:$B$20),""),IFERROR(_xlfn.XLOOKUP(E261,'⚙️ Configuración Costos'!$A$5:$A$6,'⚙️ Configuración Costos'!$B$5:$B$6),""))</f>
        <v>332.85245901639348</v>
      </c>
      <c r="P261" s="19">
        <f t="shared" si="146"/>
        <v>18.732936393442625</v>
      </c>
      <c r="Q261" s="19">
        <f>IF(E261="HERRAJE",0,IFERROR(_xlfn.XLOOKUP(E261,'⚙️ Configuración Costos'!$E$5:$E$6,'⚙️ Configuración Costos'!$F$5:$F$6),""))</f>
        <v>9.5</v>
      </c>
      <c r="R261" s="19">
        <f t="shared" si="147"/>
        <v>8.9109999999999996</v>
      </c>
      <c r="S261" s="37">
        <f t="shared" si="148"/>
        <v>27.643936393442623</v>
      </c>
      <c r="T261" s="94" t="str">
        <f t="shared" si="149"/>
        <v>OK</v>
      </c>
      <c r="U261" s="95" t="str">
        <f t="shared" si="150"/>
        <v/>
      </c>
      <c r="V261" s="96">
        <f t="shared" si="151"/>
        <v>0</v>
      </c>
    </row>
    <row r="262" spans="1:22" x14ac:dyDescent="0.2">
      <c r="A262" s="35">
        <v>1</v>
      </c>
      <c r="B262" s="6">
        <v>469</v>
      </c>
      <c r="C262" s="6">
        <v>490</v>
      </c>
      <c r="D262" s="7" t="s">
        <v>479</v>
      </c>
      <c r="E262" s="7" t="s">
        <v>85</v>
      </c>
      <c r="F262" s="8">
        <v>1</v>
      </c>
      <c r="G262" s="8">
        <v>0</v>
      </c>
      <c r="H262" s="8">
        <v>0</v>
      </c>
      <c r="I262" s="8">
        <v>0</v>
      </c>
      <c r="J262" s="8">
        <v>1</v>
      </c>
      <c r="K262" s="16" t="s">
        <v>19</v>
      </c>
      <c r="L262" s="47" t="s">
        <v>209</v>
      </c>
      <c r="M262" s="17">
        <f t="shared" si="144"/>
        <v>0.22980999999999999</v>
      </c>
      <c r="N262" s="18">
        <f t="shared" si="145"/>
        <v>0.49</v>
      </c>
      <c r="O262" s="19">
        <f>IF(E262="HERRAJE",IFERROR(_xlfn.XLOOKUP(D262,'⚙️ Configuración Costos'!$A$11:$A$20,'⚙️ Configuración Costos'!$B$11:$B$20),""),IFERROR(_xlfn.XLOOKUP(E262,'⚙️ Configuración Costos'!$A$5:$A$6,'⚙️ Configuración Costos'!$B$5:$B$6),""))</f>
        <v>332.85245901639348</v>
      </c>
      <c r="P262" s="19">
        <f t="shared" si="146"/>
        <v>76.49282360655738</v>
      </c>
      <c r="Q262" s="19">
        <f>IF(E262="HERRAJE",0,IFERROR(_xlfn.XLOOKUP(E262,'⚙️ Configuración Costos'!$E$5:$E$6,'⚙️ Configuración Costos'!$F$5:$F$6),""))</f>
        <v>9.5</v>
      </c>
      <c r="R262" s="19">
        <f t="shared" si="147"/>
        <v>4.6550000000000002</v>
      </c>
      <c r="S262" s="37">
        <f t="shared" si="148"/>
        <v>81.147823606557381</v>
      </c>
      <c r="T262" s="94" t="str">
        <f t="shared" si="149"/>
        <v>OK</v>
      </c>
      <c r="U262" s="95" t="str">
        <f t="shared" si="150"/>
        <v/>
      </c>
      <c r="V262" s="96">
        <f t="shared" si="151"/>
        <v>0</v>
      </c>
    </row>
    <row r="263" spans="1:22" x14ac:dyDescent="0.2">
      <c r="A263" s="35">
        <v>1</v>
      </c>
      <c r="B263" s="6">
        <v>717</v>
      </c>
      <c r="C263" s="6">
        <v>497</v>
      </c>
      <c r="D263" s="7" t="s">
        <v>197</v>
      </c>
      <c r="E263" s="7" t="s">
        <v>85</v>
      </c>
      <c r="F263" s="8">
        <v>1</v>
      </c>
      <c r="G263" s="8">
        <v>1</v>
      </c>
      <c r="H263" s="8">
        <v>1</v>
      </c>
      <c r="I263" s="8">
        <v>1</v>
      </c>
      <c r="J263" s="8">
        <v>1</v>
      </c>
      <c r="K263" s="16" t="s">
        <v>19</v>
      </c>
      <c r="L263" s="47" t="s">
        <v>210</v>
      </c>
      <c r="M263" s="17">
        <f t="shared" si="144"/>
        <v>0.35634900000000003</v>
      </c>
      <c r="N263" s="18">
        <f t="shared" si="145"/>
        <v>2.4279999999999999</v>
      </c>
      <c r="O263" s="19">
        <f>IF(E263="HERRAJE",IFERROR(_xlfn.XLOOKUP(D263,'⚙️ Configuración Costos'!$A$11:$A$20,'⚙️ Configuración Costos'!$B$11:$B$20),""),IFERROR(_xlfn.XLOOKUP(E263,'⚙️ Configuración Costos'!$A$5:$A$6,'⚙️ Configuración Costos'!$B$5:$B$6),""))</f>
        <v>332.85245901639348</v>
      </c>
      <c r="P263" s="19">
        <f t="shared" si="146"/>
        <v>118.6116409180328</v>
      </c>
      <c r="Q263" s="19">
        <f>IF(E263="HERRAJE",0,IFERROR(_xlfn.XLOOKUP(E263,'⚙️ Configuración Costos'!$E$5:$E$6,'⚙️ Configuración Costos'!$F$5:$F$6),""))</f>
        <v>9.5</v>
      </c>
      <c r="R263" s="19">
        <f t="shared" si="147"/>
        <v>23.065999999999999</v>
      </c>
      <c r="S263" s="37">
        <f t="shared" si="148"/>
        <v>141.67764091803281</v>
      </c>
      <c r="T263" s="94" t="str">
        <f t="shared" si="149"/>
        <v>OK</v>
      </c>
      <c r="U263" s="95" t="str">
        <f t="shared" si="150"/>
        <v/>
      </c>
      <c r="V263" s="96">
        <f t="shared" si="151"/>
        <v>0</v>
      </c>
    </row>
    <row r="264" spans="1:22" x14ac:dyDescent="0.2">
      <c r="A264" s="35">
        <v>2</v>
      </c>
      <c r="B264" s="6">
        <v>0</v>
      </c>
      <c r="C264" s="6">
        <v>0</v>
      </c>
      <c r="D264" s="7" t="s">
        <v>90</v>
      </c>
      <c r="E264" s="7" t="s">
        <v>91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16" t="s">
        <v>19</v>
      </c>
      <c r="L264" s="47" t="s">
        <v>92</v>
      </c>
      <c r="M264" s="17">
        <f t="shared" si="144"/>
        <v>0</v>
      </c>
      <c r="N264" s="18">
        <f t="shared" si="145"/>
        <v>0</v>
      </c>
      <c r="O264" s="19">
        <f>IF(E264="HERRAJE",IFERROR(_xlfn.XLOOKUP(D264,'⚙️ Configuración Costos'!$A$11:$A$20,'⚙️ Configuración Costos'!$B$11:$B$20),""),IFERROR(_xlfn.XLOOKUP(E264,'⚙️ Configuración Costos'!$A$5:$A$6,'⚙️ Configuración Costos'!$B$5:$B$6),""))</f>
        <v>20</v>
      </c>
      <c r="P264" s="19">
        <f t="shared" si="146"/>
        <v>40</v>
      </c>
      <c r="Q264" s="19">
        <f>IF(E264="HERRAJE",0,IFERROR(_xlfn.XLOOKUP(E264,'⚙️ Configuración Costos'!$E$5:$E$6,'⚙️ Configuración Costos'!$F$5:$F$6),""))</f>
        <v>0</v>
      </c>
      <c r="R264" s="19">
        <f t="shared" si="147"/>
        <v>0</v>
      </c>
      <c r="S264" s="37">
        <f t="shared" si="148"/>
        <v>40</v>
      </c>
      <c r="T264" s="94" t="str">
        <f t="shared" si="149"/>
        <v>OK</v>
      </c>
      <c r="U264" s="95" t="str">
        <f t="shared" si="150"/>
        <v/>
      </c>
      <c r="V264" s="96">
        <f t="shared" si="151"/>
        <v>0</v>
      </c>
    </row>
    <row r="265" spans="1:22" x14ac:dyDescent="0.2">
      <c r="A265" s="35">
        <v>1</v>
      </c>
      <c r="B265" s="6">
        <v>0</v>
      </c>
      <c r="C265" s="6">
        <v>0</v>
      </c>
      <c r="D265" s="7" t="s">
        <v>93</v>
      </c>
      <c r="E265" s="7" t="s">
        <v>91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16" t="s">
        <v>19</v>
      </c>
      <c r="L265" s="47" t="s">
        <v>94</v>
      </c>
      <c r="M265" s="17">
        <f t="shared" si="144"/>
        <v>0</v>
      </c>
      <c r="N265" s="18">
        <f t="shared" si="145"/>
        <v>0</v>
      </c>
      <c r="O265" s="19">
        <f>IF(E265="HERRAJE",IFERROR(_xlfn.XLOOKUP(D265,'⚙️ Configuración Costos'!$A$11:$A$20,'⚙️ Configuración Costos'!$B$11:$B$20),""),IFERROR(_xlfn.XLOOKUP(E265,'⚙️ Configuración Costos'!$A$5:$A$6,'⚙️ Configuración Costos'!$B$5:$B$6),""))</f>
        <v>15</v>
      </c>
      <c r="P265" s="19">
        <f t="shared" si="146"/>
        <v>15</v>
      </c>
      <c r="Q265" s="19">
        <f>IF(E265="HERRAJE",0,IFERROR(_xlfn.XLOOKUP(E265,'⚙️ Configuración Costos'!$E$5:$E$6,'⚙️ Configuración Costos'!$F$5:$F$6),""))</f>
        <v>0</v>
      </c>
      <c r="R265" s="19">
        <f t="shared" si="147"/>
        <v>0</v>
      </c>
      <c r="S265" s="37">
        <f t="shared" si="148"/>
        <v>15</v>
      </c>
      <c r="T265" s="94" t="str">
        <f t="shared" si="149"/>
        <v>OK</v>
      </c>
      <c r="U265" s="95" t="str">
        <f t="shared" si="150"/>
        <v/>
      </c>
      <c r="V265" s="96">
        <f t="shared" si="151"/>
        <v>0</v>
      </c>
    </row>
    <row r="266" spans="1:22" x14ac:dyDescent="0.2">
      <c r="A266" s="35">
        <v>4</v>
      </c>
      <c r="B266" s="6">
        <v>0</v>
      </c>
      <c r="C266" s="6">
        <v>0</v>
      </c>
      <c r="D266" s="7" t="s">
        <v>186</v>
      </c>
      <c r="E266" s="7" t="s">
        <v>91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16" t="s">
        <v>19</v>
      </c>
      <c r="L266" s="47" t="s">
        <v>187</v>
      </c>
      <c r="M266" s="17">
        <f t="shared" si="144"/>
        <v>0</v>
      </c>
      <c r="N266" s="18">
        <f t="shared" si="145"/>
        <v>0</v>
      </c>
      <c r="O266" s="19">
        <f>IF(E266="HERRAJE",IFERROR(_xlfn.XLOOKUP(D266,'⚙️ Configuración Costos'!$A$11:$A$20,'⚙️ Configuración Costos'!$B$11:$B$20),""),IFERROR(_xlfn.XLOOKUP(E266,'⚙️ Configuración Costos'!$A$5:$A$6,'⚙️ Configuración Costos'!$B$5:$B$6),""))</f>
        <v>15</v>
      </c>
      <c r="P266" s="19">
        <f t="shared" si="146"/>
        <v>60</v>
      </c>
      <c r="Q266" s="19">
        <f>IF(E266="HERRAJE",0,IFERROR(_xlfn.XLOOKUP(E266,'⚙️ Configuración Costos'!$E$5:$E$6,'⚙️ Configuración Costos'!$F$5:$F$6),""))</f>
        <v>0</v>
      </c>
      <c r="R266" s="19">
        <f t="shared" si="147"/>
        <v>0</v>
      </c>
      <c r="S266" s="37">
        <f t="shared" si="148"/>
        <v>60</v>
      </c>
      <c r="T266" s="94" t="str">
        <f t="shared" si="149"/>
        <v>OK</v>
      </c>
      <c r="U266" s="95" t="str">
        <f t="shared" si="150"/>
        <v/>
      </c>
      <c r="V266" s="96">
        <f t="shared" si="151"/>
        <v>0</v>
      </c>
    </row>
    <row r="267" spans="1:22" x14ac:dyDescent="0.2">
      <c r="A267" s="35">
        <v>4</v>
      </c>
      <c r="B267" s="6">
        <v>0</v>
      </c>
      <c r="C267" s="6">
        <v>0</v>
      </c>
      <c r="D267" s="7" t="s">
        <v>95</v>
      </c>
      <c r="E267" s="7" t="s">
        <v>91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16" t="s">
        <v>19</v>
      </c>
      <c r="L267" s="47" t="s">
        <v>96</v>
      </c>
      <c r="M267" s="17">
        <f t="shared" si="144"/>
        <v>0</v>
      </c>
      <c r="N267" s="18">
        <f t="shared" si="145"/>
        <v>0</v>
      </c>
      <c r="O267" s="19">
        <f>IF(E267="HERRAJE",IFERROR(_xlfn.XLOOKUP(D267,'⚙️ Configuración Costos'!$A$11:$A$20,'⚙️ Configuración Costos'!$B$11:$B$20),""),IFERROR(_xlfn.XLOOKUP(E267,'⚙️ Configuración Costos'!$A$5:$A$6,'⚙️ Configuración Costos'!$B$5:$B$6),""))</f>
        <v>2</v>
      </c>
      <c r="P267" s="19">
        <f t="shared" si="146"/>
        <v>8</v>
      </c>
      <c r="Q267" s="19">
        <f>IF(E267="HERRAJE",0,IFERROR(_xlfn.XLOOKUP(E267,'⚙️ Configuración Costos'!$E$5:$E$6,'⚙️ Configuración Costos'!$F$5:$F$6),""))</f>
        <v>0</v>
      </c>
      <c r="R267" s="19">
        <f t="shared" si="147"/>
        <v>0</v>
      </c>
      <c r="S267" s="37">
        <f t="shared" si="148"/>
        <v>8</v>
      </c>
      <c r="T267" s="94" t="str">
        <f t="shared" si="149"/>
        <v>OK</v>
      </c>
      <c r="U267" s="95" t="str">
        <f t="shared" si="150"/>
        <v/>
      </c>
      <c r="V267" s="96">
        <f t="shared" si="151"/>
        <v>0</v>
      </c>
    </row>
    <row r="268" spans="1:22" x14ac:dyDescent="0.2">
      <c r="A268" s="36">
        <f>4*(IF(LEFT(D256,4)="Base",A256,0)+IF(LEFT(D256,4)="Piso",A256,0)+IF(LEFT(D256,5)="Techo",A256,0)+IF(LEFT(D257,4)="Base",A257,0)+IF(LEFT(D257,4)="Piso",A257,0)+IF(LEFT(D257,5)="Techo",A257,0)+IF(LEFT(D258,4)="Base",A258,0)+IF(LEFT(D258,4)="Piso",A258,0)+IF(LEFT(D258,5)="Techo",A258,0)+IF(LEFT(D259,4)="Base",A259,0)+IF(LEFT(D259,4)="Piso",A259,0)+IF(LEFT(D259,5)="Techo",A259,0)+IF(LEFT(D260,4)="Base",A260,0)+IF(LEFT(D260,4)="Piso",A260,0)+IF(LEFT(D260,5)="Techo",A260,0)+IF(LEFT(D261,4)="Base",A261,0)+IF(LEFT(D261,4)="Piso",A261,0)+IF(LEFT(D261,5)="Techo",A261,0)+IF(LEFT(D262,4)="Base",A262,0)+IF(LEFT(D262,4)="Piso",A262,0)+IF(LEFT(D262,5)="Techo",A262,0)+IF(LEFT(D263,4)="Base",A263,0)+IF(LEFT(D263,4)="Piso",A263,0)+IF(LEFT(D263,5)="Techo",A263,0))+10*(IF(LEFT(D256,8)="Respaldo",A256,0)+IF(LEFT(D257,8)="Respaldo",A257,0)+IF(LEFT(D258,8)="Respaldo",A258,0)+IF(LEFT(D259,8)="Respaldo",A259,0)+IF(LEFT(D260,8)="Respaldo",A260,0)+IF(LEFT(D261,8)="Respaldo",A261,0)+IF(LEFT(D262,8)="Respaldo",A262,0)+IF(LEFT(D263,8)="Respaldo",A263,0))+2*(IF(LEFT(D256,8)="Manguete",A256,0)+IF(LEFT(D257,8)="Manguete",A257,0)+IF(LEFT(D258,8)="Manguete",A258,0)+IF(LEFT(D259,8)="Manguete",A259,0)+IF(LEFT(D260,8)="Manguete",A260,0)+IF(LEFT(D261,8)="Manguete",A261,0)+IF(LEFT(D262,8)="Manguete",A262,0)+IF(LEFT(D263,8)="Manguete",A263,0))</f>
        <v>18</v>
      </c>
      <c r="B268" s="20">
        <v>0</v>
      </c>
      <c r="C268" s="20">
        <v>0</v>
      </c>
      <c r="D268" s="21" t="s">
        <v>400</v>
      </c>
      <c r="E268" s="21" t="s">
        <v>91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16" t="s">
        <v>19</v>
      </c>
      <c r="L268" s="48" t="s">
        <v>360</v>
      </c>
      <c r="M268" s="17">
        <f t="shared" si="144"/>
        <v>0</v>
      </c>
      <c r="N268" s="18">
        <f t="shared" si="145"/>
        <v>0</v>
      </c>
      <c r="O268" s="19">
        <f>IF(E268="HERRAJE",IFERROR(_xlfn.XLOOKUP(D268,'⚙️ Configuración Costos'!$A$11:$A$20,'⚙️ Configuración Costos'!$B$11:$B$20),""),IFERROR(_xlfn.XLOOKUP(E268,'⚙️ Configuración Costos'!$A$5:$A$6,'⚙️ Configuración Costos'!$B$5:$B$6),""))</f>
        <v>3</v>
      </c>
      <c r="P268" s="19">
        <f t="shared" si="146"/>
        <v>54</v>
      </c>
      <c r="Q268" s="19">
        <f>IF(E268="HERRAJE",0,IFERROR(_xlfn.XLOOKUP(E268,'⚙️ Configuración Costos'!$E$5:$E$6,'⚙️ Configuración Costos'!$F$5:$F$6),""))</f>
        <v>0</v>
      </c>
      <c r="R268" s="19">
        <f t="shared" si="147"/>
        <v>0</v>
      </c>
      <c r="S268" s="37">
        <f t="shared" si="148"/>
        <v>54</v>
      </c>
      <c r="T268" s="94" t="str">
        <f t="shared" si="149"/>
        <v>OK</v>
      </c>
      <c r="U268" s="95" t="str">
        <f t="shared" si="150"/>
        <v/>
      </c>
      <c r="V268" s="96">
        <f t="shared" si="151"/>
        <v>0</v>
      </c>
    </row>
    <row r="269" spans="1:22" ht="16" thickBot="1" x14ac:dyDescent="0.25">
      <c r="A269" s="36">
        <f>6*(IF(LEFT(D256,4)="Base",A256,0)+IF(LEFT(D256,4)="Piso",A256,0)+IF(LEFT(D256,5)="Techo",A256,0)+IF(LEFT(D257,4)="Base",A257,0)+IF(LEFT(D257,4)="Piso",A257,0)+IF(LEFT(D257,5)="Techo",A257,0)+IF(LEFT(D258,4)="Base",A258,0)+IF(LEFT(D258,4)="Piso",A258,0)+IF(LEFT(D258,5)="Techo",A258,0)+IF(LEFT(D259,4)="Base",A259,0)+IF(LEFT(D259,4)="Piso",A259,0)+IF(LEFT(D259,5)="Techo",A259,0)+IF(LEFT(D260,4)="Base",A260,0)+IF(LEFT(D260,4)="Piso",A260,0)+IF(LEFT(D260,5)="Techo",A260,0)+IF(LEFT(D261,4)="Base",A261,0)+IF(LEFT(D261,4)="Piso",A261,0)+IF(LEFT(D261,5)="Techo",A261,0)+IF(LEFT(D262,4)="Base",A262,0)+IF(LEFT(D262,4)="Piso",A262,0)+IF(LEFT(D262,5)="Techo",A262,0)+IF(LEFT(D263,4)="Base",A263,0)+IF(LEFT(D263,4)="Piso",A263,0)+IF(LEFT(D263,5)="Techo",A263,0))+10*(IF(LEFT(D256,8)="Respaldo",A256,0)+IF(LEFT(D257,8)="Respaldo",A257,0)+IF(LEFT(D258,8)="Respaldo",A258,0)+IF(LEFT(D259,8)="Respaldo",A259,0)+IF(LEFT(D260,8)="Respaldo",A260,0)+IF(LEFT(D261,8)="Respaldo",A261,0)+IF(LEFT(D262,8)="Respaldo",A262,0)+IF(LEFT(D263,8)="Respaldo",A263,0))+4*(IF(LEFT(D256,8)="Manguete",A256,0)+IF(LEFT(D257,8)="Manguete",A257,0)+IF(LEFT(D258,8)="Manguete",A258,0)+IF(LEFT(D259,8)="Manguete",A259,0)+IF(LEFT(D260,8)="Manguete",A260,0)+IF(LEFT(D261,8)="Manguete",A261,0)+IF(LEFT(D262,8)="Manguete",A262,0)+IF(LEFT(D263,8)="Manguete",A263,0))</f>
        <v>24</v>
      </c>
      <c r="B269" s="20">
        <v>0</v>
      </c>
      <c r="C269" s="20">
        <v>0</v>
      </c>
      <c r="D269" s="21" t="s">
        <v>468</v>
      </c>
      <c r="E269" s="21" t="s">
        <v>91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16" t="s">
        <v>19</v>
      </c>
      <c r="L269" s="48" t="s">
        <v>361</v>
      </c>
      <c r="M269" s="17">
        <f t="shared" si="144"/>
        <v>0</v>
      </c>
      <c r="N269" s="18">
        <f t="shared" si="145"/>
        <v>0</v>
      </c>
      <c r="O269" s="19">
        <f>IF(E269="HERRAJE",IFERROR(_xlfn.XLOOKUP(D269,'⚙️ Configuración Costos'!$A$11:$A$20,'⚙️ Configuración Costos'!$B$11:$B$20),""),IFERROR(_xlfn.XLOOKUP(E269,'⚙️ Configuración Costos'!$A$5:$A$6,'⚙️ Configuración Costos'!$B$5:$B$6),""))</f>
        <v>1</v>
      </c>
      <c r="P269" s="19">
        <f t="shared" si="146"/>
        <v>24</v>
      </c>
      <c r="Q269" s="19">
        <f>IF(E269="HERRAJE",0,IFERROR(_xlfn.XLOOKUP(E269,'⚙️ Configuración Costos'!$E$5:$E$6,'⚙️ Configuración Costos'!$F$5:$F$6),""))</f>
        <v>0</v>
      </c>
      <c r="R269" s="19">
        <f t="shared" si="147"/>
        <v>0</v>
      </c>
      <c r="S269" s="37">
        <f t="shared" si="148"/>
        <v>24</v>
      </c>
      <c r="T269" s="94" t="str">
        <f t="shared" si="149"/>
        <v>OK</v>
      </c>
      <c r="U269" s="95" t="str">
        <f t="shared" si="150"/>
        <v/>
      </c>
      <c r="V269" s="96">
        <f t="shared" si="151"/>
        <v>0</v>
      </c>
    </row>
    <row r="270" spans="1:22" ht="16" thickTop="1" x14ac:dyDescent="0.2">
      <c r="A270" s="27" t="s">
        <v>99</v>
      </c>
      <c r="B270" s="27"/>
      <c r="C270" s="27"/>
      <c r="D270" s="28"/>
      <c r="E270" s="28"/>
      <c r="F270" s="29"/>
      <c r="G270" s="29"/>
      <c r="H270" s="29"/>
      <c r="I270" s="29"/>
      <c r="J270" s="29"/>
      <c r="K270" s="30"/>
      <c r="L270" s="49"/>
      <c r="M270" s="31">
        <f>SUM(M256:M269)</f>
        <v>2.1290800000000001</v>
      </c>
      <c r="N270" s="32">
        <f>SUM(N256:N269)</f>
        <v>11.154</v>
      </c>
      <c r="O270" s="33"/>
      <c r="P270" s="33">
        <f>SUM(P256:P269)</f>
        <v>909.66951344262304</v>
      </c>
      <c r="Q270" s="33"/>
      <c r="R270" s="33">
        <f>SUM(R256:R269)</f>
        <v>105.96300000000001</v>
      </c>
      <c r="S270" s="33">
        <f>SUM(S256:S269)</f>
        <v>1015.6325134426229</v>
      </c>
      <c r="T270" s="97"/>
      <c r="U270" s="98"/>
      <c r="V270" s="99"/>
    </row>
    <row r="271" spans="1:22" x14ac:dyDescent="0.2">
      <c r="A271" s="186" t="s">
        <v>211</v>
      </c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8"/>
      <c r="T271" s="97"/>
      <c r="U271" s="98"/>
      <c r="V271" s="99"/>
    </row>
    <row r="272" spans="1:22" x14ac:dyDescent="0.2">
      <c r="A272" s="34">
        <v>1</v>
      </c>
      <c r="B272" s="13">
        <v>720</v>
      </c>
      <c r="C272" s="13">
        <v>580</v>
      </c>
      <c r="D272" s="14" t="s">
        <v>63</v>
      </c>
      <c r="E272" s="14" t="s">
        <v>85</v>
      </c>
      <c r="F272" s="15">
        <v>1</v>
      </c>
      <c r="G272" s="15">
        <v>1</v>
      </c>
      <c r="H272" s="15">
        <v>1</v>
      </c>
      <c r="I272" s="15">
        <v>1</v>
      </c>
      <c r="J272" s="15">
        <v>1</v>
      </c>
      <c r="K272" s="16" t="s">
        <v>20</v>
      </c>
      <c r="L272" s="46" t="s">
        <v>365</v>
      </c>
      <c r="M272" s="17">
        <f t="shared" ref="M272:M285" si="152">IF(AND(ISNUMBER(B272),ISNUMBER(C272),B272&gt;0,C272&gt;0),A272*(B272*C272/1000000),0)</f>
        <v>0.41760000000000003</v>
      </c>
      <c r="N272" s="18">
        <f t="shared" ref="N272:N285" si="153">IF(AND(ISNUMBER(B272),B272&gt;0),A272*(((G272+H272)*B272+(I272+J272)*C272)/1000),0)</f>
        <v>2.6</v>
      </c>
      <c r="O272" s="19">
        <f>IF(E272="HERRAJE",IFERROR(_xlfn.XLOOKUP(D272,'⚙️ Configuración Costos'!$A$11:$A$20,'⚙️ Configuración Costos'!$B$11:$B$20),""),IFERROR(_xlfn.XLOOKUP(E272,'⚙️ Configuración Costos'!$A$5:$A$6,'⚙️ Configuración Costos'!$B$5:$B$6),""))</f>
        <v>332.85245901639348</v>
      </c>
      <c r="P272" s="19">
        <f t="shared" ref="P272:P285" si="154">IF(E272="HERRAJE",A272*O272,M272*O272)</f>
        <v>138.99918688524593</v>
      </c>
      <c r="Q272" s="19">
        <f>IF(E272="HERRAJE",0,IFERROR(_xlfn.XLOOKUP(E272,'⚙️ Configuración Costos'!$E$5:$E$6,'⚙️ Configuración Costos'!$F$5:$F$6),""))</f>
        <v>9.5</v>
      </c>
      <c r="R272" s="19">
        <f t="shared" ref="R272:R285" si="155">N272*Q272</f>
        <v>24.7</v>
      </c>
      <c r="S272" s="37">
        <f t="shared" ref="S272:S285" si="156">P272+R272</f>
        <v>163.69918688524592</v>
      </c>
      <c r="T272" s="94" t="str">
        <f t="shared" ref="T272:T285" si="157">IF(K272="","SIN ID MÓDULO",IF(E272="HERRAJE",IF(OR(O272="",O272&lt;=0),"SIN PRECIO HERRAJE","OK"),IF(OR(O272="",O272&lt;=0),"SIN PRECIO MATERIAL",IF(AND(N272&gt;0,OR(Q272="",Q272&lt;=0)),"SIN PRECIO CINTILLA","OK"))))</f>
        <v>OK</v>
      </c>
      <c r="U272" s="95" t="str">
        <f t="shared" ref="U272:U285" si="158">IF(T272="OK","",IF(T272="SIN PRECIO HERRAJE","Capturar precio: "&amp;D272,IF(T272="SIN PRECIO MATERIAL","Configurar material: "&amp;E272,IF(T272="SIN PRECIO CINTILLA","Configurar cintilla: "&amp;E272,IF(T272="SIN ID MÓDULO","Revisar ID del módulo","")))))</f>
        <v/>
      </c>
      <c r="V272" s="96">
        <f t="shared" ref="V272:V285" si="159">IF(T272="OK",0,IF(T272="",0,1))</f>
        <v>0</v>
      </c>
    </row>
    <row r="273" spans="1:22" x14ac:dyDescent="0.2">
      <c r="A273" s="35">
        <v>1</v>
      </c>
      <c r="B273" s="6">
        <v>720</v>
      </c>
      <c r="C273" s="6">
        <v>580</v>
      </c>
      <c r="D273" s="7" t="s">
        <v>66</v>
      </c>
      <c r="E273" s="7" t="s">
        <v>85</v>
      </c>
      <c r="F273" s="8">
        <v>1</v>
      </c>
      <c r="G273" s="8">
        <v>1</v>
      </c>
      <c r="H273" s="8">
        <v>1</v>
      </c>
      <c r="I273" s="8">
        <v>1</v>
      </c>
      <c r="J273" s="8">
        <v>1</v>
      </c>
      <c r="K273" s="16" t="s">
        <v>20</v>
      </c>
      <c r="L273" s="47" t="s">
        <v>366</v>
      </c>
      <c r="M273" s="17">
        <f t="shared" si="152"/>
        <v>0.41760000000000003</v>
      </c>
      <c r="N273" s="18">
        <f t="shared" si="153"/>
        <v>2.6</v>
      </c>
      <c r="O273" s="19">
        <f>IF(E273="HERRAJE",IFERROR(_xlfn.XLOOKUP(D273,'⚙️ Configuración Costos'!$A$11:$A$20,'⚙️ Configuración Costos'!$B$11:$B$20),""),IFERROR(_xlfn.XLOOKUP(E273,'⚙️ Configuración Costos'!$A$5:$A$6,'⚙️ Configuración Costos'!$B$5:$B$6),""))</f>
        <v>332.85245901639348</v>
      </c>
      <c r="P273" s="19">
        <f t="shared" si="154"/>
        <v>138.99918688524593</v>
      </c>
      <c r="Q273" s="19">
        <f>IF(E273="HERRAJE",0,IFERROR(_xlfn.XLOOKUP(E273,'⚙️ Configuración Costos'!$E$5:$E$6,'⚙️ Configuración Costos'!$F$5:$F$6),""))</f>
        <v>9.5</v>
      </c>
      <c r="R273" s="19">
        <f t="shared" si="155"/>
        <v>24.7</v>
      </c>
      <c r="S273" s="37">
        <f t="shared" si="156"/>
        <v>163.69918688524592</v>
      </c>
      <c r="T273" s="94" t="str">
        <f t="shared" si="157"/>
        <v>OK</v>
      </c>
      <c r="U273" s="95" t="str">
        <f t="shared" si="158"/>
        <v/>
      </c>
      <c r="V273" s="96">
        <f t="shared" si="159"/>
        <v>0</v>
      </c>
    </row>
    <row r="274" spans="1:22" x14ac:dyDescent="0.2">
      <c r="A274" s="35">
        <v>1</v>
      </c>
      <c r="B274" s="6">
        <v>689</v>
      </c>
      <c r="C274" s="6">
        <v>569</v>
      </c>
      <c r="D274" s="7" t="s">
        <v>169</v>
      </c>
      <c r="E274" s="7" t="s">
        <v>85</v>
      </c>
      <c r="F274" s="8">
        <v>1</v>
      </c>
      <c r="G274" s="8">
        <v>0</v>
      </c>
      <c r="H274" s="8">
        <v>0</v>
      </c>
      <c r="I274" s="8">
        <v>0</v>
      </c>
      <c r="J274" s="8">
        <v>0</v>
      </c>
      <c r="K274" s="16" t="s">
        <v>20</v>
      </c>
      <c r="L274" s="47" t="s">
        <v>212</v>
      </c>
      <c r="M274" s="17">
        <f t="shared" si="152"/>
        <v>0.39204099999999997</v>
      </c>
      <c r="N274" s="18">
        <f t="shared" si="153"/>
        <v>0</v>
      </c>
      <c r="O274" s="19">
        <f>IF(E274="HERRAJE",IFERROR(_xlfn.XLOOKUP(D274,'⚙️ Configuración Costos'!$A$11:$A$20,'⚙️ Configuración Costos'!$B$11:$B$20),""),IFERROR(_xlfn.XLOOKUP(E274,'⚙️ Configuración Costos'!$A$5:$A$6,'⚙️ Configuración Costos'!$B$5:$B$6),""))</f>
        <v>332.85245901639348</v>
      </c>
      <c r="P274" s="19">
        <f t="shared" si="154"/>
        <v>130.49181088524591</v>
      </c>
      <c r="Q274" s="19">
        <f>IF(E274="HERRAJE",0,IFERROR(_xlfn.XLOOKUP(E274,'⚙️ Configuración Costos'!$E$5:$E$6,'⚙️ Configuración Costos'!$F$5:$F$6),""))</f>
        <v>9.5</v>
      </c>
      <c r="R274" s="19">
        <f t="shared" si="155"/>
        <v>0</v>
      </c>
      <c r="S274" s="37">
        <f t="shared" si="156"/>
        <v>130.49181088524591</v>
      </c>
      <c r="T274" s="94" t="str">
        <f t="shared" si="157"/>
        <v>OK</v>
      </c>
      <c r="U274" s="95" t="str">
        <f t="shared" si="158"/>
        <v/>
      </c>
      <c r="V274" s="96">
        <f t="shared" si="159"/>
        <v>0</v>
      </c>
    </row>
    <row r="275" spans="1:22" x14ac:dyDescent="0.2">
      <c r="A275" s="35">
        <v>1</v>
      </c>
      <c r="B275" s="6">
        <v>569</v>
      </c>
      <c r="C275" s="6">
        <v>580</v>
      </c>
      <c r="D275" s="7" t="s">
        <v>171</v>
      </c>
      <c r="E275" s="7" t="s">
        <v>85</v>
      </c>
      <c r="F275" s="8">
        <v>1</v>
      </c>
      <c r="G275" s="8">
        <v>0</v>
      </c>
      <c r="H275" s="8">
        <v>0</v>
      </c>
      <c r="I275" s="8">
        <v>1</v>
      </c>
      <c r="J275" s="8">
        <v>1</v>
      </c>
      <c r="K275" s="16" t="s">
        <v>20</v>
      </c>
      <c r="L275" s="47" t="s">
        <v>370</v>
      </c>
      <c r="M275" s="17">
        <f t="shared" si="152"/>
        <v>0.33001999999999998</v>
      </c>
      <c r="N275" s="18">
        <f t="shared" si="153"/>
        <v>1.1599999999999999</v>
      </c>
      <c r="O275" s="19">
        <f>IF(E275="HERRAJE",IFERROR(_xlfn.XLOOKUP(D275,'⚙️ Configuración Costos'!$A$11:$A$20,'⚙️ Configuración Costos'!$B$11:$B$20),""),IFERROR(_xlfn.XLOOKUP(E275,'⚙️ Configuración Costos'!$A$5:$A$6,'⚙️ Configuración Costos'!$B$5:$B$6),""))</f>
        <v>332.85245901639348</v>
      </c>
      <c r="P275" s="19">
        <f t="shared" si="154"/>
        <v>109.84796852459017</v>
      </c>
      <c r="Q275" s="19">
        <f>IF(E275="HERRAJE",0,IFERROR(_xlfn.XLOOKUP(E275,'⚙️ Configuración Costos'!$E$5:$E$6,'⚙️ Configuración Costos'!$F$5:$F$6),""))</f>
        <v>9.5</v>
      </c>
      <c r="R275" s="19">
        <f t="shared" si="155"/>
        <v>11.02</v>
      </c>
      <c r="S275" s="37">
        <f t="shared" si="156"/>
        <v>120.86796852459017</v>
      </c>
      <c r="T275" s="94" t="str">
        <f t="shared" si="157"/>
        <v>OK</v>
      </c>
      <c r="U275" s="95" t="str">
        <f t="shared" si="158"/>
        <v/>
      </c>
      <c r="V275" s="96">
        <f t="shared" si="159"/>
        <v>0</v>
      </c>
    </row>
    <row r="276" spans="1:22" x14ac:dyDescent="0.2">
      <c r="A276" s="35">
        <v>1</v>
      </c>
      <c r="B276" s="6">
        <v>569</v>
      </c>
      <c r="C276" s="6">
        <v>120</v>
      </c>
      <c r="D276" s="7" t="s">
        <v>194</v>
      </c>
      <c r="E276" s="7" t="s">
        <v>85</v>
      </c>
      <c r="F276" s="8">
        <v>1</v>
      </c>
      <c r="G276" s="8">
        <v>1</v>
      </c>
      <c r="H276" s="8">
        <v>1</v>
      </c>
      <c r="I276" s="8">
        <v>0</v>
      </c>
      <c r="J276" s="8">
        <v>0</v>
      </c>
      <c r="K276" s="16" t="s">
        <v>20</v>
      </c>
      <c r="L276" s="47" t="s">
        <v>214</v>
      </c>
      <c r="M276" s="17">
        <f t="shared" si="152"/>
        <v>6.8279999999999993E-2</v>
      </c>
      <c r="N276" s="18">
        <f t="shared" si="153"/>
        <v>1.1379999999999999</v>
      </c>
      <c r="O276" s="19">
        <f>IF(E276="HERRAJE",IFERROR(_xlfn.XLOOKUP(D276,'⚙️ Configuración Costos'!$A$11:$A$20,'⚙️ Configuración Costos'!$B$11:$B$20),""),IFERROR(_xlfn.XLOOKUP(E276,'⚙️ Configuración Costos'!$A$5:$A$6,'⚙️ Configuración Costos'!$B$5:$B$6),""))</f>
        <v>332.85245901639348</v>
      </c>
      <c r="P276" s="19">
        <f t="shared" si="154"/>
        <v>22.727165901639346</v>
      </c>
      <c r="Q276" s="19">
        <f>IF(E276="HERRAJE",0,IFERROR(_xlfn.XLOOKUP(E276,'⚙️ Configuración Costos'!$E$5:$E$6,'⚙️ Configuración Costos'!$F$5:$F$6),""))</f>
        <v>9.5</v>
      </c>
      <c r="R276" s="19">
        <f t="shared" si="155"/>
        <v>10.811</v>
      </c>
      <c r="S276" s="37">
        <f t="shared" si="156"/>
        <v>33.538165901639346</v>
      </c>
      <c r="T276" s="94" t="str">
        <f t="shared" si="157"/>
        <v>OK</v>
      </c>
      <c r="U276" s="95" t="str">
        <f t="shared" si="158"/>
        <v/>
      </c>
      <c r="V276" s="96">
        <f t="shared" si="159"/>
        <v>0</v>
      </c>
    </row>
    <row r="277" spans="1:22" x14ac:dyDescent="0.2">
      <c r="A277" s="35">
        <v>1</v>
      </c>
      <c r="B277" s="6">
        <v>569</v>
      </c>
      <c r="C277" s="6">
        <v>120</v>
      </c>
      <c r="D277" s="7" t="s">
        <v>194</v>
      </c>
      <c r="E277" s="7" t="s">
        <v>85</v>
      </c>
      <c r="F277" s="8">
        <v>1</v>
      </c>
      <c r="G277" s="8">
        <v>1</v>
      </c>
      <c r="H277" s="8">
        <v>1</v>
      </c>
      <c r="I277" s="8">
        <v>0</v>
      </c>
      <c r="J277" s="8">
        <v>0</v>
      </c>
      <c r="K277" s="16" t="s">
        <v>20</v>
      </c>
      <c r="L277" s="47" t="s">
        <v>214</v>
      </c>
      <c r="M277" s="17">
        <f t="shared" si="152"/>
        <v>6.8279999999999993E-2</v>
      </c>
      <c r="N277" s="18">
        <f t="shared" si="153"/>
        <v>1.1379999999999999</v>
      </c>
      <c r="O277" s="19">
        <f>IF(E277="HERRAJE",IFERROR(_xlfn.XLOOKUP(D277,'⚙️ Configuración Costos'!$A$11:$A$20,'⚙️ Configuración Costos'!$B$11:$B$20),""),IFERROR(_xlfn.XLOOKUP(E277,'⚙️ Configuración Costos'!$A$5:$A$6,'⚙️ Configuración Costos'!$B$5:$B$6),""))</f>
        <v>332.85245901639348</v>
      </c>
      <c r="P277" s="19">
        <f t="shared" si="154"/>
        <v>22.727165901639346</v>
      </c>
      <c r="Q277" s="19">
        <f>IF(E277="HERRAJE",0,IFERROR(_xlfn.XLOOKUP(E277,'⚙️ Configuración Costos'!$E$5:$E$6,'⚙️ Configuración Costos'!$F$5:$F$6),""))</f>
        <v>9.5</v>
      </c>
      <c r="R277" s="19">
        <f t="shared" si="155"/>
        <v>10.811</v>
      </c>
      <c r="S277" s="37">
        <f t="shared" si="156"/>
        <v>33.538165901639346</v>
      </c>
      <c r="T277" s="94" t="str">
        <f t="shared" si="157"/>
        <v>OK</v>
      </c>
      <c r="U277" s="95" t="str">
        <f t="shared" si="158"/>
        <v/>
      </c>
      <c r="V277" s="96">
        <f t="shared" si="159"/>
        <v>0</v>
      </c>
    </row>
    <row r="278" spans="1:22" x14ac:dyDescent="0.2">
      <c r="A278" s="35">
        <v>1</v>
      </c>
      <c r="B278" s="6">
        <v>569</v>
      </c>
      <c r="C278" s="6">
        <v>490</v>
      </c>
      <c r="D278" s="7" t="s">
        <v>479</v>
      </c>
      <c r="E278" s="7" t="s">
        <v>85</v>
      </c>
      <c r="F278" s="8">
        <v>1</v>
      </c>
      <c r="G278" s="8">
        <v>1</v>
      </c>
      <c r="H278" s="8">
        <v>0</v>
      </c>
      <c r="I278" s="8">
        <v>0</v>
      </c>
      <c r="J278" s="8">
        <v>0</v>
      </c>
      <c r="K278" s="16" t="s">
        <v>20</v>
      </c>
      <c r="L278" s="47" t="s">
        <v>215</v>
      </c>
      <c r="M278" s="17">
        <f t="shared" si="152"/>
        <v>0.27881</v>
      </c>
      <c r="N278" s="18">
        <f t="shared" si="153"/>
        <v>0.56899999999999995</v>
      </c>
      <c r="O278" s="19">
        <f>IF(E278="HERRAJE",IFERROR(_xlfn.XLOOKUP(D278,'⚙️ Configuración Costos'!$A$11:$A$20,'⚙️ Configuración Costos'!$B$11:$B$20),""),IFERROR(_xlfn.XLOOKUP(E278,'⚙️ Configuración Costos'!$A$5:$A$6,'⚙️ Configuración Costos'!$B$5:$B$6),""))</f>
        <v>332.85245901639348</v>
      </c>
      <c r="P278" s="19">
        <f t="shared" si="154"/>
        <v>92.802594098360672</v>
      </c>
      <c r="Q278" s="19">
        <f>IF(E278="HERRAJE",0,IFERROR(_xlfn.XLOOKUP(E278,'⚙️ Configuración Costos'!$E$5:$E$6,'⚙️ Configuración Costos'!$F$5:$F$6),""))</f>
        <v>9.5</v>
      </c>
      <c r="R278" s="19">
        <f t="shared" si="155"/>
        <v>5.4055</v>
      </c>
      <c r="S278" s="37">
        <f t="shared" si="156"/>
        <v>98.208094098360675</v>
      </c>
      <c r="T278" s="94" t="str">
        <f t="shared" si="157"/>
        <v>OK</v>
      </c>
      <c r="U278" s="95" t="str">
        <f t="shared" si="158"/>
        <v/>
      </c>
      <c r="V278" s="96">
        <f t="shared" si="159"/>
        <v>0</v>
      </c>
    </row>
    <row r="279" spans="1:22" x14ac:dyDescent="0.2">
      <c r="A279" s="35">
        <v>1</v>
      </c>
      <c r="B279" s="6">
        <v>717</v>
      </c>
      <c r="C279" s="6">
        <v>597</v>
      </c>
      <c r="D279" s="7" t="s">
        <v>197</v>
      </c>
      <c r="E279" s="7" t="s">
        <v>85</v>
      </c>
      <c r="F279" s="8">
        <v>1</v>
      </c>
      <c r="G279" s="8">
        <v>1</v>
      </c>
      <c r="H279" s="8">
        <v>1</v>
      </c>
      <c r="I279" s="8">
        <v>1</v>
      </c>
      <c r="J279" s="8">
        <v>1</v>
      </c>
      <c r="K279" s="16" t="s">
        <v>20</v>
      </c>
      <c r="L279" s="47" t="s">
        <v>216</v>
      </c>
      <c r="M279" s="17">
        <f t="shared" si="152"/>
        <v>0.42804900000000001</v>
      </c>
      <c r="N279" s="18">
        <f t="shared" si="153"/>
        <v>2.6280000000000001</v>
      </c>
      <c r="O279" s="19">
        <f>IF(E279="HERRAJE",IFERROR(_xlfn.XLOOKUP(D279,'⚙️ Configuración Costos'!$A$11:$A$20,'⚙️ Configuración Costos'!$B$11:$B$20),""),IFERROR(_xlfn.XLOOKUP(E279,'⚙️ Configuración Costos'!$A$5:$A$6,'⚙️ Configuración Costos'!$B$5:$B$6),""))</f>
        <v>332.85245901639348</v>
      </c>
      <c r="P279" s="19">
        <f t="shared" si="154"/>
        <v>142.47716222950822</v>
      </c>
      <c r="Q279" s="19">
        <f>IF(E279="HERRAJE",0,IFERROR(_xlfn.XLOOKUP(E279,'⚙️ Configuración Costos'!$E$5:$E$6,'⚙️ Configuración Costos'!$F$5:$F$6),""))</f>
        <v>9.5</v>
      </c>
      <c r="R279" s="19">
        <f t="shared" si="155"/>
        <v>24.966000000000001</v>
      </c>
      <c r="S279" s="37">
        <f t="shared" si="156"/>
        <v>167.44316222950823</v>
      </c>
      <c r="T279" s="94" t="str">
        <f t="shared" si="157"/>
        <v>OK</v>
      </c>
      <c r="U279" s="95" t="str">
        <f t="shared" si="158"/>
        <v/>
      </c>
      <c r="V279" s="96">
        <f t="shared" si="159"/>
        <v>0</v>
      </c>
    </row>
    <row r="280" spans="1:22" x14ac:dyDescent="0.2">
      <c r="A280" s="35">
        <v>2</v>
      </c>
      <c r="B280" s="6">
        <v>0</v>
      </c>
      <c r="C280" s="6">
        <v>0</v>
      </c>
      <c r="D280" s="7" t="s">
        <v>90</v>
      </c>
      <c r="E280" s="7" t="s">
        <v>91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16" t="s">
        <v>20</v>
      </c>
      <c r="L280" s="47" t="s">
        <v>92</v>
      </c>
      <c r="M280" s="17">
        <f t="shared" si="152"/>
        <v>0</v>
      </c>
      <c r="N280" s="18">
        <f t="shared" si="153"/>
        <v>0</v>
      </c>
      <c r="O280" s="19">
        <f>IF(E280="HERRAJE",IFERROR(_xlfn.XLOOKUP(D280,'⚙️ Configuración Costos'!$A$11:$A$20,'⚙️ Configuración Costos'!$B$11:$B$20),""),IFERROR(_xlfn.XLOOKUP(E280,'⚙️ Configuración Costos'!$A$5:$A$6,'⚙️ Configuración Costos'!$B$5:$B$6),""))</f>
        <v>20</v>
      </c>
      <c r="P280" s="19">
        <f t="shared" si="154"/>
        <v>40</v>
      </c>
      <c r="Q280" s="19">
        <f>IF(E280="HERRAJE",0,IFERROR(_xlfn.XLOOKUP(E280,'⚙️ Configuración Costos'!$E$5:$E$6,'⚙️ Configuración Costos'!$F$5:$F$6),""))</f>
        <v>0</v>
      </c>
      <c r="R280" s="19">
        <f t="shared" si="155"/>
        <v>0</v>
      </c>
      <c r="S280" s="37">
        <f t="shared" si="156"/>
        <v>40</v>
      </c>
      <c r="T280" s="94" t="str">
        <f t="shared" si="157"/>
        <v>OK</v>
      </c>
      <c r="U280" s="95" t="str">
        <f t="shared" si="158"/>
        <v/>
      </c>
      <c r="V280" s="96">
        <f t="shared" si="159"/>
        <v>0</v>
      </c>
    </row>
    <row r="281" spans="1:22" x14ac:dyDescent="0.2">
      <c r="A281" s="35">
        <v>1</v>
      </c>
      <c r="B281" s="6">
        <v>0</v>
      </c>
      <c r="C281" s="6">
        <v>0</v>
      </c>
      <c r="D281" s="7" t="s">
        <v>93</v>
      </c>
      <c r="E281" s="7" t="s">
        <v>91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16" t="s">
        <v>20</v>
      </c>
      <c r="L281" s="47" t="s">
        <v>94</v>
      </c>
      <c r="M281" s="17">
        <f t="shared" si="152"/>
        <v>0</v>
      </c>
      <c r="N281" s="18">
        <f t="shared" si="153"/>
        <v>0</v>
      </c>
      <c r="O281" s="19">
        <f>IF(E281="HERRAJE",IFERROR(_xlfn.XLOOKUP(D281,'⚙️ Configuración Costos'!$A$11:$A$20,'⚙️ Configuración Costos'!$B$11:$B$20),""),IFERROR(_xlfn.XLOOKUP(E281,'⚙️ Configuración Costos'!$A$5:$A$6,'⚙️ Configuración Costos'!$B$5:$B$6),""))</f>
        <v>15</v>
      </c>
      <c r="P281" s="19">
        <f t="shared" si="154"/>
        <v>15</v>
      </c>
      <c r="Q281" s="19">
        <f>IF(E281="HERRAJE",0,IFERROR(_xlfn.XLOOKUP(E281,'⚙️ Configuración Costos'!$E$5:$E$6,'⚙️ Configuración Costos'!$F$5:$F$6),""))</f>
        <v>0</v>
      </c>
      <c r="R281" s="19">
        <f t="shared" si="155"/>
        <v>0</v>
      </c>
      <c r="S281" s="37">
        <f t="shared" si="156"/>
        <v>15</v>
      </c>
      <c r="T281" s="94" t="str">
        <f t="shared" si="157"/>
        <v>OK</v>
      </c>
      <c r="U281" s="95" t="str">
        <f t="shared" si="158"/>
        <v/>
      </c>
      <c r="V281" s="96">
        <f t="shared" si="159"/>
        <v>0</v>
      </c>
    </row>
    <row r="282" spans="1:22" x14ac:dyDescent="0.2">
      <c r="A282" s="35">
        <v>4</v>
      </c>
      <c r="B282" s="6">
        <v>0</v>
      </c>
      <c r="C282" s="6">
        <v>0</v>
      </c>
      <c r="D282" s="7" t="s">
        <v>186</v>
      </c>
      <c r="E282" s="7" t="s">
        <v>91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16" t="s">
        <v>20</v>
      </c>
      <c r="L282" s="47" t="s">
        <v>187</v>
      </c>
      <c r="M282" s="17">
        <f t="shared" si="152"/>
        <v>0</v>
      </c>
      <c r="N282" s="18">
        <f t="shared" si="153"/>
        <v>0</v>
      </c>
      <c r="O282" s="19">
        <f>IF(E282="HERRAJE",IFERROR(_xlfn.XLOOKUP(D282,'⚙️ Configuración Costos'!$A$11:$A$20,'⚙️ Configuración Costos'!$B$11:$B$20),""),IFERROR(_xlfn.XLOOKUP(E282,'⚙️ Configuración Costos'!$A$5:$A$6,'⚙️ Configuración Costos'!$B$5:$B$6),""))</f>
        <v>15</v>
      </c>
      <c r="P282" s="19">
        <f t="shared" si="154"/>
        <v>60</v>
      </c>
      <c r="Q282" s="19">
        <f>IF(E282="HERRAJE",0,IFERROR(_xlfn.XLOOKUP(E282,'⚙️ Configuración Costos'!$E$5:$E$6,'⚙️ Configuración Costos'!$F$5:$F$6),""))</f>
        <v>0</v>
      </c>
      <c r="R282" s="19">
        <f t="shared" si="155"/>
        <v>0</v>
      </c>
      <c r="S282" s="37">
        <f t="shared" si="156"/>
        <v>60</v>
      </c>
      <c r="T282" s="94" t="str">
        <f t="shared" si="157"/>
        <v>OK</v>
      </c>
      <c r="U282" s="95" t="str">
        <f t="shared" si="158"/>
        <v/>
      </c>
      <c r="V282" s="96">
        <f t="shared" si="159"/>
        <v>0</v>
      </c>
    </row>
    <row r="283" spans="1:22" x14ac:dyDescent="0.2">
      <c r="A283" s="35">
        <v>4</v>
      </c>
      <c r="B283" s="6">
        <v>0</v>
      </c>
      <c r="C283" s="6">
        <v>0</v>
      </c>
      <c r="D283" s="7" t="s">
        <v>95</v>
      </c>
      <c r="E283" s="7" t="s">
        <v>91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16" t="s">
        <v>20</v>
      </c>
      <c r="L283" s="47" t="s">
        <v>96</v>
      </c>
      <c r="M283" s="17">
        <f t="shared" si="152"/>
        <v>0</v>
      </c>
      <c r="N283" s="18">
        <f t="shared" si="153"/>
        <v>0</v>
      </c>
      <c r="O283" s="19">
        <f>IF(E283="HERRAJE",IFERROR(_xlfn.XLOOKUP(D283,'⚙️ Configuración Costos'!$A$11:$A$20,'⚙️ Configuración Costos'!$B$11:$B$20),""),IFERROR(_xlfn.XLOOKUP(E283,'⚙️ Configuración Costos'!$A$5:$A$6,'⚙️ Configuración Costos'!$B$5:$B$6),""))</f>
        <v>2</v>
      </c>
      <c r="P283" s="19">
        <f t="shared" si="154"/>
        <v>8</v>
      </c>
      <c r="Q283" s="19">
        <f>IF(E283="HERRAJE",0,IFERROR(_xlfn.XLOOKUP(E283,'⚙️ Configuración Costos'!$E$5:$E$6,'⚙️ Configuración Costos'!$F$5:$F$6),""))</f>
        <v>0</v>
      </c>
      <c r="R283" s="19">
        <f t="shared" si="155"/>
        <v>0</v>
      </c>
      <c r="S283" s="37">
        <f t="shared" si="156"/>
        <v>8</v>
      </c>
      <c r="T283" s="94" t="str">
        <f t="shared" si="157"/>
        <v>OK</v>
      </c>
      <c r="U283" s="95" t="str">
        <f t="shared" si="158"/>
        <v/>
      </c>
      <c r="V283" s="96">
        <f t="shared" si="159"/>
        <v>0</v>
      </c>
    </row>
    <row r="284" spans="1:22" x14ac:dyDescent="0.2">
      <c r="A284" s="36">
        <f>4*(IF(LEFT(D272,4)="Base",A272,0)+IF(LEFT(D272,4)="Piso",A272,0)+IF(LEFT(D272,5)="Techo",A272,0)+IF(LEFT(D273,4)="Base",A273,0)+IF(LEFT(D273,4)="Piso",A273,0)+IF(LEFT(D273,5)="Techo",A273,0)+IF(LEFT(D274,4)="Base",A274,0)+IF(LEFT(D274,4)="Piso",A274,0)+IF(LEFT(D274,5)="Techo",A274,0)+IF(LEFT(D275,4)="Base",A275,0)+IF(LEFT(D275,4)="Piso",A275,0)+IF(LEFT(D275,5)="Techo",A275,0)+IF(LEFT(D276,4)="Base",A276,0)+IF(LEFT(D276,4)="Piso",A276,0)+IF(LEFT(D276,5)="Techo",A276,0)+IF(LEFT(D277,4)="Base",A277,0)+IF(LEFT(D277,4)="Piso",A277,0)+IF(LEFT(D277,5)="Techo",A277,0)+IF(LEFT(D278,4)="Base",A278,0)+IF(LEFT(D278,4)="Piso",A278,0)+IF(LEFT(D278,5)="Techo",A278,0)+IF(LEFT(D279,4)="Base",A279,0)+IF(LEFT(D279,4)="Piso",A279,0)+IF(LEFT(D279,5)="Techo",A279,0))+10*(IF(LEFT(D272,8)="Respaldo",A272,0)+IF(LEFT(D273,8)="Respaldo",A273,0)+IF(LEFT(D274,8)="Respaldo",A274,0)+IF(LEFT(D275,8)="Respaldo",A275,0)+IF(LEFT(D276,8)="Respaldo",A276,0)+IF(LEFT(D277,8)="Respaldo",A277,0)+IF(LEFT(D278,8)="Respaldo",A278,0)+IF(LEFT(D279,8)="Respaldo",A279,0))+2*(IF(LEFT(D272,8)="Manguete",A272,0)+IF(LEFT(D273,8)="Manguete",A273,0)+IF(LEFT(D274,8)="Manguete",A274,0)+IF(LEFT(D275,8)="Manguete",A275,0)+IF(LEFT(D276,8)="Manguete",A276,0)+IF(LEFT(D277,8)="Manguete",A277,0)+IF(LEFT(D278,8)="Manguete",A278,0)+IF(LEFT(D279,8)="Manguete",A279,0))</f>
        <v>18</v>
      </c>
      <c r="B284" s="20">
        <v>0</v>
      </c>
      <c r="C284" s="20">
        <v>0</v>
      </c>
      <c r="D284" s="21" t="s">
        <v>400</v>
      </c>
      <c r="E284" s="21" t="s">
        <v>91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16" t="s">
        <v>20</v>
      </c>
      <c r="L284" s="48" t="s">
        <v>360</v>
      </c>
      <c r="M284" s="17">
        <f t="shared" si="152"/>
        <v>0</v>
      </c>
      <c r="N284" s="18">
        <f t="shared" si="153"/>
        <v>0</v>
      </c>
      <c r="O284" s="19">
        <f>IF(E284="HERRAJE",IFERROR(_xlfn.XLOOKUP(D284,'⚙️ Configuración Costos'!$A$11:$A$20,'⚙️ Configuración Costos'!$B$11:$B$20),""),IFERROR(_xlfn.XLOOKUP(E284,'⚙️ Configuración Costos'!$A$5:$A$6,'⚙️ Configuración Costos'!$B$5:$B$6),""))</f>
        <v>3</v>
      </c>
      <c r="P284" s="19">
        <f t="shared" si="154"/>
        <v>54</v>
      </c>
      <c r="Q284" s="19">
        <f>IF(E284="HERRAJE",0,IFERROR(_xlfn.XLOOKUP(E284,'⚙️ Configuración Costos'!$E$5:$E$6,'⚙️ Configuración Costos'!$F$5:$F$6),""))</f>
        <v>0</v>
      </c>
      <c r="R284" s="19">
        <f t="shared" si="155"/>
        <v>0</v>
      </c>
      <c r="S284" s="37">
        <f t="shared" si="156"/>
        <v>54</v>
      </c>
      <c r="T284" s="94" t="str">
        <f t="shared" si="157"/>
        <v>OK</v>
      </c>
      <c r="U284" s="95" t="str">
        <f t="shared" si="158"/>
        <v/>
      </c>
      <c r="V284" s="96">
        <f t="shared" si="159"/>
        <v>0</v>
      </c>
    </row>
    <row r="285" spans="1:22" ht="16" thickBot="1" x14ac:dyDescent="0.25">
      <c r="A285" s="36">
        <f>6*(IF(LEFT(D272,4)="Base",A272,0)+IF(LEFT(D272,4)="Piso",A272,0)+IF(LEFT(D272,5)="Techo",A272,0)+IF(LEFT(D273,4)="Base",A273,0)+IF(LEFT(D273,4)="Piso",A273,0)+IF(LEFT(D273,5)="Techo",A273,0)+IF(LEFT(D274,4)="Base",A274,0)+IF(LEFT(D274,4)="Piso",A274,0)+IF(LEFT(D274,5)="Techo",A274,0)+IF(LEFT(D275,4)="Base",A275,0)+IF(LEFT(D275,4)="Piso",A275,0)+IF(LEFT(D275,5)="Techo",A275,0)+IF(LEFT(D276,4)="Base",A276,0)+IF(LEFT(D276,4)="Piso",A276,0)+IF(LEFT(D276,5)="Techo",A276,0)+IF(LEFT(D277,4)="Base",A277,0)+IF(LEFT(D277,4)="Piso",A277,0)+IF(LEFT(D277,5)="Techo",A277,0)+IF(LEFT(D278,4)="Base",A278,0)+IF(LEFT(D278,4)="Piso",A278,0)+IF(LEFT(D278,5)="Techo",A278,0)+IF(LEFT(D279,4)="Base",A279,0)+IF(LEFT(D279,4)="Piso",A279,0)+IF(LEFT(D279,5)="Techo",A279,0))+10*(IF(LEFT(D272,8)="Respaldo",A272,0)+IF(LEFT(D273,8)="Respaldo",A273,0)+IF(LEFT(D274,8)="Respaldo",A274,0)+IF(LEFT(D275,8)="Respaldo",A275,0)+IF(LEFT(D276,8)="Respaldo",A276,0)+IF(LEFT(D277,8)="Respaldo",A277,0)+IF(LEFT(D278,8)="Respaldo",A278,0)+IF(LEFT(D279,8)="Respaldo",A279,0))+4*(IF(LEFT(D272,8)="Manguete",A272,0)+IF(LEFT(D273,8)="Manguete",A273,0)+IF(LEFT(D274,8)="Manguete",A274,0)+IF(LEFT(D275,8)="Manguete",A275,0)+IF(LEFT(D276,8)="Manguete",A276,0)+IF(LEFT(D277,8)="Manguete",A277,0)+IF(LEFT(D278,8)="Manguete",A278,0)+IF(LEFT(D279,8)="Manguete",A279,0))</f>
        <v>24</v>
      </c>
      <c r="B285" s="20">
        <v>0</v>
      </c>
      <c r="C285" s="20">
        <v>0</v>
      </c>
      <c r="D285" s="21" t="s">
        <v>468</v>
      </c>
      <c r="E285" s="21" t="s">
        <v>91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16" t="s">
        <v>20</v>
      </c>
      <c r="L285" s="48" t="s">
        <v>361</v>
      </c>
      <c r="M285" s="17">
        <f t="shared" si="152"/>
        <v>0</v>
      </c>
      <c r="N285" s="18">
        <f t="shared" si="153"/>
        <v>0</v>
      </c>
      <c r="O285" s="19">
        <f>IF(E285="HERRAJE",IFERROR(_xlfn.XLOOKUP(D285,'⚙️ Configuración Costos'!$A$11:$A$20,'⚙️ Configuración Costos'!$B$11:$B$20),""),IFERROR(_xlfn.XLOOKUP(E285,'⚙️ Configuración Costos'!$A$5:$A$6,'⚙️ Configuración Costos'!$B$5:$B$6),""))</f>
        <v>1</v>
      </c>
      <c r="P285" s="19">
        <f t="shared" si="154"/>
        <v>24</v>
      </c>
      <c r="Q285" s="19">
        <f>IF(E285="HERRAJE",0,IFERROR(_xlfn.XLOOKUP(E285,'⚙️ Configuración Costos'!$E$5:$E$6,'⚙️ Configuración Costos'!$F$5:$F$6),""))</f>
        <v>0</v>
      </c>
      <c r="R285" s="19">
        <f t="shared" si="155"/>
        <v>0</v>
      </c>
      <c r="S285" s="37">
        <f t="shared" si="156"/>
        <v>24</v>
      </c>
      <c r="T285" s="94" t="str">
        <f t="shared" si="157"/>
        <v>OK</v>
      </c>
      <c r="U285" s="95" t="str">
        <f t="shared" si="158"/>
        <v/>
      </c>
      <c r="V285" s="96">
        <f t="shared" si="159"/>
        <v>0</v>
      </c>
    </row>
    <row r="286" spans="1:22" ht="16" thickTop="1" x14ac:dyDescent="0.2">
      <c r="A286" s="27" t="s">
        <v>99</v>
      </c>
      <c r="B286" s="27"/>
      <c r="C286" s="27"/>
      <c r="D286" s="28"/>
      <c r="E286" s="28"/>
      <c r="F286" s="29"/>
      <c r="G286" s="29"/>
      <c r="H286" s="29"/>
      <c r="I286" s="29"/>
      <c r="J286" s="29"/>
      <c r="K286" s="30"/>
      <c r="L286" s="49"/>
      <c r="M286" s="31">
        <f>SUM(M272:M285)</f>
        <v>2.4006799999999999</v>
      </c>
      <c r="N286" s="32">
        <f>SUM(N272:N285)</f>
        <v>11.832999999999998</v>
      </c>
      <c r="O286" s="33"/>
      <c r="P286" s="33">
        <f>SUM(P272:P285)</f>
        <v>1000.0722413114754</v>
      </c>
      <c r="Q286" s="33"/>
      <c r="R286" s="33">
        <f>SUM(R272:R285)</f>
        <v>112.4135</v>
      </c>
      <c r="S286" s="33">
        <f>SUM(S272:S285)</f>
        <v>1112.4857413114755</v>
      </c>
      <c r="T286" s="97"/>
      <c r="U286" s="98"/>
      <c r="V286" s="99"/>
    </row>
    <row r="287" spans="1:22" x14ac:dyDescent="0.2">
      <c r="A287" s="186" t="s">
        <v>217</v>
      </c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8"/>
      <c r="T287" s="97"/>
      <c r="U287" s="98"/>
      <c r="V287" s="99"/>
    </row>
    <row r="288" spans="1:22" x14ac:dyDescent="0.2">
      <c r="A288" s="35">
        <v>1</v>
      </c>
      <c r="B288" s="6">
        <v>720</v>
      </c>
      <c r="C288" s="6">
        <v>580</v>
      </c>
      <c r="D288" s="7" t="s">
        <v>63</v>
      </c>
      <c r="E288" s="7" t="s">
        <v>85</v>
      </c>
      <c r="F288" s="8">
        <v>1</v>
      </c>
      <c r="G288" s="8">
        <v>1</v>
      </c>
      <c r="H288" s="8">
        <v>1</v>
      </c>
      <c r="I288" s="8">
        <v>1</v>
      </c>
      <c r="J288" s="8">
        <v>1</v>
      </c>
      <c r="K288" s="16" t="s">
        <v>21</v>
      </c>
      <c r="L288" s="47" t="s">
        <v>365</v>
      </c>
      <c r="M288" s="17">
        <f t="shared" ref="M288:M302" si="160">IF(AND(ISNUMBER(B288),ISNUMBER(C288),B288&gt;0,C288&gt;0),A288*(B288*C288/1000000),0)</f>
        <v>0.41760000000000003</v>
      </c>
      <c r="N288" s="18">
        <f t="shared" ref="N288:N302" si="161">IF(AND(ISNUMBER(B288),B288&gt;0),A288*(((G288+H288)*B288+(I288+J288)*C288)/1000),0)</f>
        <v>2.6</v>
      </c>
      <c r="O288" s="19">
        <f>IF(E288="HERRAJE",IFERROR(_xlfn.XLOOKUP(D288,'⚙️ Configuración Costos'!$A$11:$A$20,'⚙️ Configuración Costos'!$B$11:$B$20),""),IFERROR(_xlfn.XLOOKUP(E288,'⚙️ Configuración Costos'!$A$5:$A$6,'⚙️ Configuración Costos'!$B$5:$B$6),""))</f>
        <v>332.85245901639348</v>
      </c>
      <c r="P288" s="19">
        <f t="shared" ref="P288:P302" si="162">IF(E288="HERRAJE",A288*O288,M288*O288)</f>
        <v>138.99918688524593</v>
      </c>
      <c r="Q288" s="19">
        <f>IF(E288="HERRAJE",0,IFERROR(_xlfn.XLOOKUP(E288,'⚙️ Configuración Costos'!$E$5:$E$6,'⚙️ Configuración Costos'!$F$5:$F$6),""))</f>
        <v>9.5</v>
      </c>
      <c r="R288" s="19">
        <f t="shared" ref="R288:R302" si="163">N288*Q288</f>
        <v>24.7</v>
      </c>
      <c r="S288" s="37">
        <f t="shared" ref="S288:S302" si="164">P288+R288</f>
        <v>163.69918688524592</v>
      </c>
      <c r="T288" s="94" t="str">
        <f t="shared" ref="T288:T302" si="165">IF(K288="","SIN ID MÓDULO",IF(E288="HERRAJE",IF(OR(O288="",O288&lt;=0),"SIN PRECIO HERRAJE","OK"),IF(OR(O288="",O288&lt;=0),"SIN PRECIO MATERIAL",IF(AND(N288&gt;0,OR(Q288="",Q288&lt;=0)),"SIN PRECIO CINTILLA","OK"))))</f>
        <v>OK</v>
      </c>
      <c r="U288" s="95" t="str">
        <f t="shared" ref="U288:U302" si="166">IF(T288="OK","",IF(T288="SIN PRECIO HERRAJE","Capturar precio: "&amp;D288,IF(T288="SIN PRECIO MATERIAL","Configurar material: "&amp;E288,IF(T288="SIN PRECIO CINTILLA","Configurar cintilla: "&amp;E288,IF(T288="SIN ID MÓDULO","Revisar ID del módulo","")))))</f>
        <v/>
      </c>
      <c r="V288" s="96">
        <f t="shared" ref="V288:V302" si="167">IF(T288="OK",0,IF(T288="",0,1))</f>
        <v>0</v>
      </c>
    </row>
    <row r="289" spans="1:22" x14ac:dyDescent="0.2">
      <c r="A289" s="35">
        <v>1</v>
      </c>
      <c r="B289" s="6">
        <v>720</v>
      </c>
      <c r="C289" s="6">
        <v>580</v>
      </c>
      <c r="D289" s="7" t="s">
        <v>66</v>
      </c>
      <c r="E289" s="7" t="s">
        <v>85</v>
      </c>
      <c r="F289" s="8">
        <v>1</v>
      </c>
      <c r="G289" s="8">
        <v>1</v>
      </c>
      <c r="H289" s="8">
        <v>1</v>
      </c>
      <c r="I289" s="8">
        <v>1</v>
      </c>
      <c r="J289" s="8">
        <v>1</v>
      </c>
      <c r="K289" s="16" t="s">
        <v>21</v>
      </c>
      <c r="L289" s="47" t="s">
        <v>366</v>
      </c>
      <c r="M289" s="17">
        <f t="shared" si="160"/>
        <v>0.41760000000000003</v>
      </c>
      <c r="N289" s="18">
        <f t="shared" si="161"/>
        <v>2.6</v>
      </c>
      <c r="O289" s="19">
        <f>IF(E289="HERRAJE",IFERROR(_xlfn.XLOOKUP(D289,'⚙️ Configuración Costos'!$A$11:$A$20,'⚙️ Configuración Costos'!$B$11:$B$20),""),IFERROR(_xlfn.XLOOKUP(E289,'⚙️ Configuración Costos'!$A$5:$A$6,'⚙️ Configuración Costos'!$B$5:$B$6),""))</f>
        <v>332.85245901639348</v>
      </c>
      <c r="P289" s="19">
        <f t="shared" si="162"/>
        <v>138.99918688524593</v>
      </c>
      <c r="Q289" s="19">
        <f>IF(E289="HERRAJE",0,IFERROR(_xlfn.XLOOKUP(E289,'⚙️ Configuración Costos'!$E$5:$E$6,'⚙️ Configuración Costos'!$F$5:$F$6),""))</f>
        <v>9.5</v>
      </c>
      <c r="R289" s="19">
        <f t="shared" si="163"/>
        <v>24.7</v>
      </c>
      <c r="S289" s="37">
        <f t="shared" si="164"/>
        <v>163.69918688524592</v>
      </c>
      <c r="T289" s="94" t="str">
        <f t="shared" si="165"/>
        <v>OK</v>
      </c>
      <c r="U289" s="95" t="str">
        <f t="shared" si="166"/>
        <v/>
      </c>
      <c r="V289" s="96">
        <f t="shared" si="167"/>
        <v>0</v>
      </c>
    </row>
    <row r="290" spans="1:22" x14ac:dyDescent="0.2">
      <c r="A290" s="35">
        <v>1</v>
      </c>
      <c r="B290" s="6">
        <v>689</v>
      </c>
      <c r="C290" s="6">
        <v>669</v>
      </c>
      <c r="D290" s="7" t="s">
        <v>169</v>
      </c>
      <c r="E290" s="7" t="s">
        <v>85</v>
      </c>
      <c r="F290" s="8">
        <v>1</v>
      </c>
      <c r="G290" s="8">
        <v>0</v>
      </c>
      <c r="H290" s="8">
        <v>0</v>
      </c>
      <c r="I290" s="8">
        <v>0</v>
      </c>
      <c r="J290" s="8">
        <v>0</v>
      </c>
      <c r="K290" s="16" t="s">
        <v>21</v>
      </c>
      <c r="L290" s="47" t="s">
        <v>218</v>
      </c>
      <c r="M290" s="17">
        <f t="shared" si="160"/>
        <v>0.46094099999999999</v>
      </c>
      <c r="N290" s="18">
        <f t="shared" si="161"/>
        <v>0</v>
      </c>
      <c r="O290" s="19">
        <f>IF(E290="HERRAJE",IFERROR(_xlfn.XLOOKUP(D290,'⚙️ Configuración Costos'!$A$11:$A$20,'⚙️ Configuración Costos'!$B$11:$B$20),""),IFERROR(_xlfn.XLOOKUP(E290,'⚙️ Configuración Costos'!$A$5:$A$6,'⚙️ Configuración Costos'!$B$5:$B$6),""))</f>
        <v>332.85245901639348</v>
      </c>
      <c r="P290" s="19">
        <f t="shared" si="162"/>
        <v>153.42534531147541</v>
      </c>
      <c r="Q290" s="19">
        <f>IF(E290="HERRAJE",0,IFERROR(_xlfn.XLOOKUP(E290,'⚙️ Configuración Costos'!$E$5:$E$6,'⚙️ Configuración Costos'!$F$5:$F$6),""))</f>
        <v>9.5</v>
      </c>
      <c r="R290" s="19">
        <f t="shared" si="163"/>
        <v>0</v>
      </c>
      <c r="S290" s="37">
        <f t="shared" si="164"/>
        <v>153.42534531147541</v>
      </c>
      <c r="T290" s="94" t="str">
        <f t="shared" si="165"/>
        <v>OK</v>
      </c>
      <c r="U290" s="95" t="str">
        <f t="shared" si="166"/>
        <v/>
      </c>
      <c r="V290" s="96">
        <f t="shared" si="167"/>
        <v>0</v>
      </c>
    </row>
    <row r="291" spans="1:22" x14ac:dyDescent="0.2">
      <c r="A291" s="34">
        <v>1</v>
      </c>
      <c r="B291" s="13">
        <v>669</v>
      </c>
      <c r="C291" s="13">
        <v>580</v>
      </c>
      <c r="D291" s="14" t="s">
        <v>171</v>
      </c>
      <c r="E291" s="14" t="s">
        <v>85</v>
      </c>
      <c r="F291" s="15">
        <v>1</v>
      </c>
      <c r="G291" s="15">
        <v>1</v>
      </c>
      <c r="H291" s="15">
        <v>1</v>
      </c>
      <c r="I291" s="15">
        <v>0</v>
      </c>
      <c r="J291" s="15">
        <v>0</v>
      </c>
      <c r="K291" s="16" t="s">
        <v>21</v>
      </c>
      <c r="L291" s="46" t="s">
        <v>371</v>
      </c>
      <c r="M291" s="17">
        <f t="shared" si="160"/>
        <v>0.38801999999999998</v>
      </c>
      <c r="N291" s="18">
        <f t="shared" si="161"/>
        <v>1.3380000000000001</v>
      </c>
      <c r="O291" s="19">
        <f>IF(E291="HERRAJE",IFERROR(_xlfn.XLOOKUP(D291,'⚙️ Configuración Costos'!$A$11:$A$20,'⚙️ Configuración Costos'!$B$11:$B$20),""),IFERROR(_xlfn.XLOOKUP(E291,'⚙️ Configuración Costos'!$A$5:$A$6,'⚙️ Configuración Costos'!$B$5:$B$6),""))</f>
        <v>332.85245901639348</v>
      </c>
      <c r="P291" s="19">
        <f t="shared" si="162"/>
        <v>129.15341114754099</v>
      </c>
      <c r="Q291" s="19">
        <f>IF(E291="HERRAJE",0,IFERROR(_xlfn.XLOOKUP(E291,'⚙️ Configuración Costos'!$E$5:$E$6,'⚙️ Configuración Costos'!$F$5:$F$6),""))</f>
        <v>9.5</v>
      </c>
      <c r="R291" s="19">
        <f t="shared" si="163"/>
        <v>12.711</v>
      </c>
      <c r="S291" s="37">
        <f t="shared" si="164"/>
        <v>141.86441114754101</v>
      </c>
      <c r="T291" s="94" t="str">
        <f t="shared" si="165"/>
        <v>OK</v>
      </c>
      <c r="U291" s="95" t="str">
        <f t="shared" si="166"/>
        <v/>
      </c>
      <c r="V291" s="96">
        <f t="shared" si="167"/>
        <v>0</v>
      </c>
    </row>
    <row r="292" spans="1:22" x14ac:dyDescent="0.2">
      <c r="A292" s="35">
        <v>1</v>
      </c>
      <c r="B292" s="6">
        <v>669</v>
      </c>
      <c r="C292" s="6">
        <v>120</v>
      </c>
      <c r="D292" s="7" t="s">
        <v>194</v>
      </c>
      <c r="E292" s="7" t="s">
        <v>85</v>
      </c>
      <c r="F292" s="8">
        <v>1</v>
      </c>
      <c r="G292" s="8">
        <v>1</v>
      </c>
      <c r="H292" s="8">
        <v>1</v>
      </c>
      <c r="I292" s="8">
        <v>0</v>
      </c>
      <c r="J292" s="8">
        <v>0</v>
      </c>
      <c r="K292" s="16" t="s">
        <v>21</v>
      </c>
      <c r="L292" s="47" t="s">
        <v>220</v>
      </c>
      <c r="M292" s="17">
        <f t="shared" si="160"/>
        <v>8.0280000000000004E-2</v>
      </c>
      <c r="N292" s="18">
        <f t="shared" si="161"/>
        <v>1.3380000000000001</v>
      </c>
      <c r="O292" s="19">
        <f>IF(E292="HERRAJE",IFERROR(_xlfn.XLOOKUP(D292,'⚙️ Configuración Costos'!$A$11:$A$20,'⚙️ Configuración Costos'!$B$11:$B$20),""),IFERROR(_xlfn.XLOOKUP(E292,'⚙️ Configuración Costos'!$A$5:$A$6,'⚙️ Configuración Costos'!$B$5:$B$6),""))</f>
        <v>332.85245901639348</v>
      </c>
      <c r="P292" s="19">
        <f t="shared" si="162"/>
        <v>26.72139540983607</v>
      </c>
      <c r="Q292" s="19">
        <f>IF(E292="HERRAJE",0,IFERROR(_xlfn.XLOOKUP(E292,'⚙️ Configuración Costos'!$E$5:$E$6,'⚙️ Configuración Costos'!$F$5:$F$6),""))</f>
        <v>9.5</v>
      </c>
      <c r="R292" s="19">
        <f t="shared" si="163"/>
        <v>12.711</v>
      </c>
      <c r="S292" s="37">
        <f t="shared" si="164"/>
        <v>39.432395409836069</v>
      </c>
      <c r="T292" s="94" t="str">
        <f t="shared" si="165"/>
        <v>OK</v>
      </c>
      <c r="U292" s="95" t="str">
        <f t="shared" si="166"/>
        <v/>
      </c>
      <c r="V292" s="96">
        <f t="shared" si="167"/>
        <v>0</v>
      </c>
    </row>
    <row r="293" spans="1:22" x14ac:dyDescent="0.2">
      <c r="A293" s="35">
        <v>1</v>
      </c>
      <c r="B293" s="6">
        <v>669</v>
      </c>
      <c r="C293" s="6">
        <v>120</v>
      </c>
      <c r="D293" s="7" t="s">
        <v>194</v>
      </c>
      <c r="E293" s="7" t="s">
        <v>85</v>
      </c>
      <c r="F293" s="8">
        <v>1</v>
      </c>
      <c r="G293" s="8">
        <v>1</v>
      </c>
      <c r="H293" s="8">
        <v>1</v>
      </c>
      <c r="I293" s="8">
        <v>0</v>
      </c>
      <c r="J293" s="8">
        <v>0</v>
      </c>
      <c r="K293" s="16" t="s">
        <v>21</v>
      </c>
      <c r="L293" s="47" t="s">
        <v>220</v>
      </c>
      <c r="M293" s="17">
        <f t="shared" si="160"/>
        <v>8.0280000000000004E-2</v>
      </c>
      <c r="N293" s="18">
        <f t="shared" si="161"/>
        <v>1.3380000000000001</v>
      </c>
      <c r="O293" s="19">
        <f>IF(E293="HERRAJE",IFERROR(_xlfn.XLOOKUP(D293,'⚙️ Configuración Costos'!$A$11:$A$20,'⚙️ Configuración Costos'!$B$11:$B$20),""),IFERROR(_xlfn.XLOOKUP(E293,'⚙️ Configuración Costos'!$A$5:$A$6,'⚙️ Configuración Costos'!$B$5:$B$6),""))</f>
        <v>332.85245901639348</v>
      </c>
      <c r="P293" s="19">
        <f t="shared" si="162"/>
        <v>26.72139540983607</v>
      </c>
      <c r="Q293" s="19">
        <f>IF(E293="HERRAJE",0,IFERROR(_xlfn.XLOOKUP(E293,'⚙️ Configuración Costos'!$E$5:$E$6,'⚙️ Configuración Costos'!$F$5:$F$6),""))</f>
        <v>9.5</v>
      </c>
      <c r="R293" s="19">
        <f t="shared" si="163"/>
        <v>12.711</v>
      </c>
      <c r="S293" s="37">
        <f t="shared" si="164"/>
        <v>39.432395409836069</v>
      </c>
      <c r="T293" s="94" t="str">
        <f t="shared" si="165"/>
        <v>OK</v>
      </c>
      <c r="U293" s="95" t="str">
        <f t="shared" si="166"/>
        <v/>
      </c>
      <c r="V293" s="96">
        <f t="shared" si="167"/>
        <v>0</v>
      </c>
    </row>
    <row r="294" spans="1:22" x14ac:dyDescent="0.2">
      <c r="A294" s="35">
        <v>1</v>
      </c>
      <c r="B294" s="6">
        <v>669</v>
      </c>
      <c r="C294" s="6">
        <v>490</v>
      </c>
      <c r="D294" s="7" t="s">
        <v>479</v>
      </c>
      <c r="E294" s="7" t="s">
        <v>85</v>
      </c>
      <c r="F294" s="8">
        <v>1</v>
      </c>
      <c r="G294" s="8">
        <v>1</v>
      </c>
      <c r="H294" s="8">
        <v>0</v>
      </c>
      <c r="I294" s="8">
        <v>0</v>
      </c>
      <c r="J294" s="8">
        <v>0</v>
      </c>
      <c r="K294" s="16" t="s">
        <v>21</v>
      </c>
      <c r="L294" s="47" t="s">
        <v>221</v>
      </c>
      <c r="M294" s="17">
        <f t="shared" si="160"/>
        <v>0.32780999999999999</v>
      </c>
      <c r="N294" s="18">
        <f t="shared" si="161"/>
        <v>0.66900000000000004</v>
      </c>
      <c r="O294" s="19">
        <f>IF(E294="HERRAJE",IFERROR(_xlfn.XLOOKUP(D294,'⚙️ Configuración Costos'!$A$11:$A$20,'⚙️ Configuración Costos'!$B$11:$B$20),""),IFERROR(_xlfn.XLOOKUP(E294,'⚙️ Configuración Costos'!$A$5:$A$6,'⚙️ Configuración Costos'!$B$5:$B$6),""))</f>
        <v>332.85245901639348</v>
      </c>
      <c r="P294" s="19">
        <f t="shared" si="162"/>
        <v>109.11236459016395</v>
      </c>
      <c r="Q294" s="19">
        <f>IF(E294="HERRAJE",0,IFERROR(_xlfn.XLOOKUP(E294,'⚙️ Configuración Costos'!$E$5:$E$6,'⚙️ Configuración Costos'!$F$5:$F$6),""))</f>
        <v>9.5</v>
      </c>
      <c r="R294" s="19">
        <f t="shared" si="163"/>
        <v>6.3555000000000001</v>
      </c>
      <c r="S294" s="37">
        <f t="shared" si="164"/>
        <v>115.46786459016396</v>
      </c>
      <c r="T294" s="94" t="str">
        <f t="shared" si="165"/>
        <v>OK</v>
      </c>
      <c r="U294" s="95" t="str">
        <f t="shared" si="166"/>
        <v/>
      </c>
      <c r="V294" s="96">
        <f t="shared" si="167"/>
        <v>0</v>
      </c>
    </row>
    <row r="295" spans="1:22" x14ac:dyDescent="0.2">
      <c r="A295" s="35">
        <v>1</v>
      </c>
      <c r="B295" s="6">
        <v>717</v>
      </c>
      <c r="C295" s="6">
        <v>347</v>
      </c>
      <c r="D295" s="7" t="s">
        <v>480</v>
      </c>
      <c r="E295" s="7" t="s">
        <v>85</v>
      </c>
      <c r="F295" s="8">
        <v>1</v>
      </c>
      <c r="G295" s="8">
        <v>1</v>
      </c>
      <c r="H295" s="8">
        <v>1</v>
      </c>
      <c r="I295" s="8">
        <v>1</v>
      </c>
      <c r="J295" s="8">
        <v>1</v>
      </c>
      <c r="K295" s="16" t="s">
        <v>21</v>
      </c>
      <c r="L295" s="47" t="s">
        <v>222</v>
      </c>
      <c r="M295" s="17">
        <f t="shared" si="160"/>
        <v>0.24879899999999999</v>
      </c>
      <c r="N295" s="18">
        <f t="shared" si="161"/>
        <v>2.1280000000000001</v>
      </c>
      <c r="O295" s="19">
        <f>IF(E295="HERRAJE",IFERROR(_xlfn.XLOOKUP(D295,'⚙️ Configuración Costos'!$A$11:$A$20,'⚙️ Configuración Costos'!$B$11:$B$20),""),IFERROR(_xlfn.XLOOKUP(E295,'⚙️ Configuración Costos'!$A$5:$A$6,'⚙️ Configuración Costos'!$B$5:$B$6),""))</f>
        <v>332.85245901639348</v>
      </c>
      <c r="P295" s="19">
        <f t="shared" si="162"/>
        <v>82.813358950819676</v>
      </c>
      <c r="Q295" s="19">
        <f>IF(E295="HERRAJE",0,IFERROR(_xlfn.XLOOKUP(E295,'⚙️ Configuración Costos'!$E$5:$E$6,'⚙️ Configuración Costos'!$F$5:$F$6),""))</f>
        <v>9.5</v>
      </c>
      <c r="R295" s="19">
        <f t="shared" si="163"/>
        <v>20.216000000000001</v>
      </c>
      <c r="S295" s="37">
        <f t="shared" si="164"/>
        <v>103.02935895081967</v>
      </c>
      <c r="T295" s="94" t="str">
        <f t="shared" si="165"/>
        <v>OK</v>
      </c>
      <c r="U295" s="95" t="str">
        <f t="shared" si="166"/>
        <v/>
      </c>
      <c r="V295" s="96">
        <f t="shared" si="167"/>
        <v>0</v>
      </c>
    </row>
    <row r="296" spans="1:22" x14ac:dyDescent="0.2">
      <c r="A296" s="35">
        <v>1</v>
      </c>
      <c r="B296" s="6">
        <v>717</v>
      </c>
      <c r="C296" s="6">
        <v>347</v>
      </c>
      <c r="D296" s="7" t="s">
        <v>483</v>
      </c>
      <c r="E296" s="7" t="s">
        <v>85</v>
      </c>
      <c r="F296" s="8">
        <v>1</v>
      </c>
      <c r="G296" s="8">
        <v>1</v>
      </c>
      <c r="H296" s="8">
        <v>1</v>
      </c>
      <c r="I296" s="8">
        <v>1</v>
      </c>
      <c r="J296" s="8">
        <v>1</v>
      </c>
      <c r="K296" s="16" t="s">
        <v>21</v>
      </c>
      <c r="L296" s="47" t="s">
        <v>224</v>
      </c>
      <c r="M296" s="17">
        <f t="shared" si="160"/>
        <v>0.24879899999999999</v>
      </c>
      <c r="N296" s="18">
        <f t="shared" si="161"/>
        <v>2.1280000000000001</v>
      </c>
      <c r="O296" s="19">
        <f>IF(E296="HERRAJE",IFERROR(_xlfn.XLOOKUP(D296,'⚙️ Configuración Costos'!$A$11:$A$20,'⚙️ Configuración Costos'!$B$11:$B$20),""),IFERROR(_xlfn.XLOOKUP(E296,'⚙️ Configuración Costos'!$A$5:$A$6,'⚙️ Configuración Costos'!$B$5:$B$6),""))</f>
        <v>332.85245901639348</v>
      </c>
      <c r="P296" s="19">
        <f t="shared" si="162"/>
        <v>82.813358950819676</v>
      </c>
      <c r="Q296" s="19">
        <f>IF(E296="HERRAJE",0,IFERROR(_xlfn.XLOOKUP(E296,'⚙️ Configuración Costos'!$E$5:$E$6,'⚙️ Configuración Costos'!$F$5:$F$6),""))</f>
        <v>9.5</v>
      </c>
      <c r="R296" s="19">
        <f t="shared" si="163"/>
        <v>20.216000000000001</v>
      </c>
      <c r="S296" s="37">
        <f t="shared" si="164"/>
        <v>103.02935895081967</v>
      </c>
      <c r="T296" s="94" t="str">
        <f t="shared" si="165"/>
        <v>OK</v>
      </c>
      <c r="U296" s="95" t="str">
        <f t="shared" si="166"/>
        <v/>
      </c>
      <c r="V296" s="96">
        <f t="shared" si="167"/>
        <v>0</v>
      </c>
    </row>
    <row r="297" spans="1:22" x14ac:dyDescent="0.2">
      <c r="A297" s="35">
        <v>4</v>
      </c>
      <c r="B297" s="6">
        <v>0</v>
      </c>
      <c r="C297" s="6">
        <v>0</v>
      </c>
      <c r="D297" s="7" t="s">
        <v>90</v>
      </c>
      <c r="E297" s="7" t="s">
        <v>91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16" t="s">
        <v>21</v>
      </c>
      <c r="L297" s="47" t="s">
        <v>92</v>
      </c>
      <c r="M297" s="17">
        <f t="shared" si="160"/>
        <v>0</v>
      </c>
      <c r="N297" s="18">
        <f t="shared" si="161"/>
        <v>0</v>
      </c>
      <c r="O297" s="19">
        <f>IF(E297="HERRAJE",IFERROR(_xlfn.XLOOKUP(D297,'⚙️ Configuración Costos'!$A$11:$A$20,'⚙️ Configuración Costos'!$B$11:$B$20),""),IFERROR(_xlfn.XLOOKUP(E297,'⚙️ Configuración Costos'!$A$5:$A$6,'⚙️ Configuración Costos'!$B$5:$B$6),""))</f>
        <v>20</v>
      </c>
      <c r="P297" s="19">
        <f t="shared" si="162"/>
        <v>80</v>
      </c>
      <c r="Q297" s="19">
        <f>IF(E297="HERRAJE",0,IFERROR(_xlfn.XLOOKUP(E297,'⚙️ Configuración Costos'!$E$5:$E$6,'⚙️ Configuración Costos'!$F$5:$F$6),""))</f>
        <v>0</v>
      </c>
      <c r="R297" s="19">
        <f t="shared" si="163"/>
        <v>0</v>
      </c>
      <c r="S297" s="37">
        <f t="shared" si="164"/>
        <v>80</v>
      </c>
      <c r="T297" s="94" t="str">
        <f t="shared" si="165"/>
        <v>OK</v>
      </c>
      <c r="U297" s="95" t="str">
        <f t="shared" si="166"/>
        <v/>
      </c>
      <c r="V297" s="96">
        <f t="shared" si="167"/>
        <v>0</v>
      </c>
    </row>
    <row r="298" spans="1:22" x14ac:dyDescent="0.2">
      <c r="A298" s="35">
        <v>2</v>
      </c>
      <c r="B298" s="6">
        <v>0</v>
      </c>
      <c r="C298" s="6">
        <v>0</v>
      </c>
      <c r="D298" s="7" t="s">
        <v>93</v>
      </c>
      <c r="E298" s="7" t="s">
        <v>91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16" t="s">
        <v>21</v>
      </c>
      <c r="L298" s="47" t="s">
        <v>94</v>
      </c>
      <c r="M298" s="17">
        <f t="shared" si="160"/>
        <v>0</v>
      </c>
      <c r="N298" s="18">
        <f t="shared" si="161"/>
        <v>0</v>
      </c>
      <c r="O298" s="19">
        <f>IF(E298="HERRAJE",IFERROR(_xlfn.XLOOKUP(D298,'⚙️ Configuración Costos'!$A$11:$A$20,'⚙️ Configuración Costos'!$B$11:$B$20),""),IFERROR(_xlfn.XLOOKUP(E298,'⚙️ Configuración Costos'!$A$5:$A$6,'⚙️ Configuración Costos'!$B$5:$B$6),""))</f>
        <v>15</v>
      </c>
      <c r="P298" s="19">
        <f t="shared" si="162"/>
        <v>30</v>
      </c>
      <c r="Q298" s="19">
        <f>IF(E298="HERRAJE",0,IFERROR(_xlfn.XLOOKUP(E298,'⚙️ Configuración Costos'!$E$5:$E$6,'⚙️ Configuración Costos'!$F$5:$F$6),""))</f>
        <v>0</v>
      </c>
      <c r="R298" s="19">
        <f t="shared" si="163"/>
        <v>0</v>
      </c>
      <c r="S298" s="37">
        <f t="shared" si="164"/>
        <v>30</v>
      </c>
      <c r="T298" s="94" t="str">
        <f t="shared" si="165"/>
        <v>OK</v>
      </c>
      <c r="U298" s="95" t="str">
        <f t="shared" si="166"/>
        <v/>
      </c>
      <c r="V298" s="96">
        <f t="shared" si="167"/>
        <v>0</v>
      </c>
    </row>
    <row r="299" spans="1:22" x14ac:dyDescent="0.2">
      <c r="A299" s="35">
        <v>4</v>
      </c>
      <c r="B299" s="6">
        <v>0</v>
      </c>
      <c r="C299" s="6">
        <v>0</v>
      </c>
      <c r="D299" s="7" t="s">
        <v>186</v>
      </c>
      <c r="E299" s="7" t="s">
        <v>91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16" t="s">
        <v>21</v>
      </c>
      <c r="L299" s="47" t="s">
        <v>187</v>
      </c>
      <c r="M299" s="17">
        <f t="shared" si="160"/>
        <v>0</v>
      </c>
      <c r="N299" s="18">
        <f t="shared" si="161"/>
        <v>0</v>
      </c>
      <c r="O299" s="19">
        <f>IF(E299="HERRAJE",IFERROR(_xlfn.XLOOKUP(D299,'⚙️ Configuración Costos'!$A$11:$A$20,'⚙️ Configuración Costos'!$B$11:$B$20),""),IFERROR(_xlfn.XLOOKUP(E299,'⚙️ Configuración Costos'!$A$5:$A$6,'⚙️ Configuración Costos'!$B$5:$B$6),""))</f>
        <v>15</v>
      </c>
      <c r="P299" s="19">
        <f t="shared" si="162"/>
        <v>60</v>
      </c>
      <c r="Q299" s="19">
        <f>IF(E299="HERRAJE",0,IFERROR(_xlfn.XLOOKUP(E299,'⚙️ Configuración Costos'!$E$5:$E$6,'⚙️ Configuración Costos'!$F$5:$F$6),""))</f>
        <v>0</v>
      </c>
      <c r="R299" s="19">
        <f t="shared" si="163"/>
        <v>0</v>
      </c>
      <c r="S299" s="37">
        <f t="shared" si="164"/>
        <v>60</v>
      </c>
      <c r="T299" s="94" t="str">
        <f t="shared" si="165"/>
        <v>OK</v>
      </c>
      <c r="U299" s="95" t="str">
        <f t="shared" si="166"/>
        <v/>
      </c>
      <c r="V299" s="96">
        <f t="shared" si="167"/>
        <v>0</v>
      </c>
    </row>
    <row r="300" spans="1:22" x14ac:dyDescent="0.2">
      <c r="A300" s="35">
        <v>4</v>
      </c>
      <c r="B300" s="6">
        <v>0</v>
      </c>
      <c r="C300" s="6">
        <v>0</v>
      </c>
      <c r="D300" s="7" t="s">
        <v>95</v>
      </c>
      <c r="E300" s="7" t="s">
        <v>91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16" t="s">
        <v>21</v>
      </c>
      <c r="L300" s="47" t="s">
        <v>96</v>
      </c>
      <c r="M300" s="17">
        <f t="shared" si="160"/>
        <v>0</v>
      </c>
      <c r="N300" s="18">
        <f t="shared" si="161"/>
        <v>0</v>
      </c>
      <c r="O300" s="19">
        <f>IF(E300="HERRAJE",IFERROR(_xlfn.XLOOKUP(D300,'⚙️ Configuración Costos'!$A$11:$A$20,'⚙️ Configuración Costos'!$B$11:$B$20),""),IFERROR(_xlfn.XLOOKUP(E300,'⚙️ Configuración Costos'!$A$5:$A$6,'⚙️ Configuración Costos'!$B$5:$B$6),""))</f>
        <v>2</v>
      </c>
      <c r="P300" s="19">
        <f t="shared" si="162"/>
        <v>8</v>
      </c>
      <c r="Q300" s="19">
        <f>IF(E300="HERRAJE",0,IFERROR(_xlfn.XLOOKUP(E300,'⚙️ Configuración Costos'!$E$5:$E$6,'⚙️ Configuración Costos'!$F$5:$F$6),""))</f>
        <v>0</v>
      </c>
      <c r="R300" s="19">
        <f t="shared" si="163"/>
        <v>0</v>
      </c>
      <c r="S300" s="37">
        <f t="shared" si="164"/>
        <v>8</v>
      </c>
      <c r="T300" s="94" t="str">
        <f t="shared" si="165"/>
        <v>OK</v>
      </c>
      <c r="U300" s="95" t="str">
        <f t="shared" si="166"/>
        <v/>
      </c>
      <c r="V300" s="96">
        <f t="shared" si="167"/>
        <v>0</v>
      </c>
    </row>
    <row r="301" spans="1:22" x14ac:dyDescent="0.2">
      <c r="A301" s="36">
        <f>4*(IF(LEFT(D288,4)="Base",A288,0)+IF(LEFT(D288,4)="Piso",A288,0)+IF(LEFT(D288,5)="Techo",A288,0)+IF(LEFT(D289,4)="Base",A289,0)+IF(LEFT(D289,4)="Piso",A289,0)+IF(LEFT(D289,5)="Techo",A289,0)+IF(LEFT(D290,4)="Base",A290,0)+IF(LEFT(D290,4)="Piso",A290,0)+IF(LEFT(D290,5)="Techo",A290,0)+IF(LEFT(D291,4)="Base",A291,0)+IF(LEFT(D291,4)="Piso",A291,0)+IF(LEFT(D291,5)="Techo",A291,0)+IF(LEFT(D292,4)="Base",A292,0)+IF(LEFT(D292,4)="Piso",A292,0)+IF(LEFT(D292,5)="Techo",A292,0)+IF(LEFT(D293,4)="Base",A293,0)+IF(LEFT(D293,4)="Piso",A293,0)+IF(LEFT(D293,5)="Techo",A293,0)+IF(LEFT(D294,4)="Base",A294,0)+IF(LEFT(D294,4)="Piso",A294,0)+IF(LEFT(D294,5)="Techo",A294,0)+IF(LEFT(D295,4)="Base",A295,0)+IF(LEFT(D295,4)="Piso",A295,0)+IF(LEFT(D295,5)="Techo",A295,0)+IF(LEFT(D296,4)="Base",A296,0)+IF(LEFT(D296,4)="Piso",A296,0)+IF(LEFT(D296,5)="Techo",A296,0))+10*(IF(LEFT(D288,8)="Respaldo",A288,0)+IF(LEFT(D289,8)="Respaldo",A289,0)+IF(LEFT(D290,8)="Respaldo",A290,0)+IF(LEFT(D291,8)="Respaldo",A291,0)+IF(LEFT(D292,8)="Respaldo",A292,0)+IF(LEFT(D293,8)="Respaldo",A293,0)+IF(LEFT(D294,8)="Respaldo",A294,0)+IF(LEFT(D295,8)="Respaldo",A295,0)+IF(LEFT(D296,8)="Respaldo",A296,0))+2*(IF(LEFT(D288,8)="Manguete",A288,0)+IF(LEFT(D289,8)="Manguete",A289,0)+IF(LEFT(D290,8)="Manguete",A290,0)+IF(LEFT(D291,8)="Manguete",A291,0)+IF(LEFT(D292,8)="Manguete",A292,0)+IF(LEFT(D293,8)="Manguete",A293,0)+IF(LEFT(D294,8)="Manguete",A294,0)+IF(LEFT(D295,8)="Manguete",A295,0)+IF(LEFT(D296,8)="Manguete",A296,0))</f>
        <v>18</v>
      </c>
      <c r="B301" s="20">
        <v>0</v>
      </c>
      <c r="C301" s="20">
        <v>0</v>
      </c>
      <c r="D301" s="21" t="s">
        <v>400</v>
      </c>
      <c r="E301" s="21" t="s">
        <v>91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16" t="s">
        <v>21</v>
      </c>
      <c r="L301" s="48" t="s">
        <v>360</v>
      </c>
      <c r="M301" s="17">
        <f t="shared" si="160"/>
        <v>0</v>
      </c>
      <c r="N301" s="18">
        <f t="shared" si="161"/>
        <v>0</v>
      </c>
      <c r="O301" s="19">
        <f>IF(E301="HERRAJE",IFERROR(_xlfn.XLOOKUP(D301,'⚙️ Configuración Costos'!$A$11:$A$20,'⚙️ Configuración Costos'!$B$11:$B$20),""),IFERROR(_xlfn.XLOOKUP(E301,'⚙️ Configuración Costos'!$A$5:$A$6,'⚙️ Configuración Costos'!$B$5:$B$6),""))</f>
        <v>3</v>
      </c>
      <c r="P301" s="19">
        <f t="shared" si="162"/>
        <v>54</v>
      </c>
      <c r="Q301" s="19">
        <f>IF(E301="HERRAJE",0,IFERROR(_xlfn.XLOOKUP(E301,'⚙️ Configuración Costos'!$E$5:$E$6,'⚙️ Configuración Costos'!$F$5:$F$6),""))</f>
        <v>0</v>
      </c>
      <c r="R301" s="19">
        <f t="shared" si="163"/>
        <v>0</v>
      </c>
      <c r="S301" s="37">
        <f t="shared" si="164"/>
        <v>54</v>
      </c>
      <c r="T301" s="94" t="str">
        <f t="shared" si="165"/>
        <v>OK</v>
      </c>
      <c r="U301" s="95" t="str">
        <f t="shared" si="166"/>
        <v/>
      </c>
      <c r="V301" s="96">
        <f t="shared" si="167"/>
        <v>0</v>
      </c>
    </row>
    <row r="302" spans="1:22" ht="16" thickBot="1" x14ac:dyDescent="0.25">
      <c r="A302" s="36">
        <f>6*(IF(LEFT(D288,4)="Base",A288,0)+IF(LEFT(D288,4)="Piso",A288,0)+IF(LEFT(D288,5)="Techo",A288,0)+IF(LEFT(D289,4)="Base",A289,0)+IF(LEFT(D289,4)="Piso",A289,0)+IF(LEFT(D289,5)="Techo",A289,0)+IF(LEFT(D290,4)="Base",A290,0)+IF(LEFT(D290,4)="Piso",A290,0)+IF(LEFT(D290,5)="Techo",A290,0)+IF(LEFT(D291,4)="Base",A291,0)+IF(LEFT(D291,4)="Piso",A291,0)+IF(LEFT(D291,5)="Techo",A291,0)+IF(LEFT(D292,4)="Base",A292,0)+IF(LEFT(D292,4)="Piso",A292,0)+IF(LEFT(D292,5)="Techo",A292,0)+IF(LEFT(D293,4)="Base",A293,0)+IF(LEFT(D293,4)="Piso",A293,0)+IF(LEFT(D293,5)="Techo",A293,0)+IF(LEFT(D294,4)="Base",A294,0)+IF(LEFT(D294,4)="Piso",A294,0)+IF(LEFT(D294,5)="Techo",A294,0)+IF(LEFT(D295,4)="Base",A295,0)+IF(LEFT(D295,4)="Piso",A295,0)+IF(LEFT(D295,5)="Techo",A295,0)+IF(LEFT(D296,4)="Base",A296,0)+IF(LEFT(D296,4)="Piso",A296,0)+IF(LEFT(D296,5)="Techo",A296,0))+10*(IF(LEFT(D288,8)="Respaldo",A288,0)+IF(LEFT(D289,8)="Respaldo",A289,0)+IF(LEFT(D290,8)="Respaldo",A290,0)+IF(LEFT(D291,8)="Respaldo",A291,0)+IF(LEFT(D292,8)="Respaldo",A292,0)+IF(LEFT(D293,8)="Respaldo",A293,0)+IF(LEFT(D294,8)="Respaldo",A294,0)+IF(LEFT(D295,8)="Respaldo",A295,0)+IF(LEFT(D296,8)="Respaldo",A296,0))+4*(IF(LEFT(D288,8)="Manguete",A288,0)+IF(LEFT(D289,8)="Manguete",A289,0)+IF(LEFT(D290,8)="Manguete",A290,0)+IF(LEFT(D291,8)="Manguete",A291,0)+IF(LEFT(D292,8)="Manguete",A292,0)+IF(LEFT(D293,8)="Manguete",A293,0)+IF(LEFT(D294,8)="Manguete",A294,0)+IF(LEFT(D295,8)="Manguete",A295,0)+IF(LEFT(D296,8)="Manguete",A296,0))</f>
        <v>24</v>
      </c>
      <c r="B302" s="20">
        <v>0</v>
      </c>
      <c r="C302" s="20">
        <v>0</v>
      </c>
      <c r="D302" s="21" t="s">
        <v>468</v>
      </c>
      <c r="E302" s="21" t="s">
        <v>91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16" t="s">
        <v>21</v>
      </c>
      <c r="L302" s="48" t="s">
        <v>361</v>
      </c>
      <c r="M302" s="17">
        <f t="shared" si="160"/>
        <v>0</v>
      </c>
      <c r="N302" s="18">
        <f t="shared" si="161"/>
        <v>0</v>
      </c>
      <c r="O302" s="19">
        <f>IF(E302="HERRAJE",IFERROR(_xlfn.XLOOKUP(D302,'⚙️ Configuración Costos'!$A$11:$A$20,'⚙️ Configuración Costos'!$B$11:$B$20),""),IFERROR(_xlfn.XLOOKUP(E302,'⚙️ Configuración Costos'!$A$5:$A$6,'⚙️ Configuración Costos'!$B$5:$B$6),""))</f>
        <v>1</v>
      </c>
      <c r="P302" s="19">
        <f t="shared" si="162"/>
        <v>24</v>
      </c>
      <c r="Q302" s="19">
        <f>IF(E302="HERRAJE",0,IFERROR(_xlfn.XLOOKUP(E302,'⚙️ Configuración Costos'!$E$5:$E$6,'⚙️ Configuración Costos'!$F$5:$F$6),""))</f>
        <v>0</v>
      </c>
      <c r="R302" s="19">
        <f t="shared" si="163"/>
        <v>0</v>
      </c>
      <c r="S302" s="37">
        <f t="shared" si="164"/>
        <v>24</v>
      </c>
      <c r="T302" s="94" t="str">
        <f t="shared" si="165"/>
        <v>OK</v>
      </c>
      <c r="U302" s="95" t="str">
        <f t="shared" si="166"/>
        <v/>
      </c>
      <c r="V302" s="96">
        <f t="shared" si="167"/>
        <v>0</v>
      </c>
    </row>
    <row r="303" spans="1:22" ht="16" thickTop="1" x14ac:dyDescent="0.2">
      <c r="A303" s="27" t="s">
        <v>99</v>
      </c>
      <c r="B303" s="27"/>
      <c r="C303" s="27"/>
      <c r="D303" s="28"/>
      <c r="E303" s="28"/>
      <c r="F303" s="29"/>
      <c r="G303" s="29"/>
      <c r="H303" s="29"/>
      <c r="I303" s="29"/>
      <c r="J303" s="29"/>
      <c r="K303" s="30"/>
      <c r="L303" s="49"/>
      <c r="M303" s="31">
        <f>SUM(M288:M302)</f>
        <v>2.6701289999999998</v>
      </c>
      <c r="N303" s="32">
        <f>SUM(N288:N302)</f>
        <v>14.139000000000001</v>
      </c>
      <c r="O303" s="33"/>
      <c r="P303" s="33">
        <f>SUM(P288:P302)</f>
        <v>1144.7590035409835</v>
      </c>
      <c r="Q303" s="33"/>
      <c r="R303" s="33">
        <f>SUM(R288:R302)</f>
        <v>134.32050000000001</v>
      </c>
      <c r="S303" s="33">
        <f>SUM(S288:S302)</f>
        <v>1279.0795035409838</v>
      </c>
      <c r="T303" s="97"/>
      <c r="U303" s="98"/>
      <c r="V303" s="99"/>
    </row>
    <row r="304" spans="1:22" x14ac:dyDescent="0.2">
      <c r="A304" s="186" t="s">
        <v>225</v>
      </c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8"/>
      <c r="T304" s="97"/>
      <c r="U304" s="98"/>
      <c r="V304" s="99"/>
    </row>
    <row r="305" spans="1:22" x14ac:dyDescent="0.2">
      <c r="A305" s="35">
        <v>1</v>
      </c>
      <c r="B305" s="6">
        <v>720</v>
      </c>
      <c r="C305" s="6">
        <v>580</v>
      </c>
      <c r="D305" s="7" t="s">
        <v>63</v>
      </c>
      <c r="E305" s="7" t="s">
        <v>85</v>
      </c>
      <c r="F305" s="8">
        <v>1</v>
      </c>
      <c r="G305" s="8">
        <v>1</v>
      </c>
      <c r="H305" s="8">
        <v>1</v>
      </c>
      <c r="I305" s="8">
        <v>1</v>
      </c>
      <c r="J305" s="8">
        <v>1</v>
      </c>
      <c r="K305" s="16" t="s">
        <v>22</v>
      </c>
      <c r="L305" s="47" t="s">
        <v>365</v>
      </c>
      <c r="M305" s="17">
        <f t="shared" ref="M305:M319" si="168">IF(AND(ISNUMBER(B305),ISNUMBER(C305),B305&gt;0,C305&gt;0),A305*(B305*C305/1000000),0)</f>
        <v>0.41760000000000003</v>
      </c>
      <c r="N305" s="18">
        <f t="shared" ref="N305:N319" si="169">IF(AND(ISNUMBER(B305),B305&gt;0),A305*(((G305+H305)*B305+(I305+J305)*C305)/1000),0)</f>
        <v>2.6</v>
      </c>
      <c r="O305" s="19">
        <f>IF(E305="HERRAJE",IFERROR(_xlfn.XLOOKUP(D305,'⚙️ Configuración Costos'!$A$11:$A$20,'⚙️ Configuración Costos'!$B$11:$B$20),""),IFERROR(_xlfn.XLOOKUP(E305,'⚙️ Configuración Costos'!$A$5:$A$6,'⚙️ Configuración Costos'!$B$5:$B$6),""))</f>
        <v>332.85245901639348</v>
      </c>
      <c r="P305" s="19">
        <f t="shared" ref="P305:P319" si="170">IF(E305="HERRAJE",A305*O305,M305*O305)</f>
        <v>138.99918688524593</v>
      </c>
      <c r="Q305" s="19">
        <f>IF(E305="HERRAJE",0,IFERROR(_xlfn.XLOOKUP(E305,'⚙️ Configuración Costos'!$E$5:$E$6,'⚙️ Configuración Costos'!$F$5:$F$6),""))</f>
        <v>9.5</v>
      </c>
      <c r="R305" s="19">
        <f t="shared" ref="R305:R319" si="171">N305*Q305</f>
        <v>24.7</v>
      </c>
      <c r="S305" s="37">
        <f t="shared" ref="S305:S319" si="172">P305+R305</f>
        <v>163.69918688524592</v>
      </c>
      <c r="T305" s="94" t="str">
        <f t="shared" ref="T305:T319" si="173">IF(K305="","SIN ID MÓDULO",IF(E305="HERRAJE",IF(OR(O305="",O305&lt;=0),"SIN PRECIO HERRAJE","OK"),IF(OR(O305="",O305&lt;=0),"SIN PRECIO MATERIAL",IF(AND(N305&gt;0,OR(Q305="",Q305&lt;=0)),"SIN PRECIO CINTILLA","OK"))))</f>
        <v>OK</v>
      </c>
      <c r="U305" s="95" t="str">
        <f t="shared" ref="U305:U319" si="174">IF(T305="OK","",IF(T305="SIN PRECIO HERRAJE","Capturar precio: "&amp;D305,IF(T305="SIN PRECIO MATERIAL","Configurar material: "&amp;E305,IF(T305="SIN PRECIO CINTILLA","Configurar cintilla: "&amp;E305,IF(T305="SIN ID MÓDULO","Revisar ID del módulo","")))))</f>
        <v/>
      </c>
      <c r="V305" s="96">
        <f t="shared" ref="V305:V319" si="175">IF(T305="OK",0,IF(T305="",0,1))</f>
        <v>0</v>
      </c>
    </row>
    <row r="306" spans="1:22" x14ac:dyDescent="0.2">
      <c r="A306" s="35">
        <v>1</v>
      </c>
      <c r="B306" s="6">
        <v>720</v>
      </c>
      <c r="C306" s="6">
        <v>580</v>
      </c>
      <c r="D306" s="7" t="s">
        <v>66</v>
      </c>
      <c r="E306" s="7" t="s">
        <v>85</v>
      </c>
      <c r="F306" s="8">
        <v>1</v>
      </c>
      <c r="G306" s="8">
        <v>1</v>
      </c>
      <c r="H306" s="8">
        <v>1</v>
      </c>
      <c r="I306" s="8">
        <v>1</v>
      </c>
      <c r="J306" s="8">
        <v>1</v>
      </c>
      <c r="K306" s="16" t="s">
        <v>22</v>
      </c>
      <c r="L306" s="47" t="s">
        <v>366</v>
      </c>
      <c r="M306" s="17">
        <f t="shared" si="168"/>
        <v>0.41760000000000003</v>
      </c>
      <c r="N306" s="18">
        <f t="shared" si="169"/>
        <v>2.6</v>
      </c>
      <c r="O306" s="19">
        <f>IF(E306="HERRAJE",IFERROR(_xlfn.XLOOKUP(D306,'⚙️ Configuración Costos'!$A$11:$A$20,'⚙️ Configuración Costos'!$B$11:$B$20),""),IFERROR(_xlfn.XLOOKUP(E306,'⚙️ Configuración Costos'!$A$5:$A$6,'⚙️ Configuración Costos'!$B$5:$B$6),""))</f>
        <v>332.85245901639348</v>
      </c>
      <c r="P306" s="19">
        <f t="shared" si="170"/>
        <v>138.99918688524593</v>
      </c>
      <c r="Q306" s="19">
        <f>IF(E306="HERRAJE",0,IFERROR(_xlfn.XLOOKUP(E306,'⚙️ Configuración Costos'!$E$5:$E$6,'⚙️ Configuración Costos'!$F$5:$F$6),""))</f>
        <v>9.5</v>
      </c>
      <c r="R306" s="19">
        <f t="shared" si="171"/>
        <v>24.7</v>
      </c>
      <c r="S306" s="37">
        <f t="shared" si="172"/>
        <v>163.69918688524592</v>
      </c>
      <c r="T306" s="94" t="str">
        <f t="shared" si="173"/>
        <v>OK</v>
      </c>
      <c r="U306" s="95" t="str">
        <f t="shared" si="174"/>
        <v/>
      </c>
      <c r="V306" s="96">
        <f t="shared" si="175"/>
        <v>0</v>
      </c>
    </row>
    <row r="307" spans="1:22" x14ac:dyDescent="0.2">
      <c r="A307" s="35">
        <v>1</v>
      </c>
      <c r="B307" s="6">
        <v>689</v>
      </c>
      <c r="C307" s="6">
        <v>769</v>
      </c>
      <c r="D307" s="7" t="s">
        <v>169</v>
      </c>
      <c r="E307" s="7" t="s">
        <v>85</v>
      </c>
      <c r="F307" s="8">
        <v>1</v>
      </c>
      <c r="G307" s="8">
        <v>0</v>
      </c>
      <c r="H307" s="8">
        <v>0</v>
      </c>
      <c r="I307" s="8">
        <v>0</v>
      </c>
      <c r="J307" s="8">
        <v>0</v>
      </c>
      <c r="K307" s="16" t="s">
        <v>22</v>
      </c>
      <c r="L307" s="47" t="s">
        <v>226</v>
      </c>
      <c r="M307" s="17">
        <f t="shared" si="168"/>
        <v>0.52984100000000001</v>
      </c>
      <c r="N307" s="18">
        <f t="shared" si="169"/>
        <v>0</v>
      </c>
      <c r="O307" s="19">
        <f>IF(E307="HERRAJE",IFERROR(_xlfn.XLOOKUP(D307,'⚙️ Configuración Costos'!$A$11:$A$20,'⚙️ Configuración Costos'!$B$11:$B$20),""),IFERROR(_xlfn.XLOOKUP(E307,'⚙️ Configuración Costos'!$A$5:$A$6,'⚙️ Configuración Costos'!$B$5:$B$6),""))</f>
        <v>332.85245901639348</v>
      </c>
      <c r="P307" s="19">
        <f t="shared" si="170"/>
        <v>176.35887973770494</v>
      </c>
      <c r="Q307" s="19">
        <f>IF(E307="HERRAJE",0,IFERROR(_xlfn.XLOOKUP(E307,'⚙️ Configuración Costos'!$E$5:$E$6,'⚙️ Configuración Costos'!$F$5:$F$6),""))</f>
        <v>9.5</v>
      </c>
      <c r="R307" s="19">
        <f t="shared" si="171"/>
        <v>0</v>
      </c>
      <c r="S307" s="37">
        <f t="shared" si="172"/>
        <v>176.35887973770494</v>
      </c>
      <c r="T307" s="94" t="str">
        <f t="shared" si="173"/>
        <v>OK</v>
      </c>
      <c r="U307" s="95" t="str">
        <f t="shared" si="174"/>
        <v/>
      </c>
      <c r="V307" s="96">
        <f t="shared" si="175"/>
        <v>0</v>
      </c>
    </row>
    <row r="308" spans="1:22" x14ac:dyDescent="0.2">
      <c r="A308" s="34">
        <v>1</v>
      </c>
      <c r="B308" s="13">
        <v>769</v>
      </c>
      <c r="C308" s="13">
        <v>580</v>
      </c>
      <c r="D308" s="14" t="s">
        <v>171</v>
      </c>
      <c r="E308" s="14" t="s">
        <v>85</v>
      </c>
      <c r="F308" s="15">
        <v>1</v>
      </c>
      <c r="G308" s="15">
        <v>1</v>
      </c>
      <c r="H308" s="15">
        <v>1</v>
      </c>
      <c r="I308" s="15">
        <v>0</v>
      </c>
      <c r="J308" s="15">
        <v>0</v>
      </c>
      <c r="K308" s="16" t="s">
        <v>22</v>
      </c>
      <c r="L308" s="46" t="s">
        <v>372</v>
      </c>
      <c r="M308" s="17">
        <f t="shared" si="168"/>
        <v>0.44602000000000003</v>
      </c>
      <c r="N308" s="18">
        <f t="shared" si="169"/>
        <v>1.538</v>
      </c>
      <c r="O308" s="19">
        <f>IF(E308="HERRAJE",IFERROR(_xlfn.XLOOKUP(D308,'⚙️ Configuración Costos'!$A$11:$A$20,'⚙️ Configuración Costos'!$B$11:$B$20),""),IFERROR(_xlfn.XLOOKUP(E308,'⚙️ Configuración Costos'!$A$5:$A$6,'⚙️ Configuración Costos'!$B$5:$B$6),""))</f>
        <v>332.85245901639348</v>
      </c>
      <c r="P308" s="19">
        <f t="shared" si="170"/>
        <v>148.45885377049183</v>
      </c>
      <c r="Q308" s="19">
        <f>IF(E308="HERRAJE",0,IFERROR(_xlfn.XLOOKUP(E308,'⚙️ Configuración Costos'!$E$5:$E$6,'⚙️ Configuración Costos'!$F$5:$F$6),""))</f>
        <v>9.5</v>
      </c>
      <c r="R308" s="19">
        <f t="shared" si="171"/>
        <v>14.611000000000001</v>
      </c>
      <c r="S308" s="37">
        <f t="shared" si="172"/>
        <v>163.06985377049182</v>
      </c>
      <c r="T308" s="94" t="str">
        <f t="shared" si="173"/>
        <v>OK</v>
      </c>
      <c r="U308" s="95" t="str">
        <f t="shared" si="174"/>
        <v/>
      </c>
      <c r="V308" s="96">
        <f t="shared" si="175"/>
        <v>0</v>
      </c>
    </row>
    <row r="309" spans="1:22" x14ac:dyDescent="0.2">
      <c r="A309" s="35">
        <v>1</v>
      </c>
      <c r="B309" s="6">
        <v>769</v>
      </c>
      <c r="C309" s="6">
        <v>120</v>
      </c>
      <c r="D309" s="7" t="s">
        <v>194</v>
      </c>
      <c r="E309" s="7" t="s">
        <v>85</v>
      </c>
      <c r="F309" s="8">
        <v>1</v>
      </c>
      <c r="G309" s="8">
        <v>1</v>
      </c>
      <c r="H309" s="8">
        <v>1</v>
      </c>
      <c r="I309" s="8">
        <v>0</v>
      </c>
      <c r="J309" s="8">
        <v>0</v>
      </c>
      <c r="K309" s="16" t="s">
        <v>22</v>
      </c>
      <c r="L309" s="47" t="s">
        <v>228</v>
      </c>
      <c r="M309" s="17">
        <f t="shared" si="168"/>
        <v>9.2280000000000001E-2</v>
      </c>
      <c r="N309" s="18">
        <f t="shared" si="169"/>
        <v>1.538</v>
      </c>
      <c r="O309" s="19">
        <f>IF(E309="HERRAJE",IFERROR(_xlfn.XLOOKUP(D309,'⚙️ Configuración Costos'!$A$11:$A$20,'⚙️ Configuración Costos'!$B$11:$B$20),""),IFERROR(_xlfn.XLOOKUP(E309,'⚙️ Configuración Costos'!$A$5:$A$6,'⚙️ Configuración Costos'!$B$5:$B$6),""))</f>
        <v>332.85245901639348</v>
      </c>
      <c r="P309" s="19">
        <f t="shared" si="170"/>
        <v>30.715624918032791</v>
      </c>
      <c r="Q309" s="19">
        <f>IF(E309="HERRAJE",0,IFERROR(_xlfn.XLOOKUP(E309,'⚙️ Configuración Costos'!$E$5:$E$6,'⚙️ Configuración Costos'!$F$5:$F$6),""))</f>
        <v>9.5</v>
      </c>
      <c r="R309" s="19">
        <f t="shared" si="171"/>
        <v>14.611000000000001</v>
      </c>
      <c r="S309" s="37">
        <f t="shared" si="172"/>
        <v>45.326624918032792</v>
      </c>
      <c r="T309" s="94" t="str">
        <f t="shared" si="173"/>
        <v>OK</v>
      </c>
      <c r="U309" s="95" t="str">
        <f t="shared" si="174"/>
        <v/>
      </c>
      <c r="V309" s="96">
        <f t="shared" si="175"/>
        <v>0</v>
      </c>
    </row>
    <row r="310" spans="1:22" x14ac:dyDescent="0.2">
      <c r="A310" s="35">
        <v>1</v>
      </c>
      <c r="B310" s="6">
        <v>769</v>
      </c>
      <c r="C310" s="6">
        <v>120</v>
      </c>
      <c r="D310" s="7" t="s">
        <v>194</v>
      </c>
      <c r="E310" s="7" t="s">
        <v>85</v>
      </c>
      <c r="F310" s="8">
        <v>1</v>
      </c>
      <c r="G310" s="8">
        <v>1</v>
      </c>
      <c r="H310" s="8">
        <v>1</v>
      </c>
      <c r="I310" s="8">
        <v>0</v>
      </c>
      <c r="J310" s="8">
        <v>0</v>
      </c>
      <c r="K310" s="16" t="s">
        <v>22</v>
      </c>
      <c r="L310" s="47" t="s">
        <v>228</v>
      </c>
      <c r="M310" s="17">
        <f t="shared" si="168"/>
        <v>9.2280000000000001E-2</v>
      </c>
      <c r="N310" s="18">
        <f t="shared" si="169"/>
        <v>1.538</v>
      </c>
      <c r="O310" s="19">
        <f>IF(E310="HERRAJE",IFERROR(_xlfn.XLOOKUP(D310,'⚙️ Configuración Costos'!$A$11:$A$20,'⚙️ Configuración Costos'!$B$11:$B$20),""),IFERROR(_xlfn.XLOOKUP(E310,'⚙️ Configuración Costos'!$A$5:$A$6,'⚙️ Configuración Costos'!$B$5:$B$6),""))</f>
        <v>332.85245901639348</v>
      </c>
      <c r="P310" s="19">
        <f t="shared" si="170"/>
        <v>30.715624918032791</v>
      </c>
      <c r="Q310" s="19">
        <f>IF(E310="HERRAJE",0,IFERROR(_xlfn.XLOOKUP(E310,'⚙️ Configuración Costos'!$E$5:$E$6,'⚙️ Configuración Costos'!$F$5:$F$6),""))</f>
        <v>9.5</v>
      </c>
      <c r="R310" s="19">
        <f t="shared" si="171"/>
        <v>14.611000000000001</v>
      </c>
      <c r="S310" s="37">
        <f t="shared" si="172"/>
        <v>45.326624918032792</v>
      </c>
      <c r="T310" s="94" t="str">
        <f t="shared" si="173"/>
        <v>OK</v>
      </c>
      <c r="U310" s="95" t="str">
        <f t="shared" si="174"/>
        <v/>
      </c>
      <c r="V310" s="96">
        <f t="shared" si="175"/>
        <v>0</v>
      </c>
    </row>
    <row r="311" spans="1:22" x14ac:dyDescent="0.2">
      <c r="A311" s="35">
        <v>1</v>
      </c>
      <c r="B311" s="6">
        <v>769</v>
      </c>
      <c r="C311" s="6">
        <v>490</v>
      </c>
      <c r="D311" s="7" t="s">
        <v>479</v>
      </c>
      <c r="E311" s="7" t="s">
        <v>85</v>
      </c>
      <c r="F311" s="8">
        <v>1</v>
      </c>
      <c r="G311" s="8">
        <v>1</v>
      </c>
      <c r="H311" s="8">
        <v>0</v>
      </c>
      <c r="I311" s="8">
        <v>0</v>
      </c>
      <c r="J311" s="8">
        <v>0</v>
      </c>
      <c r="K311" s="16" t="s">
        <v>22</v>
      </c>
      <c r="L311" s="47" t="s">
        <v>229</v>
      </c>
      <c r="M311" s="17">
        <f t="shared" si="168"/>
        <v>0.37680999999999998</v>
      </c>
      <c r="N311" s="18">
        <f t="shared" si="169"/>
        <v>0.76900000000000002</v>
      </c>
      <c r="O311" s="19">
        <f>IF(E311="HERRAJE",IFERROR(_xlfn.XLOOKUP(D311,'⚙️ Configuración Costos'!$A$11:$A$20,'⚙️ Configuración Costos'!$B$11:$B$20),""),IFERROR(_xlfn.XLOOKUP(E311,'⚙️ Configuración Costos'!$A$5:$A$6,'⚙️ Configuración Costos'!$B$5:$B$6),""))</f>
        <v>332.85245901639348</v>
      </c>
      <c r="P311" s="19">
        <f t="shared" si="170"/>
        <v>125.42213508196723</v>
      </c>
      <c r="Q311" s="19">
        <f>IF(E311="HERRAJE",0,IFERROR(_xlfn.XLOOKUP(E311,'⚙️ Configuración Costos'!$E$5:$E$6,'⚙️ Configuración Costos'!$F$5:$F$6),""))</f>
        <v>9.5</v>
      </c>
      <c r="R311" s="19">
        <f t="shared" si="171"/>
        <v>7.3055000000000003</v>
      </c>
      <c r="S311" s="37">
        <f t="shared" si="172"/>
        <v>132.72763508196724</v>
      </c>
      <c r="T311" s="94" t="str">
        <f t="shared" si="173"/>
        <v>OK</v>
      </c>
      <c r="U311" s="95" t="str">
        <f t="shared" si="174"/>
        <v/>
      </c>
      <c r="V311" s="96">
        <f t="shared" si="175"/>
        <v>0</v>
      </c>
    </row>
    <row r="312" spans="1:22" x14ac:dyDescent="0.2">
      <c r="A312" s="35">
        <v>1</v>
      </c>
      <c r="B312" s="6">
        <v>717</v>
      </c>
      <c r="C312" s="6">
        <v>397</v>
      </c>
      <c r="D312" s="7" t="s">
        <v>480</v>
      </c>
      <c r="E312" s="7" t="s">
        <v>85</v>
      </c>
      <c r="F312" s="8">
        <v>1</v>
      </c>
      <c r="G312" s="8">
        <v>1</v>
      </c>
      <c r="H312" s="8">
        <v>1</v>
      </c>
      <c r="I312" s="8">
        <v>1</v>
      </c>
      <c r="J312" s="8">
        <v>1</v>
      </c>
      <c r="K312" s="16" t="s">
        <v>22</v>
      </c>
      <c r="L312" s="47" t="s">
        <v>230</v>
      </c>
      <c r="M312" s="17">
        <f t="shared" si="168"/>
        <v>0.28464899999999999</v>
      </c>
      <c r="N312" s="18">
        <f t="shared" si="169"/>
        <v>2.2280000000000002</v>
      </c>
      <c r="O312" s="19">
        <f>IF(E312="HERRAJE",IFERROR(_xlfn.XLOOKUP(D312,'⚙️ Configuración Costos'!$A$11:$A$20,'⚙️ Configuración Costos'!$B$11:$B$20),""),IFERROR(_xlfn.XLOOKUP(E312,'⚙️ Configuración Costos'!$A$5:$A$6,'⚙️ Configuración Costos'!$B$5:$B$6),""))</f>
        <v>332.85245901639348</v>
      </c>
      <c r="P312" s="19">
        <f t="shared" si="170"/>
        <v>94.746119606557386</v>
      </c>
      <c r="Q312" s="19">
        <f>IF(E312="HERRAJE",0,IFERROR(_xlfn.XLOOKUP(E312,'⚙️ Configuración Costos'!$E$5:$E$6,'⚙️ Configuración Costos'!$F$5:$F$6),""))</f>
        <v>9.5</v>
      </c>
      <c r="R312" s="19">
        <f t="shared" si="171"/>
        <v>21.166</v>
      </c>
      <c r="S312" s="37">
        <f t="shared" si="172"/>
        <v>115.91211960655738</v>
      </c>
      <c r="T312" s="94" t="str">
        <f t="shared" si="173"/>
        <v>OK</v>
      </c>
      <c r="U312" s="95" t="str">
        <f t="shared" si="174"/>
        <v/>
      </c>
      <c r="V312" s="96">
        <f t="shared" si="175"/>
        <v>0</v>
      </c>
    </row>
    <row r="313" spans="1:22" x14ac:dyDescent="0.2">
      <c r="A313" s="35">
        <v>1</v>
      </c>
      <c r="B313" s="6">
        <v>717</v>
      </c>
      <c r="C313" s="6">
        <v>397</v>
      </c>
      <c r="D313" s="7" t="s">
        <v>483</v>
      </c>
      <c r="E313" s="7" t="s">
        <v>85</v>
      </c>
      <c r="F313" s="8">
        <v>1</v>
      </c>
      <c r="G313" s="8">
        <v>1</v>
      </c>
      <c r="H313" s="8">
        <v>1</v>
      </c>
      <c r="I313" s="8">
        <v>1</v>
      </c>
      <c r="J313" s="8">
        <v>1</v>
      </c>
      <c r="K313" s="16" t="s">
        <v>22</v>
      </c>
      <c r="L313" s="47" t="s">
        <v>231</v>
      </c>
      <c r="M313" s="17">
        <f t="shared" si="168"/>
        <v>0.28464899999999999</v>
      </c>
      <c r="N313" s="18">
        <f t="shared" si="169"/>
        <v>2.2280000000000002</v>
      </c>
      <c r="O313" s="19">
        <f>IF(E313="HERRAJE",IFERROR(_xlfn.XLOOKUP(D313,'⚙️ Configuración Costos'!$A$11:$A$20,'⚙️ Configuración Costos'!$B$11:$B$20),""),IFERROR(_xlfn.XLOOKUP(E313,'⚙️ Configuración Costos'!$A$5:$A$6,'⚙️ Configuración Costos'!$B$5:$B$6),""))</f>
        <v>332.85245901639348</v>
      </c>
      <c r="P313" s="19">
        <f t="shared" si="170"/>
        <v>94.746119606557386</v>
      </c>
      <c r="Q313" s="19">
        <f>IF(E313="HERRAJE",0,IFERROR(_xlfn.XLOOKUP(E313,'⚙️ Configuración Costos'!$E$5:$E$6,'⚙️ Configuración Costos'!$F$5:$F$6),""))</f>
        <v>9.5</v>
      </c>
      <c r="R313" s="19">
        <f t="shared" si="171"/>
        <v>21.166</v>
      </c>
      <c r="S313" s="37">
        <f t="shared" si="172"/>
        <v>115.91211960655738</v>
      </c>
      <c r="T313" s="94" t="str">
        <f t="shared" si="173"/>
        <v>OK</v>
      </c>
      <c r="U313" s="95" t="str">
        <f t="shared" si="174"/>
        <v/>
      </c>
      <c r="V313" s="96">
        <f t="shared" si="175"/>
        <v>0</v>
      </c>
    </row>
    <row r="314" spans="1:22" x14ac:dyDescent="0.2">
      <c r="A314" s="35">
        <v>4</v>
      </c>
      <c r="B314" s="6">
        <v>0</v>
      </c>
      <c r="C314" s="6">
        <v>0</v>
      </c>
      <c r="D314" s="7" t="s">
        <v>90</v>
      </c>
      <c r="E314" s="7" t="s">
        <v>91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16" t="s">
        <v>22</v>
      </c>
      <c r="L314" s="47" t="s">
        <v>92</v>
      </c>
      <c r="M314" s="17">
        <f t="shared" si="168"/>
        <v>0</v>
      </c>
      <c r="N314" s="18">
        <f t="shared" si="169"/>
        <v>0</v>
      </c>
      <c r="O314" s="19">
        <f>IF(E314="HERRAJE",IFERROR(_xlfn.XLOOKUP(D314,'⚙️ Configuración Costos'!$A$11:$A$20,'⚙️ Configuración Costos'!$B$11:$B$20),""),IFERROR(_xlfn.XLOOKUP(E314,'⚙️ Configuración Costos'!$A$5:$A$6,'⚙️ Configuración Costos'!$B$5:$B$6),""))</f>
        <v>20</v>
      </c>
      <c r="P314" s="19">
        <f t="shared" si="170"/>
        <v>80</v>
      </c>
      <c r="Q314" s="19">
        <f>IF(E314="HERRAJE",0,IFERROR(_xlfn.XLOOKUP(E314,'⚙️ Configuración Costos'!$E$5:$E$6,'⚙️ Configuración Costos'!$F$5:$F$6),""))</f>
        <v>0</v>
      </c>
      <c r="R314" s="19">
        <f t="shared" si="171"/>
        <v>0</v>
      </c>
      <c r="S314" s="37">
        <f t="shared" si="172"/>
        <v>80</v>
      </c>
      <c r="T314" s="94" t="str">
        <f t="shared" si="173"/>
        <v>OK</v>
      </c>
      <c r="U314" s="95" t="str">
        <f t="shared" si="174"/>
        <v/>
      </c>
      <c r="V314" s="96">
        <f t="shared" si="175"/>
        <v>0</v>
      </c>
    </row>
    <row r="315" spans="1:22" x14ac:dyDescent="0.2">
      <c r="A315" s="35">
        <v>2</v>
      </c>
      <c r="B315" s="6">
        <v>0</v>
      </c>
      <c r="C315" s="6">
        <v>0</v>
      </c>
      <c r="D315" s="7" t="s">
        <v>93</v>
      </c>
      <c r="E315" s="7" t="s">
        <v>91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16" t="s">
        <v>22</v>
      </c>
      <c r="L315" s="47" t="s">
        <v>94</v>
      </c>
      <c r="M315" s="17">
        <f t="shared" si="168"/>
        <v>0</v>
      </c>
      <c r="N315" s="18">
        <f t="shared" si="169"/>
        <v>0</v>
      </c>
      <c r="O315" s="19">
        <f>IF(E315="HERRAJE",IFERROR(_xlfn.XLOOKUP(D315,'⚙️ Configuración Costos'!$A$11:$A$20,'⚙️ Configuración Costos'!$B$11:$B$20),""),IFERROR(_xlfn.XLOOKUP(E315,'⚙️ Configuración Costos'!$A$5:$A$6,'⚙️ Configuración Costos'!$B$5:$B$6),""))</f>
        <v>15</v>
      </c>
      <c r="P315" s="19">
        <f t="shared" si="170"/>
        <v>30</v>
      </c>
      <c r="Q315" s="19">
        <f>IF(E315="HERRAJE",0,IFERROR(_xlfn.XLOOKUP(E315,'⚙️ Configuración Costos'!$E$5:$E$6,'⚙️ Configuración Costos'!$F$5:$F$6),""))</f>
        <v>0</v>
      </c>
      <c r="R315" s="19">
        <f t="shared" si="171"/>
        <v>0</v>
      </c>
      <c r="S315" s="37">
        <f t="shared" si="172"/>
        <v>30</v>
      </c>
      <c r="T315" s="94" t="str">
        <f t="shared" si="173"/>
        <v>OK</v>
      </c>
      <c r="U315" s="95" t="str">
        <f t="shared" si="174"/>
        <v/>
      </c>
      <c r="V315" s="96">
        <f t="shared" si="175"/>
        <v>0</v>
      </c>
    </row>
    <row r="316" spans="1:22" x14ac:dyDescent="0.2">
      <c r="A316" s="35">
        <v>4</v>
      </c>
      <c r="B316" s="6">
        <v>0</v>
      </c>
      <c r="C316" s="6">
        <v>0</v>
      </c>
      <c r="D316" s="7" t="s">
        <v>186</v>
      </c>
      <c r="E316" s="7" t="s">
        <v>91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16" t="s">
        <v>22</v>
      </c>
      <c r="L316" s="47" t="s">
        <v>187</v>
      </c>
      <c r="M316" s="17">
        <f t="shared" si="168"/>
        <v>0</v>
      </c>
      <c r="N316" s="18">
        <f t="shared" si="169"/>
        <v>0</v>
      </c>
      <c r="O316" s="19">
        <f>IF(E316="HERRAJE",IFERROR(_xlfn.XLOOKUP(D316,'⚙️ Configuración Costos'!$A$11:$A$20,'⚙️ Configuración Costos'!$B$11:$B$20),""),IFERROR(_xlfn.XLOOKUP(E316,'⚙️ Configuración Costos'!$A$5:$A$6,'⚙️ Configuración Costos'!$B$5:$B$6),""))</f>
        <v>15</v>
      </c>
      <c r="P316" s="19">
        <f t="shared" si="170"/>
        <v>60</v>
      </c>
      <c r="Q316" s="19">
        <f>IF(E316="HERRAJE",0,IFERROR(_xlfn.XLOOKUP(E316,'⚙️ Configuración Costos'!$E$5:$E$6,'⚙️ Configuración Costos'!$F$5:$F$6),""))</f>
        <v>0</v>
      </c>
      <c r="R316" s="19">
        <f t="shared" si="171"/>
        <v>0</v>
      </c>
      <c r="S316" s="37">
        <f t="shared" si="172"/>
        <v>60</v>
      </c>
      <c r="T316" s="94" t="str">
        <f t="shared" si="173"/>
        <v>OK</v>
      </c>
      <c r="U316" s="95" t="str">
        <f t="shared" si="174"/>
        <v/>
      </c>
      <c r="V316" s="96">
        <f t="shared" si="175"/>
        <v>0</v>
      </c>
    </row>
    <row r="317" spans="1:22" x14ac:dyDescent="0.2">
      <c r="A317" s="35">
        <v>4</v>
      </c>
      <c r="B317" s="6">
        <v>0</v>
      </c>
      <c r="C317" s="6">
        <v>0</v>
      </c>
      <c r="D317" s="7" t="s">
        <v>95</v>
      </c>
      <c r="E317" s="7" t="s">
        <v>91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16" t="s">
        <v>22</v>
      </c>
      <c r="L317" s="47" t="s">
        <v>96</v>
      </c>
      <c r="M317" s="17">
        <f t="shared" si="168"/>
        <v>0</v>
      </c>
      <c r="N317" s="18">
        <f t="shared" si="169"/>
        <v>0</v>
      </c>
      <c r="O317" s="19">
        <f>IF(E317="HERRAJE",IFERROR(_xlfn.XLOOKUP(D317,'⚙️ Configuración Costos'!$A$11:$A$20,'⚙️ Configuración Costos'!$B$11:$B$20),""),IFERROR(_xlfn.XLOOKUP(E317,'⚙️ Configuración Costos'!$A$5:$A$6,'⚙️ Configuración Costos'!$B$5:$B$6),""))</f>
        <v>2</v>
      </c>
      <c r="P317" s="19">
        <f t="shared" si="170"/>
        <v>8</v>
      </c>
      <c r="Q317" s="19">
        <f>IF(E317="HERRAJE",0,IFERROR(_xlfn.XLOOKUP(E317,'⚙️ Configuración Costos'!$E$5:$E$6,'⚙️ Configuración Costos'!$F$5:$F$6),""))</f>
        <v>0</v>
      </c>
      <c r="R317" s="19">
        <f t="shared" si="171"/>
        <v>0</v>
      </c>
      <c r="S317" s="37">
        <f t="shared" si="172"/>
        <v>8</v>
      </c>
      <c r="T317" s="94" t="str">
        <f t="shared" si="173"/>
        <v>OK</v>
      </c>
      <c r="U317" s="95" t="str">
        <f t="shared" si="174"/>
        <v/>
      </c>
      <c r="V317" s="96">
        <f t="shared" si="175"/>
        <v>0</v>
      </c>
    </row>
    <row r="318" spans="1:22" x14ac:dyDescent="0.2">
      <c r="A318" s="36">
        <f>4*(IF(LEFT(D305,4)="Base",A305,0)+IF(LEFT(D305,4)="Piso",A305,0)+IF(LEFT(D305,5)="Techo",A305,0)+IF(LEFT(D306,4)="Base",A306,0)+IF(LEFT(D306,4)="Piso",A306,0)+IF(LEFT(D306,5)="Techo",A306,0)+IF(LEFT(D307,4)="Base",A307,0)+IF(LEFT(D307,4)="Piso",A307,0)+IF(LEFT(D307,5)="Techo",A307,0)+IF(LEFT(D308,4)="Base",A308,0)+IF(LEFT(D308,4)="Piso",A308,0)+IF(LEFT(D308,5)="Techo",A308,0)+IF(LEFT(D309,4)="Base",A309,0)+IF(LEFT(D309,4)="Piso",A309,0)+IF(LEFT(D309,5)="Techo",A309,0)+IF(LEFT(D310,4)="Base",A310,0)+IF(LEFT(D310,4)="Piso",A310,0)+IF(LEFT(D310,5)="Techo",A310,0)+IF(LEFT(D311,4)="Base",A311,0)+IF(LEFT(D311,4)="Piso",A311,0)+IF(LEFT(D311,5)="Techo",A311,0)+IF(LEFT(D312,4)="Base",A312,0)+IF(LEFT(D312,4)="Piso",A312,0)+IF(LEFT(D312,5)="Techo",A312,0)+IF(LEFT(D313,4)="Base",A313,0)+IF(LEFT(D313,4)="Piso",A313,0)+IF(LEFT(D313,5)="Techo",A313,0))+10*(IF(LEFT(D305,8)="Respaldo",A305,0)+IF(LEFT(D306,8)="Respaldo",A306,0)+IF(LEFT(D307,8)="Respaldo",A307,0)+IF(LEFT(D308,8)="Respaldo",A308,0)+IF(LEFT(D309,8)="Respaldo",A309,0)+IF(LEFT(D310,8)="Respaldo",A310,0)+IF(LEFT(D311,8)="Respaldo",A311,0)+IF(LEFT(D312,8)="Respaldo",A312,0)+IF(LEFT(D313,8)="Respaldo",A313,0))+2*(IF(LEFT(D305,8)="Manguete",A305,0)+IF(LEFT(D306,8)="Manguete",A306,0)+IF(LEFT(D307,8)="Manguete",A307,0)+IF(LEFT(D308,8)="Manguete",A308,0)+IF(LEFT(D309,8)="Manguete",A309,0)+IF(LEFT(D310,8)="Manguete",A310,0)+IF(LEFT(D311,8)="Manguete",A311,0)+IF(LEFT(D312,8)="Manguete",A312,0)+IF(LEFT(D313,8)="Manguete",A313,0))</f>
        <v>18</v>
      </c>
      <c r="B318" s="20">
        <v>0</v>
      </c>
      <c r="C318" s="20">
        <v>0</v>
      </c>
      <c r="D318" s="21" t="s">
        <v>400</v>
      </c>
      <c r="E318" s="21" t="s">
        <v>91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16" t="s">
        <v>22</v>
      </c>
      <c r="L318" s="48" t="s">
        <v>360</v>
      </c>
      <c r="M318" s="17">
        <f t="shared" si="168"/>
        <v>0</v>
      </c>
      <c r="N318" s="18">
        <f t="shared" si="169"/>
        <v>0</v>
      </c>
      <c r="O318" s="19">
        <f>IF(E318="HERRAJE",IFERROR(_xlfn.XLOOKUP(D318,'⚙️ Configuración Costos'!$A$11:$A$20,'⚙️ Configuración Costos'!$B$11:$B$20),""),IFERROR(_xlfn.XLOOKUP(E318,'⚙️ Configuración Costos'!$A$5:$A$6,'⚙️ Configuración Costos'!$B$5:$B$6),""))</f>
        <v>3</v>
      </c>
      <c r="P318" s="19">
        <f t="shared" si="170"/>
        <v>54</v>
      </c>
      <c r="Q318" s="19">
        <f>IF(E318="HERRAJE",0,IFERROR(_xlfn.XLOOKUP(E318,'⚙️ Configuración Costos'!$E$5:$E$6,'⚙️ Configuración Costos'!$F$5:$F$6),""))</f>
        <v>0</v>
      </c>
      <c r="R318" s="19">
        <f t="shared" si="171"/>
        <v>0</v>
      </c>
      <c r="S318" s="37">
        <f t="shared" si="172"/>
        <v>54</v>
      </c>
      <c r="T318" s="94" t="str">
        <f t="shared" si="173"/>
        <v>OK</v>
      </c>
      <c r="U318" s="95" t="str">
        <f t="shared" si="174"/>
        <v/>
      </c>
      <c r="V318" s="96">
        <f t="shared" si="175"/>
        <v>0</v>
      </c>
    </row>
    <row r="319" spans="1:22" ht="16" thickBot="1" x14ac:dyDescent="0.25">
      <c r="A319" s="36">
        <f>6*(IF(LEFT(D305,4)="Base",A305,0)+IF(LEFT(D305,4)="Piso",A305,0)+IF(LEFT(D305,5)="Techo",A305,0)+IF(LEFT(D306,4)="Base",A306,0)+IF(LEFT(D306,4)="Piso",A306,0)+IF(LEFT(D306,5)="Techo",A306,0)+IF(LEFT(D307,4)="Base",A307,0)+IF(LEFT(D307,4)="Piso",A307,0)+IF(LEFT(D307,5)="Techo",A307,0)+IF(LEFT(D308,4)="Base",A308,0)+IF(LEFT(D308,4)="Piso",A308,0)+IF(LEFT(D308,5)="Techo",A308,0)+IF(LEFT(D309,4)="Base",A309,0)+IF(LEFT(D309,4)="Piso",A309,0)+IF(LEFT(D309,5)="Techo",A309,0)+IF(LEFT(D310,4)="Base",A310,0)+IF(LEFT(D310,4)="Piso",A310,0)+IF(LEFT(D310,5)="Techo",A310,0)+IF(LEFT(D311,4)="Base",A311,0)+IF(LEFT(D311,4)="Piso",A311,0)+IF(LEFT(D311,5)="Techo",A311,0)+IF(LEFT(D312,4)="Base",A312,0)+IF(LEFT(D312,4)="Piso",A312,0)+IF(LEFT(D312,5)="Techo",A312,0)+IF(LEFT(D313,4)="Base",A313,0)+IF(LEFT(D313,4)="Piso",A313,0)+IF(LEFT(D313,5)="Techo",A313,0))+10*(IF(LEFT(D305,8)="Respaldo",A305,0)+IF(LEFT(D306,8)="Respaldo",A306,0)+IF(LEFT(D307,8)="Respaldo",A307,0)+IF(LEFT(D308,8)="Respaldo",A308,0)+IF(LEFT(D309,8)="Respaldo",A309,0)+IF(LEFT(D310,8)="Respaldo",A310,0)+IF(LEFT(D311,8)="Respaldo",A311,0)+IF(LEFT(D312,8)="Respaldo",A312,0)+IF(LEFT(D313,8)="Respaldo",A313,0))+4*(IF(LEFT(D305,8)="Manguete",A305,0)+IF(LEFT(D306,8)="Manguete",A306,0)+IF(LEFT(D307,8)="Manguete",A307,0)+IF(LEFT(D308,8)="Manguete",A308,0)+IF(LEFT(D309,8)="Manguete",A309,0)+IF(LEFT(D310,8)="Manguete",A310,0)+IF(LEFT(D311,8)="Manguete",A311,0)+IF(LEFT(D312,8)="Manguete",A312,0)+IF(LEFT(D313,8)="Manguete",A313,0))</f>
        <v>24</v>
      </c>
      <c r="B319" s="20">
        <v>0</v>
      </c>
      <c r="C319" s="20">
        <v>0</v>
      </c>
      <c r="D319" s="21" t="s">
        <v>468</v>
      </c>
      <c r="E319" s="21" t="s">
        <v>91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16" t="s">
        <v>22</v>
      </c>
      <c r="L319" s="48" t="s">
        <v>361</v>
      </c>
      <c r="M319" s="17">
        <f t="shared" si="168"/>
        <v>0</v>
      </c>
      <c r="N319" s="18">
        <f t="shared" si="169"/>
        <v>0</v>
      </c>
      <c r="O319" s="19">
        <f>IF(E319="HERRAJE",IFERROR(_xlfn.XLOOKUP(D319,'⚙️ Configuración Costos'!$A$11:$A$20,'⚙️ Configuración Costos'!$B$11:$B$20),""),IFERROR(_xlfn.XLOOKUP(E319,'⚙️ Configuración Costos'!$A$5:$A$6,'⚙️ Configuración Costos'!$B$5:$B$6),""))</f>
        <v>1</v>
      </c>
      <c r="P319" s="19">
        <f t="shared" si="170"/>
        <v>24</v>
      </c>
      <c r="Q319" s="19">
        <f>IF(E319="HERRAJE",0,IFERROR(_xlfn.XLOOKUP(E319,'⚙️ Configuración Costos'!$E$5:$E$6,'⚙️ Configuración Costos'!$F$5:$F$6),""))</f>
        <v>0</v>
      </c>
      <c r="R319" s="19">
        <f t="shared" si="171"/>
        <v>0</v>
      </c>
      <c r="S319" s="37">
        <f t="shared" si="172"/>
        <v>24</v>
      </c>
      <c r="T319" s="94" t="str">
        <f t="shared" si="173"/>
        <v>OK</v>
      </c>
      <c r="U319" s="95" t="str">
        <f t="shared" si="174"/>
        <v/>
      </c>
      <c r="V319" s="96">
        <f t="shared" si="175"/>
        <v>0</v>
      </c>
    </row>
    <row r="320" spans="1:22" ht="16" thickTop="1" x14ac:dyDescent="0.2">
      <c r="A320" s="27" t="s">
        <v>99</v>
      </c>
      <c r="B320" s="27"/>
      <c r="C320" s="27"/>
      <c r="D320" s="28"/>
      <c r="E320" s="28"/>
      <c r="F320" s="29"/>
      <c r="G320" s="29"/>
      <c r="H320" s="29"/>
      <c r="I320" s="29"/>
      <c r="J320" s="29"/>
      <c r="K320" s="30"/>
      <c r="L320" s="49"/>
      <c r="M320" s="31">
        <f>SUM(M305:M319)</f>
        <v>2.941729</v>
      </c>
      <c r="N320" s="32">
        <f>SUM(N305:N319)</f>
        <v>15.039</v>
      </c>
      <c r="O320" s="33"/>
      <c r="P320" s="33">
        <f>SUM(P305:P319)</f>
        <v>1235.1617314098362</v>
      </c>
      <c r="Q320" s="33"/>
      <c r="R320" s="33">
        <f>SUM(R305:R319)</f>
        <v>142.87049999999999</v>
      </c>
      <c r="S320" s="33">
        <f>SUM(S305:S319)</f>
        <v>1378.0322314098362</v>
      </c>
      <c r="T320" s="97"/>
      <c r="U320" s="98"/>
      <c r="V320" s="99"/>
    </row>
    <row r="321" spans="1:22" x14ac:dyDescent="0.2">
      <c r="A321" s="186" t="s">
        <v>232</v>
      </c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8"/>
      <c r="T321" s="97"/>
      <c r="U321" s="98"/>
      <c r="V321" s="99"/>
    </row>
    <row r="322" spans="1:22" x14ac:dyDescent="0.2">
      <c r="A322" s="35">
        <v>1</v>
      </c>
      <c r="B322" s="6">
        <v>720</v>
      </c>
      <c r="C322" s="6">
        <v>580</v>
      </c>
      <c r="D322" s="7" t="s">
        <v>63</v>
      </c>
      <c r="E322" s="7" t="s">
        <v>85</v>
      </c>
      <c r="F322" s="8">
        <v>1</v>
      </c>
      <c r="G322" s="8">
        <v>1</v>
      </c>
      <c r="H322" s="8">
        <v>1</v>
      </c>
      <c r="I322" s="8">
        <v>1</v>
      </c>
      <c r="J322" s="8">
        <v>1</v>
      </c>
      <c r="K322" s="16" t="s">
        <v>23</v>
      </c>
      <c r="L322" s="47" t="s">
        <v>365</v>
      </c>
      <c r="M322" s="17">
        <f t="shared" ref="M322:M336" si="176">IF(AND(ISNUMBER(B322),ISNUMBER(C322),B322&gt;0,C322&gt;0),A322*(B322*C322/1000000),0)</f>
        <v>0.41760000000000003</v>
      </c>
      <c r="N322" s="18">
        <f t="shared" ref="N322:N336" si="177">IF(AND(ISNUMBER(B322),B322&gt;0),A322*(((G322+H322)*B322+(I322+J322)*C322)/1000),0)</f>
        <v>2.6</v>
      </c>
      <c r="O322" s="19">
        <f>IF(E322="HERRAJE",IFERROR(_xlfn.XLOOKUP(D322,'⚙️ Configuración Costos'!$A$11:$A$20,'⚙️ Configuración Costos'!$B$11:$B$20),""),IFERROR(_xlfn.XLOOKUP(E322,'⚙️ Configuración Costos'!$A$5:$A$6,'⚙️ Configuración Costos'!$B$5:$B$6),""))</f>
        <v>332.85245901639348</v>
      </c>
      <c r="P322" s="19">
        <f t="shared" ref="P322:P336" si="178">IF(E322="HERRAJE",A322*O322,M322*O322)</f>
        <v>138.99918688524593</v>
      </c>
      <c r="Q322" s="19">
        <f>IF(E322="HERRAJE",0,IFERROR(_xlfn.XLOOKUP(E322,'⚙️ Configuración Costos'!$E$5:$E$6,'⚙️ Configuración Costos'!$F$5:$F$6),""))</f>
        <v>9.5</v>
      </c>
      <c r="R322" s="19">
        <f t="shared" ref="R322:R336" si="179">N322*Q322</f>
        <v>24.7</v>
      </c>
      <c r="S322" s="37">
        <f t="shared" ref="S322:S336" si="180">P322+R322</f>
        <v>163.69918688524592</v>
      </c>
      <c r="T322" s="94" t="str">
        <f t="shared" ref="T322:T336" si="181">IF(K322="","SIN ID MÓDULO",IF(E322="HERRAJE",IF(OR(O322="",O322&lt;=0),"SIN PRECIO HERRAJE","OK"),IF(OR(O322="",O322&lt;=0),"SIN PRECIO MATERIAL",IF(AND(N322&gt;0,OR(Q322="",Q322&lt;=0)),"SIN PRECIO CINTILLA","OK"))))</f>
        <v>OK</v>
      </c>
      <c r="U322" s="95" t="str">
        <f t="shared" ref="U322:U336" si="182">IF(T322="OK","",IF(T322="SIN PRECIO HERRAJE","Capturar precio: "&amp;D322,IF(T322="SIN PRECIO MATERIAL","Configurar material: "&amp;E322,IF(T322="SIN PRECIO CINTILLA","Configurar cintilla: "&amp;E322,IF(T322="SIN ID MÓDULO","Revisar ID del módulo","")))))</f>
        <v/>
      </c>
      <c r="V322" s="96">
        <f t="shared" ref="V322:V336" si="183">IF(T322="OK",0,IF(T322="",0,1))</f>
        <v>0</v>
      </c>
    </row>
    <row r="323" spans="1:22" x14ac:dyDescent="0.2">
      <c r="A323" s="35">
        <v>1</v>
      </c>
      <c r="B323" s="6">
        <v>720</v>
      </c>
      <c r="C323" s="6">
        <v>580</v>
      </c>
      <c r="D323" s="7" t="s">
        <v>66</v>
      </c>
      <c r="E323" s="7" t="s">
        <v>85</v>
      </c>
      <c r="F323" s="8">
        <v>1</v>
      </c>
      <c r="G323" s="8">
        <v>1</v>
      </c>
      <c r="H323" s="8">
        <v>1</v>
      </c>
      <c r="I323" s="8">
        <v>1</v>
      </c>
      <c r="J323" s="8">
        <v>1</v>
      </c>
      <c r="K323" s="16" t="s">
        <v>23</v>
      </c>
      <c r="L323" s="47" t="s">
        <v>366</v>
      </c>
      <c r="M323" s="17">
        <f t="shared" si="176"/>
        <v>0.41760000000000003</v>
      </c>
      <c r="N323" s="18">
        <f t="shared" si="177"/>
        <v>2.6</v>
      </c>
      <c r="O323" s="19">
        <f>IF(E323="HERRAJE",IFERROR(_xlfn.XLOOKUP(D323,'⚙️ Configuración Costos'!$A$11:$A$20,'⚙️ Configuración Costos'!$B$11:$B$20),""),IFERROR(_xlfn.XLOOKUP(E323,'⚙️ Configuración Costos'!$A$5:$A$6,'⚙️ Configuración Costos'!$B$5:$B$6),""))</f>
        <v>332.85245901639348</v>
      </c>
      <c r="P323" s="19">
        <f t="shared" si="178"/>
        <v>138.99918688524593</v>
      </c>
      <c r="Q323" s="19">
        <f>IF(E323="HERRAJE",0,IFERROR(_xlfn.XLOOKUP(E323,'⚙️ Configuración Costos'!$E$5:$E$6,'⚙️ Configuración Costos'!$F$5:$F$6),""))</f>
        <v>9.5</v>
      </c>
      <c r="R323" s="19">
        <f t="shared" si="179"/>
        <v>24.7</v>
      </c>
      <c r="S323" s="37">
        <f t="shared" si="180"/>
        <v>163.69918688524592</v>
      </c>
      <c r="T323" s="94" t="str">
        <f t="shared" si="181"/>
        <v>OK</v>
      </c>
      <c r="U323" s="95" t="str">
        <f t="shared" si="182"/>
        <v/>
      </c>
      <c r="V323" s="96">
        <f t="shared" si="183"/>
        <v>0</v>
      </c>
    </row>
    <row r="324" spans="1:22" x14ac:dyDescent="0.2">
      <c r="A324" s="35">
        <v>1</v>
      </c>
      <c r="B324" s="6">
        <v>689</v>
      </c>
      <c r="C324" s="6">
        <v>869</v>
      </c>
      <c r="D324" s="7" t="s">
        <v>169</v>
      </c>
      <c r="E324" s="7" t="s">
        <v>85</v>
      </c>
      <c r="F324" s="8">
        <v>1</v>
      </c>
      <c r="G324" s="8">
        <v>0</v>
      </c>
      <c r="H324" s="8">
        <v>0</v>
      </c>
      <c r="I324" s="8">
        <v>0</v>
      </c>
      <c r="J324" s="8">
        <v>0</v>
      </c>
      <c r="K324" s="16" t="s">
        <v>23</v>
      </c>
      <c r="L324" s="47" t="s">
        <v>233</v>
      </c>
      <c r="M324" s="17">
        <f t="shared" si="176"/>
        <v>0.59874099999999997</v>
      </c>
      <c r="N324" s="18">
        <f t="shared" si="177"/>
        <v>0</v>
      </c>
      <c r="O324" s="19">
        <f>IF(E324="HERRAJE",IFERROR(_xlfn.XLOOKUP(D324,'⚙️ Configuración Costos'!$A$11:$A$20,'⚙️ Configuración Costos'!$B$11:$B$20),""),IFERROR(_xlfn.XLOOKUP(E324,'⚙️ Configuración Costos'!$A$5:$A$6,'⚙️ Configuración Costos'!$B$5:$B$6),""))</f>
        <v>332.85245901639348</v>
      </c>
      <c r="P324" s="19">
        <f t="shared" si="178"/>
        <v>199.29241416393444</v>
      </c>
      <c r="Q324" s="19">
        <f>IF(E324="HERRAJE",0,IFERROR(_xlfn.XLOOKUP(E324,'⚙️ Configuración Costos'!$E$5:$E$6,'⚙️ Configuración Costos'!$F$5:$F$6),""))</f>
        <v>9.5</v>
      </c>
      <c r="R324" s="19">
        <f t="shared" si="179"/>
        <v>0</v>
      </c>
      <c r="S324" s="37">
        <f t="shared" si="180"/>
        <v>199.29241416393444</v>
      </c>
      <c r="T324" s="94" t="str">
        <f t="shared" si="181"/>
        <v>OK</v>
      </c>
      <c r="U324" s="95" t="str">
        <f t="shared" si="182"/>
        <v/>
      </c>
      <c r="V324" s="96">
        <f t="shared" si="183"/>
        <v>0</v>
      </c>
    </row>
    <row r="325" spans="1:22" x14ac:dyDescent="0.2">
      <c r="A325" s="34">
        <v>1</v>
      </c>
      <c r="B325" s="13">
        <v>869</v>
      </c>
      <c r="C325" s="13">
        <v>580</v>
      </c>
      <c r="D325" s="14" t="s">
        <v>171</v>
      </c>
      <c r="E325" s="14" t="s">
        <v>85</v>
      </c>
      <c r="F325" s="15">
        <v>1</v>
      </c>
      <c r="G325" s="15">
        <v>1</v>
      </c>
      <c r="H325" s="15">
        <v>1</v>
      </c>
      <c r="I325" s="15">
        <v>0</v>
      </c>
      <c r="J325" s="15">
        <v>0</v>
      </c>
      <c r="K325" s="16" t="s">
        <v>23</v>
      </c>
      <c r="L325" s="46" t="s">
        <v>234</v>
      </c>
      <c r="M325" s="17">
        <f t="shared" si="176"/>
        <v>0.50402000000000002</v>
      </c>
      <c r="N325" s="18">
        <f t="shared" si="177"/>
        <v>1.738</v>
      </c>
      <c r="O325" s="19">
        <f>IF(E325="HERRAJE",IFERROR(_xlfn.XLOOKUP(D325,'⚙️ Configuración Costos'!$A$11:$A$20,'⚙️ Configuración Costos'!$B$11:$B$20),""),IFERROR(_xlfn.XLOOKUP(E325,'⚙️ Configuración Costos'!$A$5:$A$6,'⚙️ Configuración Costos'!$B$5:$B$6),""))</f>
        <v>332.85245901639348</v>
      </c>
      <c r="P325" s="19">
        <f t="shared" si="178"/>
        <v>167.76429639344266</v>
      </c>
      <c r="Q325" s="19">
        <f>IF(E325="HERRAJE",0,IFERROR(_xlfn.XLOOKUP(E325,'⚙️ Configuración Costos'!$E$5:$E$6,'⚙️ Configuración Costos'!$F$5:$F$6),""))</f>
        <v>9.5</v>
      </c>
      <c r="R325" s="19">
        <f t="shared" si="179"/>
        <v>16.510999999999999</v>
      </c>
      <c r="S325" s="37">
        <f t="shared" si="180"/>
        <v>184.27529639344266</v>
      </c>
      <c r="T325" s="94" t="str">
        <f t="shared" si="181"/>
        <v>OK</v>
      </c>
      <c r="U325" s="95" t="str">
        <f t="shared" si="182"/>
        <v/>
      </c>
      <c r="V325" s="96">
        <f t="shared" si="183"/>
        <v>0</v>
      </c>
    </row>
    <row r="326" spans="1:22" x14ac:dyDescent="0.2">
      <c r="A326" s="35">
        <v>1</v>
      </c>
      <c r="B326" s="6">
        <v>869</v>
      </c>
      <c r="C326" s="6">
        <v>120</v>
      </c>
      <c r="D326" s="7" t="s">
        <v>194</v>
      </c>
      <c r="E326" s="7" t="s">
        <v>85</v>
      </c>
      <c r="F326" s="8">
        <v>1</v>
      </c>
      <c r="G326" s="8">
        <v>1</v>
      </c>
      <c r="H326" s="8">
        <v>1</v>
      </c>
      <c r="I326" s="8">
        <v>0</v>
      </c>
      <c r="J326" s="8">
        <v>0</v>
      </c>
      <c r="K326" s="16" t="s">
        <v>23</v>
      </c>
      <c r="L326" s="47" t="s">
        <v>235</v>
      </c>
      <c r="M326" s="17">
        <f t="shared" si="176"/>
        <v>0.10428</v>
      </c>
      <c r="N326" s="18">
        <f t="shared" si="177"/>
        <v>1.738</v>
      </c>
      <c r="O326" s="19">
        <f>IF(E326="HERRAJE",IFERROR(_xlfn.XLOOKUP(D326,'⚙️ Configuración Costos'!$A$11:$A$20,'⚙️ Configuración Costos'!$B$11:$B$20),""),IFERROR(_xlfn.XLOOKUP(E326,'⚙️ Configuración Costos'!$A$5:$A$6,'⚙️ Configuración Costos'!$B$5:$B$6),""))</f>
        <v>332.85245901639348</v>
      </c>
      <c r="P326" s="19">
        <f t="shared" si="178"/>
        <v>34.709854426229512</v>
      </c>
      <c r="Q326" s="19">
        <f>IF(E326="HERRAJE",0,IFERROR(_xlfn.XLOOKUP(E326,'⚙️ Configuración Costos'!$E$5:$E$6,'⚙️ Configuración Costos'!$F$5:$F$6),""))</f>
        <v>9.5</v>
      </c>
      <c r="R326" s="19">
        <f t="shared" si="179"/>
        <v>16.510999999999999</v>
      </c>
      <c r="S326" s="37">
        <f t="shared" si="180"/>
        <v>51.220854426229508</v>
      </c>
      <c r="T326" s="94" t="str">
        <f t="shared" si="181"/>
        <v>OK</v>
      </c>
      <c r="U326" s="95" t="str">
        <f t="shared" si="182"/>
        <v/>
      </c>
      <c r="V326" s="96">
        <f t="shared" si="183"/>
        <v>0</v>
      </c>
    </row>
    <row r="327" spans="1:22" x14ac:dyDescent="0.2">
      <c r="A327" s="35">
        <v>1</v>
      </c>
      <c r="B327" s="6">
        <v>869</v>
      </c>
      <c r="C327" s="6">
        <v>120</v>
      </c>
      <c r="D327" s="7" t="s">
        <v>194</v>
      </c>
      <c r="E327" s="7" t="s">
        <v>85</v>
      </c>
      <c r="F327" s="8">
        <v>1</v>
      </c>
      <c r="G327" s="8">
        <v>1</v>
      </c>
      <c r="H327" s="8">
        <v>1</v>
      </c>
      <c r="I327" s="8">
        <v>0</v>
      </c>
      <c r="J327" s="8">
        <v>0</v>
      </c>
      <c r="K327" s="16" t="s">
        <v>23</v>
      </c>
      <c r="L327" s="47" t="s">
        <v>235</v>
      </c>
      <c r="M327" s="17">
        <f t="shared" si="176"/>
        <v>0.10428</v>
      </c>
      <c r="N327" s="18">
        <f t="shared" si="177"/>
        <v>1.738</v>
      </c>
      <c r="O327" s="19">
        <f>IF(E327="HERRAJE",IFERROR(_xlfn.XLOOKUP(D327,'⚙️ Configuración Costos'!$A$11:$A$20,'⚙️ Configuración Costos'!$B$11:$B$20),""),IFERROR(_xlfn.XLOOKUP(E327,'⚙️ Configuración Costos'!$A$5:$A$6,'⚙️ Configuración Costos'!$B$5:$B$6),""))</f>
        <v>332.85245901639348</v>
      </c>
      <c r="P327" s="19">
        <f t="shared" si="178"/>
        <v>34.709854426229512</v>
      </c>
      <c r="Q327" s="19">
        <f>IF(E327="HERRAJE",0,IFERROR(_xlfn.XLOOKUP(E327,'⚙️ Configuración Costos'!$E$5:$E$6,'⚙️ Configuración Costos'!$F$5:$F$6),""))</f>
        <v>9.5</v>
      </c>
      <c r="R327" s="19">
        <f t="shared" si="179"/>
        <v>16.510999999999999</v>
      </c>
      <c r="S327" s="37">
        <f t="shared" si="180"/>
        <v>51.220854426229508</v>
      </c>
      <c r="T327" s="94" t="str">
        <f t="shared" si="181"/>
        <v>OK</v>
      </c>
      <c r="U327" s="95" t="str">
        <f t="shared" si="182"/>
        <v/>
      </c>
      <c r="V327" s="96">
        <f t="shared" si="183"/>
        <v>0</v>
      </c>
    </row>
    <row r="328" spans="1:22" x14ac:dyDescent="0.2">
      <c r="A328" s="35">
        <v>1</v>
      </c>
      <c r="B328" s="6">
        <v>869</v>
      </c>
      <c r="C328" s="6">
        <v>490</v>
      </c>
      <c r="D328" s="7" t="s">
        <v>479</v>
      </c>
      <c r="E328" s="7" t="s">
        <v>85</v>
      </c>
      <c r="F328" s="8">
        <v>1</v>
      </c>
      <c r="G328" s="8">
        <v>1</v>
      </c>
      <c r="H328" s="8">
        <v>0</v>
      </c>
      <c r="I328" s="8">
        <v>0</v>
      </c>
      <c r="J328" s="8">
        <v>0</v>
      </c>
      <c r="K328" s="16" t="s">
        <v>23</v>
      </c>
      <c r="L328" s="47" t="s">
        <v>236</v>
      </c>
      <c r="M328" s="17">
        <f t="shared" si="176"/>
        <v>0.42581000000000002</v>
      </c>
      <c r="N328" s="18">
        <f t="shared" si="177"/>
        <v>0.86899999999999999</v>
      </c>
      <c r="O328" s="19">
        <f>IF(E328="HERRAJE",IFERROR(_xlfn.XLOOKUP(D328,'⚙️ Configuración Costos'!$A$11:$A$20,'⚙️ Configuración Costos'!$B$11:$B$20),""),IFERROR(_xlfn.XLOOKUP(E328,'⚙️ Configuración Costos'!$A$5:$A$6,'⚙️ Configuración Costos'!$B$5:$B$6),""))</f>
        <v>332.85245901639348</v>
      </c>
      <c r="P328" s="19">
        <f t="shared" si="178"/>
        <v>141.73190557377052</v>
      </c>
      <c r="Q328" s="19">
        <f>IF(E328="HERRAJE",0,IFERROR(_xlfn.XLOOKUP(E328,'⚙️ Configuración Costos'!$E$5:$E$6,'⚙️ Configuración Costos'!$F$5:$F$6),""))</f>
        <v>9.5</v>
      </c>
      <c r="R328" s="19">
        <f t="shared" si="179"/>
        <v>8.2554999999999996</v>
      </c>
      <c r="S328" s="37">
        <f t="shared" si="180"/>
        <v>149.98740557377053</v>
      </c>
      <c r="T328" s="94" t="str">
        <f t="shared" si="181"/>
        <v>OK</v>
      </c>
      <c r="U328" s="95" t="str">
        <f t="shared" si="182"/>
        <v/>
      </c>
      <c r="V328" s="96">
        <f t="shared" si="183"/>
        <v>0</v>
      </c>
    </row>
    <row r="329" spans="1:22" x14ac:dyDescent="0.2">
      <c r="A329" s="35">
        <v>1</v>
      </c>
      <c r="B329" s="6">
        <v>717</v>
      </c>
      <c r="C329" s="6">
        <v>447</v>
      </c>
      <c r="D329" s="7" t="s">
        <v>480</v>
      </c>
      <c r="E329" s="7" t="s">
        <v>85</v>
      </c>
      <c r="F329" s="8">
        <v>1</v>
      </c>
      <c r="G329" s="8">
        <v>1</v>
      </c>
      <c r="H329" s="8">
        <v>1</v>
      </c>
      <c r="I329" s="8">
        <v>1</v>
      </c>
      <c r="J329" s="8">
        <v>1</v>
      </c>
      <c r="K329" s="16" t="s">
        <v>23</v>
      </c>
      <c r="L329" s="47" t="s">
        <v>237</v>
      </c>
      <c r="M329" s="17">
        <f t="shared" si="176"/>
        <v>0.32049899999999998</v>
      </c>
      <c r="N329" s="18">
        <f t="shared" si="177"/>
        <v>2.3279999999999998</v>
      </c>
      <c r="O329" s="19">
        <f>IF(E329="HERRAJE",IFERROR(_xlfn.XLOOKUP(D329,'⚙️ Configuración Costos'!$A$11:$A$20,'⚙️ Configuración Costos'!$B$11:$B$20),""),IFERROR(_xlfn.XLOOKUP(E329,'⚙️ Configuración Costos'!$A$5:$A$6,'⚙️ Configuración Costos'!$B$5:$B$6),""))</f>
        <v>332.85245901639348</v>
      </c>
      <c r="P329" s="19">
        <f t="shared" si="178"/>
        <v>106.67888026229508</v>
      </c>
      <c r="Q329" s="19">
        <f>IF(E329="HERRAJE",0,IFERROR(_xlfn.XLOOKUP(E329,'⚙️ Configuración Costos'!$E$5:$E$6,'⚙️ Configuración Costos'!$F$5:$F$6),""))</f>
        <v>9.5</v>
      </c>
      <c r="R329" s="19">
        <f t="shared" si="179"/>
        <v>22.116</v>
      </c>
      <c r="S329" s="37">
        <f t="shared" si="180"/>
        <v>128.79488026229507</v>
      </c>
      <c r="T329" s="94" t="str">
        <f t="shared" si="181"/>
        <v>OK</v>
      </c>
      <c r="U329" s="95" t="str">
        <f t="shared" si="182"/>
        <v/>
      </c>
      <c r="V329" s="96">
        <f t="shared" si="183"/>
        <v>0</v>
      </c>
    </row>
    <row r="330" spans="1:22" x14ac:dyDescent="0.2">
      <c r="A330" s="35">
        <v>1</v>
      </c>
      <c r="B330" s="6">
        <v>717</v>
      </c>
      <c r="C330" s="6">
        <v>447</v>
      </c>
      <c r="D330" s="7" t="s">
        <v>483</v>
      </c>
      <c r="E330" s="7" t="s">
        <v>85</v>
      </c>
      <c r="F330" s="8">
        <v>1</v>
      </c>
      <c r="G330" s="8">
        <v>1</v>
      </c>
      <c r="H330" s="8">
        <v>1</v>
      </c>
      <c r="I330" s="8">
        <v>1</v>
      </c>
      <c r="J330" s="8">
        <v>1</v>
      </c>
      <c r="K330" s="16" t="s">
        <v>23</v>
      </c>
      <c r="L330" s="47" t="s">
        <v>238</v>
      </c>
      <c r="M330" s="17">
        <f t="shared" si="176"/>
        <v>0.32049899999999998</v>
      </c>
      <c r="N330" s="18">
        <f t="shared" si="177"/>
        <v>2.3279999999999998</v>
      </c>
      <c r="O330" s="19">
        <f>IF(E330="HERRAJE",IFERROR(_xlfn.XLOOKUP(D330,'⚙️ Configuración Costos'!$A$11:$A$20,'⚙️ Configuración Costos'!$B$11:$B$20),""),IFERROR(_xlfn.XLOOKUP(E330,'⚙️ Configuración Costos'!$A$5:$A$6,'⚙️ Configuración Costos'!$B$5:$B$6),""))</f>
        <v>332.85245901639348</v>
      </c>
      <c r="P330" s="19">
        <f t="shared" si="178"/>
        <v>106.67888026229508</v>
      </c>
      <c r="Q330" s="19">
        <f>IF(E330="HERRAJE",0,IFERROR(_xlfn.XLOOKUP(E330,'⚙️ Configuración Costos'!$E$5:$E$6,'⚙️ Configuración Costos'!$F$5:$F$6),""))</f>
        <v>9.5</v>
      </c>
      <c r="R330" s="19">
        <f t="shared" si="179"/>
        <v>22.116</v>
      </c>
      <c r="S330" s="37">
        <f t="shared" si="180"/>
        <v>128.79488026229507</v>
      </c>
      <c r="T330" s="94" t="str">
        <f t="shared" si="181"/>
        <v>OK</v>
      </c>
      <c r="U330" s="95" t="str">
        <f t="shared" si="182"/>
        <v/>
      </c>
      <c r="V330" s="96">
        <f t="shared" si="183"/>
        <v>0</v>
      </c>
    </row>
    <row r="331" spans="1:22" x14ac:dyDescent="0.2">
      <c r="A331" s="35">
        <v>4</v>
      </c>
      <c r="B331" s="6">
        <v>0</v>
      </c>
      <c r="C331" s="6">
        <v>0</v>
      </c>
      <c r="D331" s="7" t="s">
        <v>90</v>
      </c>
      <c r="E331" s="7" t="s">
        <v>91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6" t="s">
        <v>23</v>
      </c>
      <c r="L331" s="47" t="s">
        <v>92</v>
      </c>
      <c r="M331" s="17">
        <f t="shared" si="176"/>
        <v>0</v>
      </c>
      <c r="N331" s="18">
        <f t="shared" si="177"/>
        <v>0</v>
      </c>
      <c r="O331" s="19">
        <f>IF(E331="HERRAJE",IFERROR(_xlfn.XLOOKUP(D331,'⚙️ Configuración Costos'!$A$11:$A$20,'⚙️ Configuración Costos'!$B$11:$B$20),""),IFERROR(_xlfn.XLOOKUP(E331,'⚙️ Configuración Costos'!$A$5:$A$6,'⚙️ Configuración Costos'!$B$5:$B$6),""))</f>
        <v>20</v>
      </c>
      <c r="P331" s="19">
        <f t="shared" si="178"/>
        <v>80</v>
      </c>
      <c r="Q331" s="19">
        <f>IF(E331="HERRAJE",0,IFERROR(_xlfn.XLOOKUP(E331,'⚙️ Configuración Costos'!$E$5:$E$6,'⚙️ Configuración Costos'!$F$5:$F$6),""))</f>
        <v>0</v>
      </c>
      <c r="R331" s="19">
        <f t="shared" si="179"/>
        <v>0</v>
      </c>
      <c r="S331" s="37">
        <f t="shared" si="180"/>
        <v>80</v>
      </c>
      <c r="T331" s="94" t="str">
        <f t="shared" si="181"/>
        <v>OK</v>
      </c>
      <c r="U331" s="95" t="str">
        <f t="shared" si="182"/>
        <v/>
      </c>
      <c r="V331" s="96">
        <f t="shared" si="183"/>
        <v>0</v>
      </c>
    </row>
    <row r="332" spans="1:22" x14ac:dyDescent="0.2">
      <c r="A332" s="35">
        <v>2</v>
      </c>
      <c r="B332" s="6">
        <v>0</v>
      </c>
      <c r="C332" s="6">
        <v>0</v>
      </c>
      <c r="D332" s="7" t="s">
        <v>93</v>
      </c>
      <c r="E332" s="7" t="s">
        <v>91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16" t="s">
        <v>23</v>
      </c>
      <c r="L332" s="47" t="s">
        <v>94</v>
      </c>
      <c r="M332" s="17">
        <f t="shared" si="176"/>
        <v>0</v>
      </c>
      <c r="N332" s="18">
        <f t="shared" si="177"/>
        <v>0</v>
      </c>
      <c r="O332" s="19">
        <f>IF(E332="HERRAJE",IFERROR(_xlfn.XLOOKUP(D332,'⚙️ Configuración Costos'!$A$11:$A$20,'⚙️ Configuración Costos'!$B$11:$B$20),""),IFERROR(_xlfn.XLOOKUP(E332,'⚙️ Configuración Costos'!$A$5:$A$6,'⚙️ Configuración Costos'!$B$5:$B$6),""))</f>
        <v>15</v>
      </c>
      <c r="P332" s="19">
        <f t="shared" si="178"/>
        <v>30</v>
      </c>
      <c r="Q332" s="19">
        <f>IF(E332="HERRAJE",0,IFERROR(_xlfn.XLOOKUP(E332,'⚙️ Configuración Costos'!$E$5:$E$6,'⚙️ Configuración Costos'!$F$5:$F$6),""))</f>
        <v>0</v>
      </c>
      <c r="R332" s="19">
        <f t="shared" si="179"/>
        <v>0</v>
      </c>
      <c r="S332" s="37">
        <f t="shared" si="180"/>
        <v>30</v>
      </c>
      <c r="T332" s="94" t="str">
        <f t="shared" si="181"/>
        <v>OK</v>
      </c>
      <c r="U332" s="95" t="str">
        <f t="shared" si="182"/>
        <v/>
      </c>
      <c r="V332" s="96">
        <f t="shared" si="183"/>
        <v>0</v>
      </c>
    </row>
    <row r="333" spans="1:22" x14ac:dyDescent="0.2">
      <c r="A333" s="35">
        <v>4</v>
      </c>
      <c r="B333" s="6">
        <v>0</v>
      </c>
      <c r="C333" s="6">
        <v>0</v>
      </c>
      <c r="D333" s="7" t="s">
        <v>186</v>
      </c>
      <c r="E333" s="7" t="s">
        <v>91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16" t="s">
        <v>23</v>
      </c>
      <c r="L333" s="47" t="s">
        <v>187</v>
      </c>
      <c r="M333" s="17">
        <f t="shared" si="176"/>
        <v>0</v>
      </c>
      <c r="N333" s="18">
        <f t="shared" si="177"/>
        <v>0</v>
      </c>
      <c r="O333" s="19">
        <f>IF(E333="HERRAJE",IFERROR(_xlfn.XLOOKUP(D333,'⚙️ Configuración Costos'!$A$11:$A$20,'⚙️ Configuración Costos'!$B$11:$B$20),""),IFERROR(_xlfn.XLOOKUP(E333,'⚙️ Configuración Costos'!$A$5:$A$6,'⚙️ Configuración Costos'!$B$5:$B$6),""))</f>
        <v>15</v>
      </c>
      <c r="P333" s="19">
        <f t="shared" si="178"/>
        <v>60</v>
      </c>
      <c r="Q333" s="19">
        <f>IF(E333="HERRAJE",0,IFERROR(_xlfn.XLOOKUP(E333,'⚙️ Configuración Costos'!$E$5:$E$6,'⚙️ Configuración Costos'!$F$5:$F$6),""))</f>
        <v>0</v>
      </c>
      <c r="R333" s="19">
        <f t="shared" si="179"/>
        <v>0</v>
      </c>
      <c r="S333" s="37">
        <f t="shared" si="180"/>
        <v>60</v>
      </c>
      <c r="T333" s="94" t="str">
        <f t="shared" si="181"/>
        <v>OK</v>
      </c>
      <c r="U333" s="95" t="str">
        <f t="shared" si="182"/>
        <v/>
      </c>
      <c r="V333" s="96">
        <f t="shared" si="183"/>
        <v>0</v>
      </c>
    </row>
    <row r="334" spans="1:22" x14ac:dyDescent="0.2">
      <c r="A334" s="35">
        <v>4</v>
      </c>
      <c r="B334" s="6">
        <v>0</v>
      </c>
      <c r="C334" s="6">
        <v>0</v>
      </c>
      <c r="D334" s="7" t="s">
        <v>95</v>
      </c>
      <c r="E334" s="7" t="s">
        <v>91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16" t="s">
        <v>23</v>
      </c>
      <c r="L334" s="47" t="s">
        <v>96</v>
      </c>
      <c r="M334" s="17">
        <f t="shared" si="176"/>
        <v>0</v>
      </c>
      <c r="N334" s="18">
        <f t="shared" si="177"/>
        <v>0</v>
      </c>
      <c r="O334" s="19">
        <f>IF(E334="HERRAJE",IFERROR(_xlfn.XLOOKUP(D334,'⚙️ Configuración Costos'!$A$11:$A$20,'⚙️ Configuración Costos'!$B$11:$B$20),""),IFERROR(_xlfn.XLOOKUP(E334,'⚙️ Configuración Costos'!$A$5:$A$6,'⚙️ Configuración Costos'!$B$5:$B$6),""))</f>
        <v>2</v>
      </c>
      <c r="P334" s="19">
        <f t="shared" si="178"/>
        <v>8</v>
      </c>
      <c r="Q334" s="19">
        <f>IF(E334="HERRAJE",0,IFERROR(_xlfn.XLOOKUP(E334,'⚙️ Configuración Costos'!$E$5:$E$6,'⚙️ Configuración Costos'!$F$5:$F$6),""))</f>
        <v>0</v>
      </c>
      <c r="R334" s="19">
        <f t="shared" si="179"/>
        <v>0</v>
      </c>
      <c r="S334" s="37">
        <f t="shared" si="180"/>
        <v>8</v>
      </c>
      <c r="T334" s="94" t="str">
        <f t="shared" si="181"/>
        <v>OK</v>
      </c>
      <c r="U334" s="95" t="str">
        <f t="shared" si="182"/>
        <v/>
      </c>
      <c r="V334" s="96">
        <f t="shared" si="183"/>
        <v>0</v>
      </c>
    </row>
    <row r="335" spans="1:22" x14ac:dyDescent="0.2">
      <c r="A335" s="36">
        <f>4*(IF(LEFT(D322,4)="Base",A322,0)+IF(LEFT(D322,4)="Piso",A322,0)+IF(LEFT(D322,5)="Techo",A322,0)+IF(LEFT(D323,4)="Base",A323,0)+IF(LEFT(D323,4)="Piso",A323,0)+IF(LEFT(D323,5)="Techo",A323,0)+IF(LEFT(D324,4)="Base",A324,0)+IF(LEFT(D324,4)="Piso",A324,0)+IF(LEFT(D324,5)="Techo",A324,0)+IF(LEFT(D325,4)="Base",A325,0)+IF(LEFT(D325,4)="Piso",A325,0)+IF(LEFT(D325,5)="Techo",A325,0)+IF(LEFT(D326,4)="Base",A326,0)+IF(LEFT(D326,4)="Piso",A326,0)+IF(LEFT(D326,5)="Techo",A326,0)+IF(LEFT(D327,4)="Base",A327,0)+IF(LEFT(D327,4)="Piso",A327,0)+IF(LEFT(D327,5)="Techo",A327,0)+IF(LEFT(D328,4)="Base",A328,0)+IF(LEFT(D328,4)="Piso",A328,0)+IF(LEFT(D328,5)="Techo",A328,0)+IF(LEFT(D329,4)="Base",A329,0)+IF(LEFT(D329,4)="Piso",A329,0)+IF(LEFT(D329,5)="Techo",A329,0)+IF(LEFT(D330,4)="Base",A330,0)+IF(LEFT(D330,4)="Piso",A330,0)+IF(LEFT(D330,5)="Techo",A330,0))+10*(IF(LEFT(D322,8)="Respaldo",A322,0)+IF(LEFT(D323,8)="Respaldo",A323,0)+IF(LEFT(D324,8)="Respaldo",A324,0)+IF(LEFT(D325,8)="Respaldo",A325,0)+IF(LEFT(D326,8)="Respaldo",A326,0)+IF(LEFT(D327,8)="Respaldo",A327,0)+IF(LEFT(D328,8)="Respaldo",A328,0)+IF(LEFT(D329,8)="Respaldo",A329,0)+IF(LEFT(D330,8)="Respaldo",A330,0))+2*(IF(LEFT(D322,8)="Manguete",A322,0)+IF(LEFT(D323,8)="Manguete",A323,0)+IF(LEFT(D324,8)="Manguete",A324,0)+IF(LEFT(D325,8)="Manguete",A325,0)+IF(LEFT(D326,8)="Manguete",A326,0)+IF(LEFT(D327,8)="Manguete",A327,0)+IF(LEFT(D328,8)="Manguete",A328,0)+IF(LEFT(D329,8)="Manguete",A329,0)+IF(LEFT(D330,8)="Manguete",A330,0))</f>
        <v>18</v>
      </c>
      <c r="B335" s="20">
        <v>0</v>
      </c>
      <c r="C335" s="20">
        <v>0</v>
      </c>
      <c r="D335" s="21" t="s">
        <v>400</v>
      </c>
      <c r="E335" s="21" t="s">
        <v>91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16" t="s">
        <v>23</v>
      </c>
      <c r="L335" s="48" t="s">
        <v>360</v>
      </c>
      <c r="M335" s="17">
        <f t="shared" si="176"/>
        <v>0</v>
      </c>
      <c r="N335" s="18">
        <f t="shared" si="177"/>
        <v>0</v>
      </c>
      <c r="O335" s="19">
        <f>IF(E335="HERRAJE",IFERROR(_xlfn.XLOOKUP(D335,'⚙️ Configuración Costos'!$A$11:$A$20,'⚙️ Configuración Costos'!$B$11:$B$20),""),IFERROR(_xlfn.XLOOKUP(E335,'⚙️ Configuración Costos'!$A$5:$A$6,'⚙️ Configuración Costos'!$B$5:$B$6),""))</f>
        <v>3</v>
      </c>
      <c r="P335" s="19">
        <f t="shared" si="178"/>
        <v>54</v>
      </c>
      <c r="Q335" s="19">
        <f>IF(E335="HERRAJE",0,IFERROR(_xlfn.XLOOKUP(E335,'⚙️ Configuración Costos'!$E$5:$E$6,'⚙️ Configuración Costos'!$F$5:$F$6),""))</f>
        <v>0</v>
      </c>
      <c r="R335" s="19">
        <f t="shared" si="179"/>
        <v>0</v>
      </c>
      <c r="S335" s="37">
        <f t="shared" si="180"/>
        <v>54</v>
      </c>
      <c r="T335" s="94" t="str">
        <f t="shared" si="181"/>
        <v>OK</v>
      </c>
      <c r="U335" s="95" t="str">
        <f t="shared" si="182"/>
        <v/>
      </c>
      <c r="V335" s="96">
        <f t="shared" si="183"/>
        <v>0</v>
      </c>
    </row>
    <row r="336" spans="1:22" ht="16" thickBot="1" x14ac:dyDescent="0.25">
      <c r="A336" s="36">
        <f>6*(IF(LEFT(D322,4)="Base",A322,0)+IF(LEFT(D322,4)="Piso",A322,0)+IF(LEFT(D322,5)="Techo",A322,0)+IF(LEFT(D323,4)="Base",A323,0)+IF(LEFT(D323,4)="Piso",A323,0)+IF(LEFT(D323,5)="Techo",A323,0)+IF(LEFT(D324,4)="Base",A324,0)+IF(LEFT(D324,4)="Piso",A324,0)+IF(LEFT(D324,5)="Techo",A324,0)+IF(LEFT(D325,4)="Base",A325,0)+IF(LEFT(D325,4)="Piso",A325,0)+IF(LEFT(D325,5)="Techo",A325,0)+IF(LEFT(D326,4)="Base",A326,0)+IF(LEFT(D326,4)="Piso",A326,0)+IF(LEFT(D326,5)="Techo",A326,0)+IF(LEFT(D327,4)="Base",A327,0)+IF(LEFT(D327,4)="Piso",A327,0)+IF(LEFT(D327,5)="Techo",A327,0)+IF(LEFT(D328,4)="Base",A328,0)+IF(LEFT(D328,4)="Piso",A328,0)+IF(LEFT(D328,5)="Techo",A328,0)+IF(LEFT(D329,4)="Base",A329,0)+IF(LEFT(D329,4)="Piso",A329,0)+IF(LEFT(D329,5)="Techo",A329,0)+IF(LEFT(D330,4)="Base",A330,0)+IF(LEFT(D330,4)="Piso",A330,0)+IF(LEFT(D330,5)="Techo",A330,0))+10*(IF(LEFT(D322,8)="Respaldo",A322,0)+IF(LEFT(D323,8)="Respaldo",A323,0)+IF(LEFT(D324,8)="Respaldo",A324,0)+IF(LEFT(D325,8)="Respaldo",A325,0)+IF(LEFT(D326,8)="Respaldo",A326,0)+IF(LEFT(D327,8)="Respaldo",A327,0)+IF(LEFT(D328,8)="Respaldo",A328,0)+IF(LEFT(D329,8)="Respaldo",A329,0)+IF(LEFT(D330,8)="Respaldo",A330,0))+4*(IF(LEFT(D322,8)="Manguete",A322,0)+IF(LEFT(D323,8)="Manguete",A323,0)+IF(LEFT(D324,8)="Manguete",A324,0)+IF(LEFT(D325,8)="Manguete",A325,0)+IF(LEFT(D326,8)="Manguete",A326,0)+IF(LEFT(D327,8)="Manguete",A327,0)+IF(LEFT(D328,8)="Manguete",A328,0)+IF(LEFT(D329,8)="Manguete",A329,0)+IF(LEFT(D330,8)="Manguete",A330,0))</f>
        <v>24</v>
      </c>
      <c r="B336" s="20">
        <v>0</v>
      </c>
      <c r="C336" s="20">
        <v>0</v>
      </c>
      <c r="D336" s="21" t="s">
        <v>468</v>
      </c>
      <c r="E336" s="21" t="s">
        <v>91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16" t="s">
        <v>23</v>
      </c>
      <c r="L336" s="48" t="s">
        <v>361</v>
      </c>
      <c r="M336" s="17">
        <f t="shared" si="176"/>
        <v>0</v>
      </c>
      <c r="N336" s="18">
        <f t="shared" si="177"/>
        <v>0</v>
      </c>
      <c r="O336" s="19">
        <f>IF(E336="HERRAJE",IFERROR(_xlfn.XLOOKUP(D336,'⚙️ Configuración Costos'!$A$11:$A$20,'⚙️ Configuración Costos'!$B$11:$B$20),""),IFERROR(_xlfn.XLOOKUP(E336,'⚙️ Configuración Costos'!$A$5:$A$6,'⚙️ Configuración Costos'!$B$5:$B$6),""))</f>
        <v>1</v>
      </c>
      <c r="P336" s="19">
        <f t="shared" si="178"/>
        <v>24</v>
      </c>
      <c r="Q336" s="19">
        <f>IF(E336="HERRAJE",0,IFERROR(_xlfn.XLOOKUP(E336,'⚙️ Configuración Costos'!$E$5:$E$6,'⚙️ Configuración Costos'!$F$5:$F$6),""))</f>
        <v>0</v>
      </c>
      <c r="R336" s="19">
        <f t="shared" si="179"/>
        <v>0</v>
      </c>
      <c r="S336" s="37">
        <f t="shared" si="180"/>
        <v>24</v>
      </c>
      <c r="T336" s="94" t="str">
        <f t="shared" si="181"/>
        <v>OK</v>
      </c>
      <c r="U336" s="95" t="str">
        <f t="shared" si="182"/>
        <v/>
      </c>
      <c r="V336" s="96">
        <f t="shared" si="183"/>
        <v>0</v>
      </c>
    </row>
    <row r="337" spans="1:22" ht="16" thickTop="1" x14ac:dyDescent="0.2">
      <c r="A337" s="27" t="s">
        <v>99</v>
      </c>
      <c r="B337" s="27"/>
      <c r="C337" s="27"/>
      <c r="D337" s="28"/>
      <c r="E337" s="28"/>
      <c r="F337" s="29"/>
      <c r="G337" s="29"/>
      <c r="H337" s="29"/>
      <c r="I337" s="29"/>
      <c r="J337" s="29"/>
      <c r="K337" s="30"/>
      <c r="L337" s="49"/>
      <c r="M337" s="31">
        <f>SUM(M322:M336)</f>
        <v>3.2133289999999999</v>
      </c>
      <c r="N337" s="32">
        <f>SUM(N322:N336)</f>
        <v>15.938999999999998</v>
      </c>
      <c r="O337" s="33"/>
      <c r="P337" s="33">
        <f>SUM(P322:P336)</f>
        <v>1325.5644592786887</v>
      </c>
      <c r="Q337" s="33"/>
      <c r="R337" s="33">
        <f>SUM(R322:R336)</f>
        <v>151.4205</v>
      </c>
      <c r="S337" s="33">
        <f>SUM(S322:S336)</f>
        <v>1476.9849592786884</v>
      </c>
      <c r="T337" s="97"/>
      <c r="U337" s="98"/>
      <c r="V337" s="99"/>
    </row>
    <row r="338" spans="1:22" x14ac:dyDescent="0.2">
      <c r="A338" s="186" t="s">
        <v>239</v>
      </c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8"/>
      <c r="T338" s="97"/>
      <c r="U338" s="98"/>
      <c r="V338" s="99"/>
    </row>
    <row r="339" spans="1:22" x14ac:dyDescent="0.2">
      <c r="A339" s="34">
        <v>1</v>
      </c>
      <c r="B339" s="13">
        <v>720</v>
      </c>
      <c r="C339" s="13">
        <v>580</v>
      </c>
      <c r="D339" s="14" t="s">
        <v>63</v>
      </c>
      <c r="E339" s="14" t="s">
        <v>85</v>
      </c>
      <c r="F339" s="15">
        <v>1</v>
      </c>
      <c r="G339" s="15">
        <v>1</v>
      </c>
      <c r="H339" s="15">
        <v>1</v>
      </c>
      <c r="I339" s="15">
        <v>1</v>
      </c>
      <c r="J339" s="15">
        <v>1</v>
      </c>
      <c r="K339" s="16" t="s">
        <v>24</v>
      </c>
      <c r="L339" s="46" t="s">
        <v>365</v>
      </c>
      <c r="M339" s="17">
        <f t="shared" ref="M339:M356" si="184">IF(AND(ISNUMBER(B339),ISNUMBER(C339),B339&gt;0,C339&gt;0),A339*(B339*C339/1000000),0)</f>
        <v>0.41760000000000003</v>
      </c>
      <c r="N339" s="18">
        <f t="shared" ref="N339:N356" si="185">IF(AND(ISNUMBER(B339),B339&gt;0),A339*(((G339+H339)*B339+(I339+J339)*C339)/1000),0)</f>
        <v>2.6</v>
      </c>
      <c r="O339" s="19">
        <f>IF(E339="HERRAJE",IFERROR(_xlfn.XLOOKUP(D339,'⚙️ Configuración Costos'!$A$11:$A$20,'⚙️ Configuración Costos'!$B$11:$B$20),""),IFERROR(_xlfn.XLOOKUP(E339,'⚙️ Configuración Costos'!$A$5:$A$6,'⚙️ Configuración Costos'!$B$5:$B$6),""))</f>
        <v>332.85245901639348</v>
      </c>
      <c r="P339" s="19">
        <f t="shared" ref="P339:P356" si="186">IF(E339="HERRAJE",A339*O339,M339*O339)</f>
        <v>138.99918688524593</v>
      </c>
      <c r="Q339" s="19">
        <f>IF(E339="HERRAJE",0,IFERROR(_xlfn.XLOOKUP(E339,'⚙️ Configuración Costos'!$E$5:$E$6,'⚙️ Configuración Costos'!$F$5:$F$6),""))</f>
        <v>9.5</v>
      </c>
      <c r="R339" s="19">
        <f t="shared" ref="R339:R356" si="187">N339*Q339</f>
        <v>24.7</v>
      </c>
      <c r="S339" s="37">
        <f t="shared" ref="S339:S356" si="188">P339+R339</f>
        <v>163.69918688524592</v>
      </c>
      <c r="T339" s="94" t="str">
        <f t="shared" ref="T339:T356" si="189">IF(K339="","SIN ID MÓDULO",IF(E339="HERRAJE",IF(OR(O339="",O339&lt;=0),"SIN PRECIO HERRAJE","OK"),IF(OR(O339="",O339&lt;=0),"SIN PRECIO MATERIAL",IF(AND(N339&gt;0,OR(Q339="",Q339&lt;=0)),"SIN PRECIO CINTILLA","OK"))))</f>
        <v>OK</v>
      </c>
      <c r="U339" s="95" t="str">
        <f t="shared" ref="U339:U356" si="190">IF(T339="OK","",IF(T339="SIN PRECIO HERRAJE","Capturar precio: "&amp;D339,IF(T339="SIN PRECIO MATERIAL","Configurar material: "&amp;E339,IF(T339="SIN PRECIO CINTILLA","Configurar cintilla: "&amp;E339,IF(T339="SIN ID MÓDULO","Revisar ID del módulo","")))))</f>
        <v/>
      </c>
      <c r="V339" s="96">
        <f t="shared" ref="V339:V356" si="191">IF(T339="OK",0,IF(T339="",0,1))</f>
        <v>0</v>
      </c>
    </row>
    <row r="340" spans="1:22" x14ac:dyDescent="0.2">
      <c r="A340" s="35">
        <v>1</v>
      </c>
      <c r="B340" s="6">
        <v>720</v>
      </c>
      <c r="C340" s="6">
        <v>580</v>
      </c>
      <c r="D340" s="7" t="s">
        <v>66</v>
      </c>
      <c r="E340" s="7" t="s">
        <v>85</v>
      </c>
      <c r="F340" s="8">
        <v>1</v>
      </c>
      <c r="G340" s="8">
        <v>1</v>
      </c>
      <c r="H340" s="8">
        <v>1</v>
      </c>
      <c r="I340" s="8">
        <v>1</v>
      </c>
      <c r="J340" s="8">
        <v>1</v>
      </c>
      <c r="K340" s="16" t="s">
        <v>24</v>
      </c>
      <c r="L340" s="47" t="s">
        <v>366</v>
      </c>
      <c r="M340" s="17">
        <f t="shared" si="184"/>
        <v>0.41760000000000003</v>
      </c>
      <c r="N340" s="18">
        <f t="shared" si="185"/>
        <v>2.6</v>
      </c>
      <c r="O340" s="19">
        <f>IF(E340="HERRAJE",IFERROR(_xlfn.XLOOKUP(D340,'⚙️ Configuración Costos'!$A$11:$A$20,'⚙️ Configuración Costos'!$B$11:$B$20),""),IFERROR(_xlfn.XLOOKUP(E340,'⚙️ Configuración Costos'!$A$5:$A$6,'⚙️ Configuración Costos'!$B$5:$B$6),""))</f>
        <v>332.85245901639348</v>
      </c>
      <c r="P340" s="19">
        <f t="shared" si="186"/>
        <v>138.99918688524593</v>
      </c>
      <c r="Q340" s="19">
        <f>IF(E340="HERRAJE",0,IFERROR(_xlfn.XLOOKUP(E340,'⚙️ Configuración Costos'!$E$5:$E$6,'⚙️ Configuración Costos'!$F$5:$F$6),""))</f>
        <v>9.5</v>
      </c>
      <c r="R340" s="19">
        <f t="shared" si="187"/>
        <v>24.7</v>
      </c>
      <c r="S340" s="37">
        <f t="shared" si="188"/>
        <v>163.69918688524592</v>
      </c>
      <c r="T340" s="94" t="str">
        <f t="shared" si="189"/>
        <v>OK</v>
      </c>
      <c r="U340" s="95" t="str">
        <f t="shared" si="190"/>
        <v/>
      </c>
      <c r="V340" s="96">
        <f t="shared" si="191"/>
        <v>0</v>
      </c>
    </row>
    <row r="341" spans="1:22" x14ac:dyDescent="0.2">
      <c r="A341" s="35">
        <v>1</v>
      </c>
      <c r="B341" s="6">
        <v>369</v>
      </c>
      <c r="C341" s="6">
        <v>580</v>
      </c>
      <c r="D341" s="7" t="s">
        <v>171</v>
      </c>
      <c r="E341" s="7" t="s">
        <v>85</v>
      </c>
      <c r="F341" s="8">
        <v>1</v>
      </c>
      <c r="G341" s="8">
        <v>0</v>
      </c>
      <c r="H341" s="8">
        <v>0</v>
      </c>
      <c r="I341" s="8">
        <v>1</v>
      </c>
      <c r="J341" s="8">
        <v>1</v>
      </c>
      <c r="K341" s="16" t="s">
        <v>24</v>
      </c>
      <c r="L341" s="47" t="s">
        <v>368</v>
      </c>
      <c r="M341" s="17">
        <f t="shared" si="184"/>
        <v>0.21401999999999999</v>
      </c>
      <c r="N341" s="18">
        <f t="shared" si="185"/>
        <v>1.1599999999999999</v>
      </c>
      <c r="O341" s="19">
        <f>IF(E341="HERRAJE",IFERROR(_xlfn.XLOOKUP(D341,'⚙️ Configuración Costos'!$A$11:$A$20,'⚙️ Configuración Costos'!$B$11:$B$20),""),IFERROR(_xlfn.XLOOKUP(E341,'⚙️ Configuración Costos'!$A$5:$A$6,'⚙️ Configuración Costos'!$B$5:$B$6),""))</f>
        <v>332.85245901639348</v>
      </c>
      <c r="P341" s="19">
        <f t="shared" si="186"/>
        <v>71.23708327868853</v>
      </c>
      <c r="Q341" s="19">
        <f>IF(E341="HERRAJE",0,IFERROR(_xlfn.XLOOKUP(E341,'⚙️ Configuración Costos'!$E$5:$E$6,'⚙️ Configuración Costos'!$F$5:$F$6),""))</f>
        <v>9.5</v>
      </c>
      <c r="R341" s="19">
        <f t="shared" si="187"/>
        <v>11.02</v>
      </c>
      <c r="S341" s="37">
        <f t="shared" si="188"/>
        <v>82.257083278688526</v>
      </c>
      <c r="T341" s="94" t="str">
        <f t="shared" si="189"/>
        <v>OK</v>
      </c>
      <c r="U341" s="95" t="str">
        <f t="shared" si="190"/>
        <v/>
      </c>
      <c r="V341" s="96">
        <f t="shared" si="191"/>
        <v>0</v>
      </c>
    </row>
    <row r="342" spans="1:22" x14ac:dyDescent="0.2">
      <c r="A342" s="35">
        <v>2</v>
      </c>
      <c r="B342" s="6">
        <v>369</v>
      </c>
      <c r="C342" s="6">
        <v>120</v>
      </c>
      <c r="D342" s="7" t="s">
        <v>194</v>
      </c>
      <c r="E342" s="7" t="s">
        <v>85</v>
      </c>
      <c r="F342" s="8">
        <v>1</v>
      </c>
      <c r="G342" s="8">
        <v>1</v>
      </c>
      <c r="H342" s="8">
        <v>1</v>
      </c>
      <c r="I342" s="8">
        <v>0</v>
      </c>
      <c r="J342" s="8">
        <v>0</v>
      </c>
      <c r="K342" s="16" t="s">
        <v>24</v>
      </c>
      <c r="L342" s="47" t="s">
        <v>202</v>
      </c>
      <c r="M342" s="17">
        <f t="shared" si="184"/>
        <v>8.856E-2</v>
      </c>
      <c r="N342" s="18">
        <f t="shared" si="185"/>
        <v>1.476</v>
      </c>
      <c r="O342" s="19">
        <f>IF(E342="HERRAJE",IFERROR(_xlfn.XLOOKUP(D342,'⚙️ Configuración Costos'!$A$11:$A$20,'⚙️ Configuración Costos'!$B$11:$B$20),""),IFERROR(_xlfn.XLOOKUP(E342,'⚙️ Configuración Costos'!$A$5:$A$6,'⚙️ Configuración Costos'!$B$5:$B$6),""))</f>
        <v>332.85245901639348</v>
      </c>
      <c r="P342" s="19">
        <f t="shared" si="186"/>
        <v>29.477413770491808</v>
      </c>
      <c r="Q342" s="19">
        <f>IF(E342="HERRAJE",0,IFERROR(_xlfn.XLOOKUP(E342,'⚙️ Configuración Costos'!$E$5:$E$6,'⚙️ Configuración Costos'!$F$5:$F$6),""))</f>
        <v>9.5</v>
      </c>
      <c r="R342" s="19">
        <f t="shared" si="187"/>
        <v>14.022</v>
      </c>
      <c r="S342" s="37">
        <f t="shared" si="188"/>
        <v>43.499413770491806</v>
      </c>
      <c r="T342" s="94" t="str">
        <f t="shared" si="189"/>
        <v>OK</v>
      </c>
      <c r="U342" s="95" t="str">
        <f t="shared" si="190"/>
        <v/>
      </c>
      <c r="V342" s="96">
        <f t="shared" si="191"/>
        <v>0</v>
      </c>
    </row>
    <row r="343" spans="1:22" x14ac:dyDescent="0.2">
      <c r="A343" s="35">
        <v>2</v>
      </c>
      <c r="B343" s="6">
        <v>369</v>
      </c>
      <c r="C343" s="6">
        <v>120</v>
      </c>
      <c r="D343" s="7" t="s">
        <v>240</v>
      </c>
      <c r="E343" s="7" t="s">
        <v>85</v>
      </c>
      <c r="F343" s="8">
        <v>1</v>
      </c>
      <c r="G343" s="8">
        <v>1</v>
      </c>
      <c r="H343" s="8">
        <v>1</v>
      </c>
      <c r="I343" s="8">
        <v>0</v>
      </c>
      <c r="J343" s="8">
        <v>0</v>
      </c>
      <c r="K343" s="16" t="s">
        <v>24</v>
      </c>
      <c r="L343" s="47" t="s">
        <v>241</v>
      </c>
      <c r="M343" s="17">
        <f t="shared" si="184"/>
        <v>8.856E-2</v>
      </c>
      <c r="N343" s="18">
        <f t="shared" si="185"/>
        <v>1.476</v>
      </c>
      <c r="O343" s="19">
        <f>IF(E343="HERRAJE",IFERROR(_xlfn.XLOOKUP(D343,'⚙️ Configuración Costos'!$A$11:$A$20,'⚙️ Configuración Costos'!$B$11:$B$20),""),IFERROR(_xlfn.XLOOKUP(E343,'⚙️ Configuración Costos'!$A$5:$A$6,'⚙️ Configuración Costos'!$B$5:$B$6),""))</f>
        <v>332.85245901639348</v>
      </c>
      <c r="P343" s="19">
        <f t="shared" si="186"/>
        <v>29.477413770491808</v>
      </c>
      <c r="Q343" s="19">
        <f>IF(E343="HERRAJE",0,IFERROR(_xlfn.XLOOKUP(E343,'⚙️ Configuración Costos'!$E$5:$E$6,'⚙️ Configuración Costos'!$F$5:$F$6),""))</f>
        <v>9.5</v>
      </c>
      <c r="R343" s="19">
        <f t="shared" si="187"/>
        <v>14.022</v>
      </c>
      <c r="S343" s="37">
        <f t="shared" si="188"/>
        <v>43.499413770491806</v>
      </c>
      <c r="T343" s="94" t="str">
        <f t="shared" si="189"/>
        <v>OK</v>
      </c>
      <c r="U343" s="95" t="str">
        <f t="shared" si="190"/>
        <v/>
      </c>
      <c r="V343" s="96">
        <f t="shared" si="191"/>
        <v>0</v>
      </c>
    </row>
    <row r="344" spans="1:22" x14ac:dyDescent="0.2">
      <c r="A344" s="35">
        <v>2</v>
      </c>
      <c r="B344" s="6">
        <v>500</v>
      </c>
      <c r="C344" s="6">
        <v>230</v>
      </c>
      <c r="D344" s="7" t="s">
        <v>484</v>
      </c>
      <c r="E344" s="7" t="s">
        <v>85</v>
      </c>
      <c r="F344" s="8">
        <v>1</v>
      </c>
      <c r="G344" s="8">
        <v>1</v>
      </c>
      <c r="H344" s="8">
        <v>1</v>
      </c>
      <c r="I344" s="8">
        <v>1</v>
      </c>
      <c r="J344" s="8">
        <v>1</v>
      </c>
      <c r="K344" s="16" t="s">
        <v>24</v>
      </c>
      <c r="L344" s="47" t="s">
        <v>243</v>
      </c>
      <c r="M344" s="17">
        <f t="shared" si="184"/>
        <v>0.23</v>
      </c>
      <c r="N344" s="18">
        <f t="shared" si="185"/>
        <v>2.92</v>
      </c>
      <c r="O344" s="19">
        <f>IF(E344="HERRAJE",IFERROR(_xlfn.XLOOKUP(D344,'⚙️ Configuración Costos'!$A$11:$A$20,'⚙️ Configuración Costos'!$B$11:$B$20),""),IFERROR(_xlfn.XLOOKUP(E344,'⚙️ Configuración Costos'!$A$5:$A$6,'⚙️ Configuración Costos'!$B$5:$B$6),""))</f>
        <v>332.85245901639348</v>
      </c>
      <c r="P344" s="19">
        <f t="shared" si="186"/>
        <v>76.55606557377051</v>
      </c>
      <c r="Q344" s="19">
        <f>IF(E344="HERRAJE",0,IFERROR(_xlfn.XLOOKUP(E344,'⚙️ Configuración Costos'!$E$5:$E$6,'⚙️ Configuración Costos'!$F$5:$F$6),""))</f>
        <v>9.5</v>
      </c>
      <c r="R344" s="19">
        <f t="shared" si="187"/>
        <v>27.74</v>
      </c>
      <c r="S344" s="37">
        <f t="shared" si="188"/>
        <v>104.29606557377051</v>
      </c>
      <c r="T344" s="94" t="str">
        <f t="shared" si="189"/>
        <v>OK</v>
      </c>
      <c r="U344" s="95" t="str">
        <f t="shared" si="190"/>
        <v/>
      </c>
      <c r="V344" s="96">
        <f t="shared" si="191"/>
        <v>0</v>
      </c>
    </row>
    <row r="345" spans="1:22" x14ac:dyDescent="0.2">
      <c r="A345" s="35">
        <v>4</v>
      </c>
      <c r="B345" s="6">
        <v>500</v>
      </c>
      <c r="C345" s="6">
        <v>100</v>
      </c>
      <c r="D345" s="7" t="s">
        <v>484</v>
      </c>
      <c r="E345" s="7" t="s">
        <v>85</v>
      </c>
      <c r="F345" s="8">
        <v>1</v>
      </c>
      <c r="G345" s="8">
        <v>1</v>
      </c>
      <c r="H345" s="8">
        <v>1</v>
      </c>
      <c r="I345" s="8">
        <v>1</v>
      </c>
      <c r="J345" s="8">
        <v>1</v>
      </c>
      <c r="K345" s="16" t="s">
        <v>24</v>
      </c>
      <c r="L345" s="47" t="s">
        <v>244</v>
      </c>
      <c r="M345" s="17">
        <f t="shared" si="184"/>
        <v>0.2</v>
      </c>
      <c r="N345" s="18">
        <f t="shared" si="185"/>
        <v>4.8</v>
      </c>
      <c r="O345" s="19">
        <f>IF(E345="HERRAJE",IFERROR(_xlfn.XLOOKUP(D345,'⚙️ Configuración Costos'!$A$11:$A$20,'⚙️ Configuración Costos'!$B$11:$B$20),""),IFERROR(_xlfn.XLOOKUP(E345,'⚙️ Configuración Costos'!$A$5:$A$6,'⚙️ Configuración Costos'!$B$5:$B$6),""))</f>
        <v>332.85245901639348</v>
      </c>
      <c r="P345" s="19">
        <f t="shared" si="186"/>
        <v>66.570491803278699</v>
      </c>
      <c r="Q345" s="19">
        <f>IF(E345="HERRAJE",0,IFERROR(_xlfn.XLOOKUP(E345,'⚙️ Configuración Costos'!$E$5:$E$6,'⚙️ Configuración Costos'!$F$5:$F$6),""))</f>
        <v>9.5</v>
      </c>
      <c r="R345" s="19">
        <f t="shared" si="187"/>
        <v>45.6</v>
      </c>
      <c r="S345" s="37">
        <f t="shared" si="188"/>
        <v>112.17049180327871</v>
      </c>
      <c r="T345" s="94" t="str">
        <f t="shared" si="189"/>
        <v>OK</v>
      </c>
      <c r="U345" s="95" t="str">
        <f t="shared" si="190"/>
        <v/>
      </c>
      <c r="V345" s="96">
        <f t="shared" si="191"/>
        <v>0</v>
      </c>
    </row>
    <row r="346" spans="1:22" x14ac:dyDescent="0.2">
      <c r="A346" s="35">
        <v>3</v>
      </c>
      <c r="B346" s="6">
        <v>312</v>
      </c>
      <c r="C346" s="6">
        <v>469</v>
      </c>
      <c r="D346" s="7" t="s">
        <v>485</v>
      </c>
      <c r="E346" s="7" t="s">
        <v>85</v>
      </c>
      <c r="F346" s="8">
        <v>1</v>
      </c>
      <c r="G346" s="8">
        <v>0</v>
      </c>
      <c r="H346" s="8">
        <v>0</v>
      </c>
      <c r="I346" s="8">
        <v>0</v>
      </c>
      <c r="J346" s="8">
        <v>0</v>
      </c>
      <c r="K346" s="16" t="s">
        <v>24</v>
      </c>
      <c r="L346" s="47" t="s">
        <v>246</v>
      </c>
      <c r="M346" s="17">
        <f t="shared" si="184"/>
        <v>0.43898400000000004</v>
      </c>
      <c r="N346" s="18">
        <f t="shared" si="185"/>
        <v>0</v>
      </c>
      <c r="O346" s="19">
        <f>IF(E346="HERRAJE",IFERROR(_xlfn.XLOOKUP(D346,'⚙️ Configuración Costos'!$A$11:$A$20,'⚙️ Configuración Costos'!$B$11:$B$20),""),IFERROR(_xlfn.XLOOKUP(E346,'⚙️ Configuración Costos'!$A$5:$A$6,'⚙️ Configuración Costos'!$B$5:$B$6),""))</f>
        <v>332.85245901639348</v>
      </c>
      <c r="P346" s="19">
        <f t="shared" si="186"/>
        <v>146.11690386885249</v>
      </c>
      <c r="Q346" s="19">
        <f>IF(E346="HERRAJE",0,IFERROR(_xlfn.XLOOKUP(E346,'⚙️ Configuración Costos'!$E$5:$E$6,'⚙️ Configuración Costos'!$F$5:$F$6),""))</f>
        <v>9.5</v>
      </c>
      <c r="R346" s="19">
        <f t="shared" si="187"/>
        <v>0</v>
      </c>
      <c r="S346" s="37">
        <f t="shared" si="188"/>
        <v>146.11690386885249</v>
      </c>
      <c r="T346" s="94" t="str">
        <f t="shared" si="189"/>
        <v>OK</v>
      </c>
      <c r="U346" s="95" t="str">
        <f t="shared" si="190"/>
        <v/>
      </c>
      <c r="V346" s="96">
        <f t="shared" si="191"/>
        <v>0</v>
      </c>
    </row>
    <row r="347" spans="1:22" x14ac:dyDescent="0.2">
      <c r="A347" s="35">
        <v>2</v>
      </c>
      <c r="B347" s="6">
        <v>312</v>
      </c>
      <c r="C347" s="6">
        <v>230</v>
      </c>
      <c r="D347" s="7" t="s">
        <v>486</v>
      </c>
      <c r="E347" s="7" t="s">
        <v>85</v>
      </c>
      <c r="F347" s="8">
        <v>1</v>
      </c>
      <c r="G347" s="8">
        <v>1</v>
      </c>
      <c r="H347" s="8">
        <v>1</v>
      </c>
      <c r="I347" s="8">
        <v>0</v>
      </c>
      <c r="J347" s="8">
        <v>0</v>
      </c>
      <c r="K347" s="16" t="s">
        <v>24</v>
      </c>
      <c r="L347" s="47" t="s">
        <v>248</v>
      </c>
      <c r="M347" s="17">
        <f t="shared" si="184"/>
        <v>0.14352000000000001</v>
      </c>
      <c r="N347" s="18">
        <f t="shared" si="185"/>
        <v>1.248</v>
      </c>
      <c r="O347" s="19">
        <f>IF(E347="HERRAJE",IFERROR(_xlfn.XLOOKUP(D347,'⚙️ Configuración Costos'!$A$11:$A$20,'⚙️ Configuración Costos'!$B$11:$B$20),""),IFERROR(_xlfn.XLOOKUP(E347,'⚙️ Configuración Costos'!$A$5:$A$6,'⚙️ Configuración Costos'!$B$5:$B$6),""))</f>
        <v>332.85245901639348</v>
      </c>
      <c r="P347" s="19">
        <f t="shared" si="186"/>
        <v>47.770984918032795</v>
      </c>
      <c r="Q347" s="19">
        <f>IF(E347="HERRAJE",0,IFERROR(_xlfn.XLOOKUP(E347,'⚙️ Configuración Costos'!$E$5:$E$6,'⚙️ Configuración Costos'!$F$5:$F$6),""))</f>
        <v>9.5</v>
      </c>
      <c r="R347" s="19">
        <f t="shared" si="187"/>
        <v>11.856</v>
      </c>
      <c r="S347" s="37">
        <f t="shared" si="188"/>
        <v>59.626984918032797</v>
      </c>
      <c r="T347" s="94" t="str">
        <f t="shared" si="189"/>
        <v>OK</v>
      </c>
      <c r="U347" s="95" t="str">
        <f t="shared" si="190"/>
        <v/>
      </c>
      <c r="V347" s="96">
        <f t="shared" si="191"/>
        <v>0</v>
      </c>
    </row>
    <row r="348" spans="1:22" x14ac:dyDescent="0.2">
      <c r="A348" s="35">
        <v>4</v>
      </c>
      <c r="B348" s="6">
        <v>312</v>
      </c>
      <c r="C348" s="6">
        <v>100</v>
      </c>
      <c r="D348" s="7" t="s">
        <v>486</v>
      </c>
      <c r="E348" s="7" t="s">
        <v>85</v>
      </c>
      <c r="F348" s="8">
        <v>1</v>
      </c>
      <c r="G348" s="8">
        <v>1</v>
      </c>
      <c r="H348" s="8">
        <v>1</v>
      </c>
      <c r="I348" s="8">
        <v>0</v>
      </c>
      <c r="J348" s="8">
        <v>0</v>
      </c>
      <c r="K348" s="16" t="s">
        <v>24</v>
      </c>
      <c r="L348" s="47" t="s">
        <v>249</v>
      </c>
      <c r="M348" s="17">
        <f t="shared" si="184"/>
        <v>0.12479999999999999</v>
      </c>
      <c r="N348" s="18">
        <f t="shared" si="185"/>
        <v>2.496</v>
      </c>
      <c r="O348" s="19">
        <f>IF(E348="HERRAJE",IFERROR(_xlfn.XLOOKUP(D348,'⚙️ Configuración Costos'!$A$11:$A$20,'⚙️ Configuración Costos'!$B$11:$B$20),""),IFERROR(_xlfn.XLOOKUP(E348,'⚙️ Configuración Costos'!$A$5:$A$6,'⚙️ Configuración Costos'!$B$5:$B$6),""))</f>
        <v>332.85245901639348</v>
      </c>
      <c r="P348" s="19">
        <f t="shared" si="186"/>
        <v>41.539986885245902</v>
      </c>
      <c r="Q348" s="19">
        <f>IF(E348="HERRAJE",0,IFERROR(_xlfn.XLOOKUP(E348,'⚙️ Configuración Costos'!$E$5:$E$6,'⚙️ Configuración Costos'!$F$5:$F$6),""))</f>
        <v>9.5</v>
      </c>
      <c r="R348" s="19">
        <f t="shared" si="187"/>
        <v>23.712</v>
      </c>
      <c r="S348" s="37">
        <f t="shared" si="188"/>
        <v>65.251986885245898</v>
      </c>
      <c r="T348" s="94" t="str">
        <f t="shared" si="189"/>
        <v>OK</v>
      </c>
      <c r="U348" s="95" t="str">
        <f t="shared" si="190"/>
        <v/>
      </c>
      <c r="V348" s="96">
        <f t="shared" si="191"/>
        <v>0</v>
      </c>
    </row>
    <row r="349" spans="1:22" x14ac:dyDescent="0.2">
      <c r="A349" s="35">
        <v>1</v>
      </c>
      <c r="B349" s="6">
        <v>396</v>
      </c>
      <c r="C349" s="6">
        <v>356</v>
      </c>
      <c r="D349" s="7" t="s">
        <v>250</v>
      </c>
      <c r="E349" s="7" t="s">
        <v>85</v>
      </c>
      <c r="F349" s="8">
        <v>1</v>
      </c>
      <c r="G349" s="8">
        <v>1</v>
      </c>
      <c r="H349" s="8">
        <v>1</v>
      </c>
      <c r="I349" s="8">
        <v>1</v>
      </c>
      <c r="J349" s="8">
        <v>1</v>
      </c>
      <c r="K349" s="16" t="s">
        <v>24</v>
      </c>
      <c r="L349" s="47" t="s">
        <v>251</v>
      </c>
      <c r="M349" s="17">
        <f t="shared" si="184"/>
        <v>0.14097599999999999</v>
      </c>
      <c r="N349" s="18">
        <f t="shared" si="185"/>
        <v>1.504</v>
      </c>
      <c r="O349" s="19">
        <f>IF(E349="HERRAJE",IFERROR(_xlfn.XLOOKUP(D349,'⚙️ Configuración Costos'!$A$11:$A$20,'⚙️ Configuración Costos'!$B$11:$B$20),""),IFERROR(_xlfn.XLOOKUP(E349,'⚙️ Configuración Costos'!$A$5:$A$6,'⚙️ Configuración Costos'!$B$5:$B$6),""))</f>
        <v>332.85245901639348</v>
      </c>
      <c r="P349" s="19">
        <f t="shared" si="186"/>
        <v>46.924208262295082</v>
      </c>
      <c r="Q349" s="19">
        <f>IF(E349="HERRAJE",0,IFERROR(_xlfn.XLOOKUP(E349,'⚙️ Configuración Costos'!$E$5:$E$6,'⚙️ Configuración Costos'!$F$5:$F$6),""))</f>
        <v>9.5</v>
      </c>
      <c r="R349" s="19">
        <f t="shared" si="187"/>
        <v>14.288</v>
      </c>
      <c r="S349" s="37">
        <f t="shared" si="188"/>
        <v>61.212208262295078</v>
      </c>
      <c r="T349" s="94" t="str">
        <f t="shared" si="189"/>
        <v>OK</v>
      </c>
      <c r="U349" s="95" t="str">
        <f t="shared" si="190"/>
        <v/>
      </c>
      <c r="V349" s="96">
        <f t="shared" si="191"/>
        <v>0</v>
      </c>
    </row>
    <row r="350" spans="1:22" x14ac:dyDescent="0.2">
      <c r="A350" s="35">
        <v>1</v>
      </c>
      <c r="B350" s="6">
        <v>396</v>
      </c>
      <c r="C350" s="6">
        <v>176</v>
      </c>
      <c r="D350" s="7" t="s">
        <v>252</v>
      </c>
      <c r="E350" s="7" t="s">
        <v>85</v>
      </c>
      <c r="F350" s="8">
        <v>1</v>
      </c>
      <c r="G350" s="8">
        <v>1</v>
      </c>
      <c r="H350" s="8">
        <v>1</v>
      </c>
      <c r="I350" s="8">
        <v>1</v>
      </c>
      <c r="J350" s="8">
        <v>1</v>
      </c>
      <c r="K350" s="16" t="s">
        <v>24</v>
      </c>
      <c r="L350" s="47" t="s">
        <v>253</v>
      </c>
      <c r="M350" s="17">
        <f t="shared" si="184"/>
        <v>6.9695999999999994E-2</v>
      </c>
      <c r="N350" s="18">
        <f t="shared" si="185"/>
        <v>1.1439999999999999</v>
      </c>
      <c r="O350" s="19">
        <f>IF(E350="HERRAJE",IFERROR(_xlfn.XLOOKUP(D350,'⚙️ Configuración Costos'!$A$11:$A$20,'⚙️ Configuración Costos'!$B$11:$B$20),""),IFERROR(_xlfn.XLOOKUP(E350,'⚙️ Configuración Costos'!$A$5:$A$6,'⚙️ Configuración Costos'!$B$5:$B$6),""))</f>
        <v>332.85245901639348</v>
      </c>
      <c r="P350" s="19">
        <f t="shared" si="186"/>
        <v>23.198484983606559</v>
      </c>
      <c r="Q350" s="19">
        <f>IF(E350="HERRAJE",0,IFERROR(_xlfn.XLOOKUP(E350,'⚙️ Configuración Costos'!$E$5:$E$6,'⚙️ Configuración Costos'!$F$5:$F$6),""))</f>
        <v>9.5</v>
      </c>
      <c r="R350" s="19">
        <f t="shared" si="187"/>
        <v>10.867999999999999</v>
      </c>
      <c r="S350" s="37">
        <f t="shared" si="188"/>
        <v>34.066484983606557</v>
      </c>
      <c r="T350" s="94" t="str">
        <f t="shared" si="189"/>
        <v>OK</v>
      </c>
      <c r="U350" s="95" t="str">
        <f t="shared" si="190"/>
        <v/>
      </c>
      <c r="V350" s="96">
        <f t="shared" si="191"/>
        <v>0</v>
      </c>
    </row>
    <row r="351" spans="1:22" x14ac:dyDescent="0.2">
      <c r="A351" s="35">
        <v>1</v>
      </c>
      <c r="B351" s="6">
        <v>396</v>
      </c>
      <c r="C351" s="6">
        <v>176</v>
      </c>
      <c r="D351" s="7" t="s">
        <v>254</v>
      </c>
      <c r="E351" s="7" t="s">
        <v>85</v>
      </c>
      <c r="F351" s="8">
        <v>1</v>
      </c>
      <c r="G351" s="8">
        <v>1</v>
      </c>
      <c r="H351" s="8">
        <v>1</v>
      </c>
      <c r="I351" s="8">
        <v>1</v>
      </c>
      <c r="J351" s="8">
        <v>1</v>
      </c>
      <c r="K351" s="16" t="s">
        <v>24</v>
      </c>
      <c r="L351" s="47" t="s">
        <v>255</v>
      </c>
      <c r="M351" s="17">
        <f t="shared" si="184"/>
        <v>6.9695999999999994E-2</v>
      </c>
      <c r="N351" s="18">
        <f t="shared" si="185"/>
        <v>1.1439999999999999</v>
      </c>
      <c r="O351" s="19">
        <f>IF(E351="HERRAJE",IFERROR(_xlfn.XLOOKUP(D351,'⚙️ Configuración Costos'!$A$11:$A$20,'⚙️ Configuración Costos'!$B$11:$B$20),""),IFERROR(_xlfn.XLOOKUP(E351,'⚙️ Configuración Costos'!$A$5:$A$6,'⚙️ Configuración Costos'!$B$5:$B$6),""))</f>
        <v>332.85245901639348</v>
      </c>
      <c r="P351" s="19">
        <f t="shared" si="186"/>
        <v>23.198484983606559</v>
      </c>
      <c r="Q351" s="19">
        <f>IF(E351="HERRAJE",0,IFERROR(_xlfn.XLOOKUP(E351,'⚙️ Configuración Costos'!$E$5:$E$6,'⚙️ Configuración Costos'!$F$5:$F$6),""))</f>
        <v>9.5</v>
      </c>
      <c r="R351" s="19">
        <f t="shared" si="187"/>
        <v>10.867999999999999</v>
      </c>
      <c r="S351" s="37">
        <f t="shared" si="188"/>
        <v>34.066484983606557</v>
      </c>
      <c r="T351" s="94" t="str">
        <f t="shared" si="189"/>
        <v>OK</v>
      </c>
      <c r="U351" s="95" t="str">
        <f t="shared" si="190"/>
        <v/>
      </c>
      <c r="V351" s="96">
        <f t="shared" si="191"/>
        <v>0</v>
      </c>
    </row>
    <row r="352" spans="1:22" x14ac:dyDescent="0.2">
      <c r="A352" s="35">
        <v>3</v>
      </c>
      <c r="B352" s="6">
        <v>0</v>
      </c>
      <c r="C352" s="6">
        <v>0</v>
      </c>
      <c r="D352" s="7" t="s">
        <v>256</v>
      </c>
      <c r="E352" s="7" t="s">
        <v>91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16" t="s">
        <v>24</v>
      </c>
      <c r="L352" s="47" t="s">
        <v>257</v>
      </c>
      <c r="M352" s="17">
        <f t="shared" si="184"/>
        <v>0</v>
      </c>
      <c r="N352" s="18">
        <f t="shared" si="185"/>
        <v>0</v>
      </c>
      <c r="O352" s="19">
        <f>IF(E352="HERRAJE",IFERROR(_xlfn.XLOOKUP(D352,'⚙️ Configuración Costos'!$A$11:$A$20,'⚙️ Configuración Costos'!$B$11:$B$20),""),IFERROR(_xlfn.XLOOKUP(E352,'⚙️ Configuración Costos'!$A$5:$A$6,'⚙️ Configuración Costos'!$B$5:$B$6),""))</f>
        <v>125</v>
      </c>
      <c r="P352" s="19">
        <f t="shared" si="186"/>
        <v>375</v>
      </c>
      <c r="Q352" s="19">
        <f>IF(E352="HERRAJE",0,IFERROR(_xlfn.XLOOKUP(E352,'⚙️ Configuración Costos'!$E$5:$E$6,'⚙️ Configuración Costos'!$F$5:$F$6),""))</f>
        <v>0</v>
      </c>
      <c r="R352" s="19">
        <f t="shared" si="187"/>
        <v>0</v>
      </c>
      <c r="S352" s="37">
        <f t="shared" si="188"/>
        <v>375</v>
      </c>
      <c r="T352" s="94" t="str">
        <f t="shared" si="189"/>
        <v>OK</v>
      </c>
      <c r="U352" s="95" t="str">
        <f t="shared" si="190"/>
        <v/>
      </c>
      <c r="V352" s="96">
        <f t="shared" si="191"/>
        <v>0</v>
      </c>
    </row>
    <row r="353" spans="1:22" x14ac:dyDescent="0.2">
      <c r="A353" s="35">
        <v>3</v>
      </c>
      <c r="B353" s="6">
        <v>0</v>
      </c>
      <c r="C353" s="6">
        <v>0</v>
      </c>
      <c r="D353" s="7" t="s">
        <v>93</v>
      </c>
      <c r="E353" s="7" t="s">
        <v>91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16" t="s">
        <v>24</v>
      </c>
      <c r="L353" s="47" t="s">
        <v>94</v>
      </c>
      <c r="M353" s="17">
        <f t="shared" si="184"/>
        <v>0</v>
      </c>
      <c r="N353" s="18">
        <f t="shared" si="185"/>
        <v>0</v>
      </c>
      <c r="O353" s="19">
        <f>IF(E353="HERRAJE",IFERROR(_xlfn.XLOOKUP(D353,'⚙️ Configuración Costos'!$A$11:$A$20,'⚙️ Configuración Costos'!$B$11:$B$20),""),IFERROR(_xlfn.XLOOKUP(E353,'⚙️ Configuración Costos'!$A$5:$A$6,'⚙️ Configuración Costos'!$B$5:$B$6),""))</f>
        <v>15</v>
      </c>
      <c r="P353" s="19">
        <f t="shared" si="186"/>
        <v>45</v>
      </c>
      <c r="Q353" s="19">
        <f>IF(E353="HERRAJE",0,IFERROR(_xlfn.XLOOKUP(E353,'⚙️ Configuración Costos'!$E$5:$E$6,'⚙️ Configuración Costos'!$F$5:$F$6),""))</f>
        <v>0</v>
      </c>
      <c r="R353" s="19">
        <f t="shared" si="187"/>
        <v>0</v>
      </c>
      <c r="S353" s="37">
        <f t="shared" si="188"/>
        <v>45</v>
      </c>
      <c r="T353" s="94" t="str">
        <f t="shared" si="189"/>
        <v>OK</v>
      </c>
      <c r="U353" s="95" t="str">
        <f t="shared" si="190"/>
        <v/>
      </c>
      <c r="V353" s="96">
        <f t="shared" si="191"/>
        <v>0</v>
      </c>
    </row>
    <row r="354" spans="1:22" x14ac:dyDescent="0.2">
      <c r="A354" s="35">
        <v>4</v>
      </c>
      <c r="B354" s="6">
        <v>0</v>
      </c>
      <c r="C354" s="6">
        <v>0</v>
      </c>
      <c r="D354" s="7" t="s">
        <v>186</v>
      </c>
      <c r="E354" s="7" t="s">
        <v>91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16" t="s">
        <v>24</v>
      </c>
      <c r="L354" s="47" t="s">
        <v>187</v>
      </c>
      <c r="M354" s="17">
        <f t="shared" si="184"/>
        <v>0</v>
      </c>
      <c r="N354" s="18">
        <f t="shared" si="185"/>
        <v>0</v>
      </c>
      <c r="O354" s="19">
        <f>IF(E354="HERRAJE",IFERROR(_xlfn.XLOOKUP(D354,'⚙️ Configuración Costos'!$A$11:$A$20,'⚙️ Configuración Costos'!$B$11:$B$20),""),IFERROR(_xlfn.XLOOKUP(E354,'⚙️ Configuración Costos'!$A$5:$A$6,'⚙️ Configuración Costos'!$B$5:$B$6),""))</f>
        <v>15</v>
      </c>
      <c r="P354" s="19">
        <f t="shared" si="186"/>
        <v>60</v>
      </c>
      <c r="Q354" s="19">
        <f>IF(E354="HERRAJE",0,IFERROR(_xlfn.XLOOKUP(E354,'⚙️ Configuración Costos'!$E$5:$E$6,'⚙️ Configuración Costos'!$F$5:$F$6),""))</f>
        <v>0</v>
      </c>
      <c r="R354" s="19">
        <f t="shared" si="187"/>
        <v>0</v>
      </c>
      <c r="S354" s="37">
        <f t="shared" si="188"/>
        <v>60</v>
      </c>
      <c r="T354" s="94" t="str">
        <f t="shared" si="189"/>
        <v>OK</v>
      </c>
      <c r="U354" s="95" t="str">
        <f t="shared" si="190"/>
        <v/>
      </c>
      <c r="V354" s="96">
        <f t="shared" si="191"/>
        <v>0</v>
      </c>
    </row>
    <row r="355" spans="1:22" x14ac:dyDescent="0.2">
      <c r="A355" s="36">
        <f>4*(IF(LEFT(D339,4)="Base",A339,0)+IF(LEFT(D339,4)="Piso",A339,0)+IF(LEFT(D339,5)="Techo",A339,0)+IF(LEFT(D340,4)="Base",A340,0)+IF(LEFT(D340,4)="Piso",A340,0)+IF(LEFT(D340,5)="Techo",A340,0)+IF(LEFT(D341,4)="Base",A341,0)+IF(LEFT(D341,4)="Piso",A341,0)+IF(LEFT(D341,5)="Techo",A341,0)+IF(LEFT(D342,4)="Base",A342,0)+IF(LEFT(D342,4)="Piso",A342,0)+IF(LEFT(D342,5)="Techo",A342,0)+IF(LEFT(D343,4)="Base",A343,0)+IF(LEFT(D343,4)="Piso",A343,0)+IF(LEFT(D343,5)="Techo",A343,0)+IF(LEFT(D344,4)="Base",A344,0)+IF(LEFT(D344,4)="Piso",A344,0)+IF(LEFT(D344,5)="Techo",A344,0)+IF(LEFT(D345,4)="Base",A345,0)+IF(LEFT(D345,4)="Piso",A345,0)+IF(LEFT(D345,5)="Techo",A345,0)+IF(LEFT(D346,4)="Base",A346,0)+IF(LEFT(D346,4)="Piso",A346,0)+IF(LEFT(D346,5)="Techo",A346,0)+IF(LEFT(D347,4)="Base",A347,0)+IF(LEFT(D347,4)="Piso",A347,0)+IF(LEFT(D347,5)="Techo",A347,0)+IF(LEFT(D348,4)="Base",A348,0)+IF(LEFT(D348,4)="Piso",A348,0)+IF(LEFT(D348,5)="Techo",A348,0)+IF(LEFT(D349,4)="Base",A349,0)+IF(LEFT(D349,4)="Piso",A349,0)+IF(LEFT(D349,5)="Techo",A349,0)+IF(LEFT(D350,4)="Base",A350,0)+IF(LEFT(D350,4)="Piso",A350,0)+IF(LEFT(D350,5)="Techo",A350,0)+IF(LEFT(D351,4)="Base",A351,0)+IF(LEFT(D351,4)="Piso",A351,0)+IF(LEFT(D351,5)="Techo",A351,0))+10*(IF(LEFT(D339,8)="Respaldo",A339,0)+IF(LEFT(D340,8)="Respaldo",A340,0)+IF(LEFT(D341,8)="Respaldo",A341,0)+IF(LEFT(D342,8)="Respaldo",A342,0)+IF(LEFT(D343,8)="Respaldo",A343,0)+IF(LEFT(D344,8)="Respaldo",A344,0)+IF(LEFT(D345,8)="Respaldo",A345,0)+IF(LEFT(D346,8)="Respaldo",A346,0)+IF(LEFT(D347,8)="Respaldo",A347,0)+IF(LEFT(D348,8)="Respaldo",A348,0)+IF(LEFT(D349,8)="Respaldo",A349,0)+IF(LEFT(D350,8)="Respaldo",A350,0)+IF(LEFT(D351,8)="Respaldo",A351,0))+2*(IF(LEFT(D339,8)="Manguete",A339,0)+IF(LEFT(D340,8)="Manguete",A340,0)+IF(LEFT(D341,8)="Manguete",A341,0)+IF(LEFT(D342,8)="Manguete",A342,0)+IF(LEFT(D343,8)="Manguete",A343,0)+IF(LEFT(D344,8)="Manguete",A344,0)+IF(LEFT(D345,8)="Manguete",A345,0)+IF(LEFT(D346,8)="Manguete",A346,0)+IF(LEFT(D347,8)="Manguete",A347,0)+IF(LEFT(D348,8)="Manguete",A348,0)+IF(LEFT(D349,8)="Manguete",A349,0)+IF(LEFT(D350,8)="Manguete",A350,0)+IF(LEFT(D351,8)="Manguete",A351,0))</f>
        <v>24</v>
      </c>
      <c r="B355" s="20">
        <v>0</v>
      </c>
      <c r="C355" s="20">
        <v>0</v>
      </c>
      <c r="D355" s="21" t="s">
        <v>400</v>
      </c>
      <c r="E355" s="21" t="s">
        <v>91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16" t="s">
        <v>24</v>
      </c>
      <c r="L355" s="48" t="s">
        <v>360</v>
      </c>
      <c r="M355" s="17">
        <f t="shared" si="184"/>
        <v>0</v>
      </c>
      <c r="N355" s="18">
        <f t="shared" si="185"/>
        <v>0</v>
      </c>
      <c r="O355" s="19">
        <f>IF(E355="HERRAJE",IFERROR(_xlfn.XLOOKUP(D355,'⚙️ Configuración Costos'!$A$11:$A$20,'⚙️ Configuración Costos'!$B$11:$B$20),""),IFERROR(_xlfn.XLOOKUP(E355,'⚙️ Configuración Costos'!$A$5:$A$6,'⚙️ Configuración Costos'!$B$5:$B$6),""))</f>
        <v>3</v>
      </c>
      <c r="P355" s="19">
        <f t="shared" si="186"/>
        <v>72</v>
      </c>
      <c r="Q355" s="19">
        <f>IF(E355="HERRAJE",0,IFERROR(_xlfn.XLOOKUP(E355,'⚙️ Configuración Costos'!$E$5:$E$6,'⚙️ Configuración Costos'!$F$5:$F$6),""))</f>
        <v>0</v>
      </c>
      <c r="R355" s="19">
        <f t="shared" si="187"/>
        <v>0</v>
      </c>
      <c r="S355" s="37">
        <f t="shared" si="188"/>
        <v>72</v>
      </c>
      <c r="T355" s="94" t="str">
        <f t="shared" si="189"/>
        <v>OK</v>
      </c>
      <c r="U355" s="95" t="str">
        <f t="shared" si="190"/>
        <v/>
      </c>
      <c r="V355" s="96">
        <f t="shared" si="191"/>
        <v>0</v>
      </c>
    </row>
    <row r="356" spans="1:22" ht="16" thickBot="1" x14ac:dyDescent="0.25">
      <c r="A356" s="36">
        <f>6*(IF(LEFT(D339,4)="Base",A339,0)+IF(LEFT(D339,4)="Piso",A339,0)+IF(LEFT(D339,5)="Techo",A339,0)+IF(LEFT(D340,4)="Base",A340,0)+IF(LEFT(D340,4)="Piso",A340,0)+IF(LEFT(D340,5)="Techo",A340,0)+IF(LEFT(D341,4)="Base",A341,0)+IF(LEFT(D341,4)="Piso",A341,0)+IF(LEFT(D341,5)="Techo",A341,0)+IF(LEFT(D342,4)="Base",A342,0)+IF(LEFT(D342,4)="Piso",A342,0)+IF(LEFT(D342,5)="Techo",A342,0)+IF(LEFT(D343,4)="Base",A343,0)+IF(LEFT(D343,4)="Piso",A343,0)+IF(LEFT(D343,5)="Techo",A343,0)+IF(LEFT(D344,4)="Base",A344,0)+IF(LEFT(D344,4)="Piso",A344,0)+IF(LEFT(D344,5)="Techo",A344,0)+IF(LEFT(D345,4)="Base",A345,0)+IF(LEFT(D345,4)="Piso",A345,0)+IF(LEFT(D345,5)="Techo",A345,0)+IF(LEFT(D346,4)="Base",A346,0)+IF(LEFT(D346,4)="Piso",A346,0)+IF(LEFT(D346,5)="Techo",A346,0)+IF(LEFT(D347,4)="Base",A347,0)+IF(LEFT(D347,4)="Piso",A347,0)+IF(LEFT(D347,5)="Techo",A347,0)+IF(LEFT(D348,4)="Base",A348,0)+IF(LEFT(D348,4)="Piso",A348,0)+IF(LEFT(D348,5)="Techo",A348,0)+IF(LEFT(D349,4)="Base",A349,0)+IF(LEFT(D349,4)="Piso",A349,0)+IF(LEFT(D349,5)="Techo",A349,0)+IF(LEFT(D350,4)="Base",A350,0)+IF(LEFT(D350,4)="Piso",A350,0)+IF(LEFT(D350,5)="Techo",A350,0)+IF(LEFT(D351,4)="Base",A351,0)+IF(LEFT(D351,4)="Piso",A351,0)+IF(LEFT(D351,5)="Techo",A351,0))+10*(IF(LEFT(D339,8)="Respaldo",A339,0)+IF(LEFT(D340,8)="Respaldo",A340,0)+IF(LEFT(D341,8)="Respaldo",A341,0)+IF(LEFT(D342,8)="Respaldo",A342,0)+IF(LEFT(D343,8)="Respaldo",A343,0)+IF(LEFT(D344,8)="Respaldo",A344,0)+IF(LEFT(D345,8)="Respaldo",A345,0)+IF(LEFT(D346,8)="Respaldo",A346,0)+IF(LEFT(D347,8)="Respaldo",A347,0)+IF(LEFT(D348,8)="Respaldo",A348,0)+IF(LEFT(D349,8)="Respaldo",A349,0)+IF(LEFT(D350,8)="Respaldo",A350,0)+IF(LEFT(D351,8)="Respaldo",A351,0))+4*(IF(LEFT(D339,8)="Manguete",A339,0)+IF(LEFT(D340,8)="Manguete",A340,0)+IF(LEFT(D341,8)="Manguete",A341,0)+IF(LEFT(D342,8)="Manguete",A342,0)+IF(LEFT(D343,8)="Manguete",A343,0)+IF(LEFT(D344,8)="Manguete",A344,0)+IF(LEFT(D345,8)="Manguete",A345,0)+IF(LEFT(D346,8)="Manguete",A346,0)+IF(LEFT(D347,8)="Manguete",A347,0)+IF(LEFT(D348,8)="Manguete",A348,0)+IF(LEFT(D349,8)="Manguete",A349,0)+IF(LEFT(D350,8)="Manguete",A350,0)+IF(LEFT(D351,8)="Manguete",A351,0))</f>
        <v>40</v>
      </c>
      <c r="B356" s="20">
        <v>0</v>
      </c>
      <c r="C356" s="20">
        <v>0</v>
      </c>
      <c r="D356" s="21" t="s">
        <v>468</v>
      </c>
      <c r="E356" s="21" t="s">
        <v>91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16" t="s">
        <v>24</v>
      </c>
      <c r="L356" s="48" t="s">
        <v>361</v>
      </c>
      <c r="M356" s="17">
        <f t="shared" si="184"/>
        <v>0</v>
      </c>
      <c r="N356" s="18">
        <f t="shared" si="185"/>
        <v>0</v>
      </c>
      <c r="O356" s="19">
        <f>IF(E356="HERRAJE",IFERROR(_xlfn.XLOOKUP(D356,'⚙️ Configuración Costos'!$A$11:$A$20,'⚙️ Configuración Costos'!$B$11:$B$20),""),IFERROR(_xlfn.XLOOKUP(E356,'⚙️ Configuración Costos'!$A$5:$A$6,'⚙️ Configuración Costos'!$B$5:$B$6),""))</f>
        <v>1</v>
      </c>
      <c r="P356" s="19">
        <f t="shared" si="186"/>
        <v>40</v>
      </c>
      <c r="Q356" s="19">
        <f>IF(E356="HERRAJE",0,IFERROR(_xlfn.XLOOKUP(E356,'⚙️ Configuración Costos'!$E$5:$E$6,'⚙️ Configuración Costos'!$F$5:$F$6),""))</f>
        <v>0</v>
      </c>
      <c r="R356" s="19">
        <f t="shared" si="187"/>
        <v>0</v>
      </c>
      <c r="S356" s="37">
        <f t="shared" si="188"/>
        <v>40</v>
      </c>
      <c r="T356" s="94" t="str">
        <f t="shared" si="189"/>
        <v>OK</v>
      </c>
      <c r="U356" s="95" t="str">
        <f t="shared" si="190"/>
        <v/>
      </c>
      <c r="V356" s="96">
        <f t="shared" si="191"/>
        <v>0</v>
      </c>
    </row>
    <row r="357" spans="1:22" ht="16" thickTop="1" x14ac:dyDescent="0.2">
      <c r="A357" s="27" t="s">
        <v>99</v>
      </c>
      <c r="B357" s="27"/>
      <c r="C357" s="27"/>
      <c r="D357" s="28"/>
      <c r="E357" s="28"/>
      <c r="F357" s="29"/>
      <c r="G357" s="29"/>
      <c r="H357" s="29"/>
      <c r="I357" s="29"/>
      <c r="J357" s="29"/>
      <c r="K357" s="30"/>
      <c r="L357" s="49"/>
      <c r="M357" s="31">
        <f>SUM(M339:M356)</f>
        <v>2.644012</v>
      </c>
      <c r="N357" s="32">
        <f>SUM(N339:N356)</f>
        <v>24.567999999999998</v>
      </c>
      <c r="O357" s="33"/>
      <c r="P357" s="33">
        <f>SUM(P339:P356)</f>
        <v>1472.0658958688527</v>
      </c>
      <c r="Q357" s="33"/>
      <c r="R357" s="33">
        <f>SUM(R339:R356)</f>
        <v>233.39599999999999</v>
      </c>
      <c r="S357" s="33">
        <f>SUM(S339:S356)</f>
        <v>1705.4618958688527</v>
      </c>
      <c r="T357" s="97"/>
      <c r="U357" s="98"/>
      <c r="V357" s="99"/>
    </row>
    <row r="358" spans="1:22" x14ac:dyDescent="0.2">
      <c r="A358" s="186" t="s">
        <v>258</v>
      </c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8"/>
      <c r="T358" s="97"/>
      <c r="U358" s="98"/>
      <c r="V358" s="99"/>
    </row>
    <row r="359" spans="1:22" x14ac:dyDescent="0.2">
      <c r="A359" s="34">
        <v>1</v>
      </c>
      <c r="B359" s="13">
        <v>720</v>
      </c>
      <c r="C359" s="13">
        <v>580</v>
      </c>
      <c r="D359" s="14" t="s">
        <v>63</v>
      </c>
      <c r="E359" s="14" t="s">
        <v>85</v>
      </c>
      <c r="F359" s="15">
        <v>1</v>
      </c>
      <c r="G359" s="15">
        <v>1</v>
      </c>
      <c r="H359" s="15">
        <v>1</v>
      </c>
      <c r="I359" s="15">
        <v>1</v>
      </c>
      <c r="J359" s="15">
        <v>1</v>
      </c>
      <c r="K359" s="23" t="s">
        <v>25</v>
      </c>
      <c r="L359" s="46" t="s">
        <v>365</v>
      </c>
      <c r="M359" s="17">
        <f t="shared" ref="M359:M376" si="192">IF(AND(ISNUMBER(B359),ISNUMBER(C359),B359&gt;0,C359&gt;0),A359*(B359*C359/1000000),0)</f>
        <v>0.41760000000000003</v>
      </c>
      <c r="N359" s="18">
        <f t="shared" ref="N359:N376" si="193">IF(AND(ISNUMBER(B359),B359&gt;0),A359*(((G359+H359)*B359+(I359+J359)*C359)/1000),0)</f>
        <v>2.6</v>
      </c>
      <c r="O359" s="19">
        <f>IF(E359="HERRAJE",IFERROR(_xlfn.XLOOKUP(D359,'⚙️ Configuración Costos'!$A$11:$A$20,'⚙️ Configuración Costos'!$B$11:$B$20),""),IFERROR(_xlfn.XLOOKUP(E359,'⚙️ Configuración Costos'!$A$5:$A$6,'⚙️ Configuración Costos'!$B$5:$B$6),""))</f>
        <v>332.85245901639348</v>
      </c>
      <c r="P359" s="19">
        <f t="shared" ref="P359:P376" si="194">IF(E359="HERRAJE",A359*O359,M359*O359)</f>
        <v>138.99918688524593</v>
      </c>
      <c r="Q359" s="19">
        <f>IF(E359="HERRAJE",0,IFERROR(_xlfn.XLOOKUP(E359,'⚙️ Configuración Costos'!$E$5:$E$6,'⚙️ Configuración Costos'!$F$5:$F$6),""))</f>
        <v>9.5</v>
      </c>
      <c r="R359" s="19">
        <f t="shared" ref="R359:R376" si="195">N359*Q359</f>
        <v>24.7</v>
      </c>
      <c r="S359" s="37">
        <f t="shared" ref="S359:S376" si="196">P359+R359</f>
        <v>163.69918688524592</v>
      </c>
      <c r="T359" s="94" t="str">
        <f t="shared" ref="T359:T376" si="197">IF(K359="","SIN ID MÓDULO",IF(E359="HERRAJE",IF(OR(O359="",O359&lt;=0),"SIN PRECIO HERRAJE","OK"),IF(OR(O359="",O359&lt;=0),"SIN PRECIO MATERIAL",IF(AND(N359&gt;0,OR(Q359="",Q359&lt;=0)),"SIN PRECIO CINTILLA","OK"))))</f>
        <v>OK</v>
      </c>
      <c r="U359" s="95" t="str">
        <f t="shared" ref="U359:U376" si="198">IF(T359="OK","",IF(T359="SIN PRECIO HERRAJE","Capturar precio: "&amp;D359,IF(T359="SIN PRECIO MATERIAL","Configurar material: "&amp;E359,IF(T359="SIN PRECIO CINTILLA","Configurar cintilla: "&amp;E359,IF(T359="SIN ID MÓDULO","Revisar ID del módulo","")))))</f>
        <v/>
      </c>
      <c r="V359" s="96">
        <f t="shared" ref="V359:V376" si="199">IF(T359="OK",0,IF(T359="",0,1))</f>
        <v>0</v>
      </c>
    </row>
    <row r="360" spans="1:22" x14ac:dyDescent="0.2">
      <c r="A360" s="35">
        <v>1</v>
      </c>
      <c r="B360" s="6">
        <v>720</v>
      </c>
      <c r="C360" s="6">
        <v>580</v>
      </c>
      <c r="D360" s="7" t="s">
        <v>66</v>
      </c>
      <c r="E360" s="7" t="s">
        <v>85</v>
      </c>
      <c r="F360" s="8">
        <v>1</v>
      </c>
      <c r="G360" s="8">
        <v>1</v>
      </c>
      <c r="H360" s="8">
        <v>1</v>
      </c>
      <c r="I360" s="8">
        <v>1</v>
      </c>
      <c r="J360" s="8">
        <v>1</v>
      </c>
      <c r="K360" s="23" t="s">
        <v>25</v>
      </c>
      <c r="L360" s="47" t="s">
        <v>366</v>
      </c>
      <c r="M360" s="17">
        <f t="shared" si="192"/>
        <v>0.41760000000000003</v>
      </c>
      <c r="N360" s="18">
        <f t="shared" si="193"/>
        <v>2.6</v>
      </c>
      <c r="O360" s="19">
        <f>IF(E360="HERRAJE",IFERROR(_xlfn.XLOOKUP(D360,'⚙️ Configuración Costos'!$A$11:$A$20,'⚙️ Configuración Costos'!$B$11:$B$20),""),IFERROR(_xlfn.XLOOKUP(E360,'⚙️ Configuración Costos'!$A$5:$A$6,'⚙️ Configuración Costos'!$B$5:$B$6),""))</f>
        <v>332.85245901639348</v>
      </c>
      <c r="P360" s="19">
        <f t="shared" si="194"/>
        <v>138.99918688524593</v>
      </c>
      <c r="Q360" s="19">
        <f>IF(E360="HERRAJE",0,IFERROR(_xlfn.XLOOKUP(E360,'⚙️ Configuración Costos'!$E$5:$E$6,'⚙️ Configuración Costos'!$F$5:$F$6),""))</f>
        <v>9.5</v>
      </c>
      <c r="R360" s="19">
        <f t="shared" si="195"/>
        <v>24.7</v>
      </c>
      <c r="S360" s="37">
        <f t="shared" si="196"/>
        <v>163.69918688524592</v>
      </c>
      <c r="T360" s="94" t="str">
        <f t="shared" si="197"/>
        <v>OK</v>
      </c>
      <c r="U360" s="95" t="str">
        <f t="shared" si="198"/>
        <v/>
      </c>
      <c r="V360" s="96">
        <f t="shared" si="199"/>
        <v>0</v>
      </c>
    </row>
    <row r="361" spans="1:22" x14ac:dyDescent="0.2">
      <c r="A361" s="35">
        <v>1</v>
      </c>
      <c r="B361" s="6">
        <v>469</v>
      </c>
      <c r="C361" s="6">
        <v>580</v>
      </c>
      <c r="D361" s="7" t="s">
        <v>171</v>
      </c>
      <c r="E361" s="7" t="s">
        <v>85</v>
      </c>
      <c r="F361" s="8">
        <v>1</v>
      </c>
      <c r="G361" s="8">
        <v>0</v>
      </c>
      <c r="H361" s="8">
        <v>0</v>
      </c>
      <c r="I361" s="8">
        <v>1</v>
      </c>
      <c r="J361" s="8">
        <v>1</v>
      </c>
      <c r="K361" s="23" t="s">
        <v>25</v>
      </c>
      <c r="L361" s="47" t="s">
        <v>369</v>
      </c>
      <c r="M361" s="17">
        <f t="shared" si="192"/>
        <v>0.27201999999999998</v>
      </c>
      <c r="N361" s="18">
        <f t="shared" si="193"/>
        <v>1.1599999999999999</v>
      </c>
      <c r="O361" s="19">
        <f>IF(E361="HERRAJE",IFERROR(_xlfn.XLOOKUP(D361,'⚙️ Configuración Costos'!$A$11:$A$20,'⚙️ Configuración Costos'!$B$11:$B$20),""),IFERROR(_xlfn.XLOOKUP(E361,'⚙️ Configuración Costos'!$A$5:$A$6,'⚙️ Configuración Costos'!$B$5:$B$6),""))</f>
        <v>332.85245901639348</v>
      </c>
      <c r="P361" s="19">
        <f t="shared" si="194"/>
        <v>90.542525901639351</v>
      </c>
      <c r="Q361" s="19">
        <f>IF(E361="HERRAJE",0,IFERROR(_xlfn.XLOOKUP(E361,'⚙️ Configuración Costos'!$E$5:$E$6,'⚙️ Configuración Costos'!$F$5:$F$6),""))</f>
        <v>9.5</v>
      </c>
      <c r="R361" s="19">
        <f t="shared" si="195"/>
        <v>11.02</v>
      </c>
      <c r="S361" s="37">
        <f t="shared" si="196"/>
        <v>101.56252590163935</v>
      </c>
      <c r="T361" s="94" t="str">
        <f t="shared" si="197"/>
        <v>OK</v>
      </c>
      <c r="U361" s="95" t="str">
        <f t="shared" si="198"/>
        <v/>
      </c>
      <c r="V361" s="96">
        <f t="shared" si="199"/>
        <v>0</v>
      </c>
    </row>
    <row r="362" spans="1:22" x14ac:dyDescent="0.2">
      <c r="A362" s="35">
        <v>2</v>
      </c>
      <c r="B362" s="6">
        <v>469</v>
      </c>
      <c r="C362" s="6">
        <v>120</v>
      </c>
      <c r="D362" s="7" t="s">
        <v>194</v>
      </c>
      <c r="E362" s="7" t="s">
        <v>85</v>
      </c>
      <c r="F362" s="8">
        <v>1</v>
      </c>
      <c r="G362" s="8">
        <v>1</v>
      </c>
      <c r="H362" s="8">
        <v>1</v>
      </c>
      <c r="I362" s="8">
        <v>0</v>
      </c>
      <c r="J362" s="8">
        <v>0</v>
      </c>
      <c r="K362" s="23" t="s">
        <v>25</v>
      </c>
      <c r="L362" s="47" t="s">
        <v>208</v>
      </c>
      <c r="M362" s="17">
        <f t="shared" si="192"/>
        <v>0.11255999999999999</v>
      </c>
      <c r="N362" s="18">
        <f t="shared" si="193"/>
        <v>1.8759999999999999</v>
      </c>
      <c r="O362" s="19">
        <f>IF(E362="HERRAJE",IFERROR(_xlfn.XLOOKUP(D362,'⚙️ Configuración Costos'!$A$11:$A$20,'⚙️ Configuración Costos'!$B$11:$B$20),""),IFERROR(_xlfn.XLOOKUP(E362,'⚙️ Configuración Costos'!$A$5:$A$6,'⚙️ Configuración Costos'!$B$5:$B$6),""))</f>
        <v>332.85245901639348</v>
      </c>
      <c r="P362" s="19">
        <f t="shared" si="194"/>
        <v>37.465872786885249</v>
      </c>
      <c r="Q362" s="19">
        <f>IF(E362="HERRAJE",0,IFERROR(_xlfn.XLOOKUP(E362,'⚙️ Configuración Costos'!$E$5:$E$6,'⚙️ Configuración Costos'!$F$5:$F$6),""))</f>
        <v>9.5</v>
      </c>
      <c r="R362" s="19">
        <f t="shared" si="195"/>
        <v>17.821999999999999</v>
      </c>
      <c r="S362" s="37">
        <f t="shared" si="196"/>
        <v>55.287872786885245</v>
      </c>
      <c r="T362" s="94" t="str">
        <f t="shared" si="197"/>
        <v>OK</v>
      </c>
      <c r="U362" s="95" t="str">
        <f t="shared" si="198"/>
        <v/>
      </c>
      <c r="V362" s="96">
        <f t="shared" si="199"/>
        <v>0</v>
      </c>
    </row>
    <row r="363" spans="1:22" x14ac:dyDescent="0.2">
      <c r="A363" s="35">
        <v>2</v>
      </c>
      <c r="B363" s="6">
        <v>469</v>
      </c>
      <c r="C363" s="6">
        <v>120</v>
      </c>
      <c r="D363" s="7" t="s">
        <v>240</v>
      </c>
      <c r="E363" s="7" t="s">
        <v>85</v>
      </c>
      <c r="F363" s="8">
        <v>1</v>
      </c>
      <c r="G363" s="8">
        <v>1</v>
      </c>
      <c r="H363" s="8">
        <v>1</v>
      </c>
      <c r="I363" s="8">
        <v>0</v>
      </c>
      <c r="J363" s="8">
        <v>0</v>
      </c>
      <c r="K363" s="23" t="s">
        <v>25</v>
      </c>
      <c r="L363" s="47" t="s">
        <v>259</v>
      </c>
      <c r="M363" s="17">
        <f t="shared" si="192"/>
        <v>0.11255999999999999</v>
      </c>
      <c r="N363" s="18">
        <f t="shared" si="193"/>
        <v>1.8759999999999999</v>
      </c>
      <c r="O363" s="19">
        <f>IF(E363="HERRAJE",IFERROR(_xlfn.XLOOKUP(D363,'⚙️ Configuración Costos'!$A$11:$A$20,'⚙️ Configuración Costos'!$B$11:$B$20),""),IFERROR(_xlfn.XLOOKUP(E363,'⚙️ Configuración Costos'!$A$5:$A$6,'⚙️ Configuración Costos'!$B$5:$B$6),""))</f>
        <v>332.85245901639348</v>
      </c>
      <c r="P363" s="19">
        <f t="shared" si="194"/>
        <v>37.465872786885249</v>
      </c>
      <c r="Q363" s="19">
        <f>IF(E363="HERRAJE",0,IFERROR(_xlfn.XLOOKUP(E363,'⚙️ Configuración Costos'!$E$5:$E$6,'⚙️ Configuración Costos'!$F$5:$F$6),""))</f>
        <v>9.5</v>
      </c>
      <c r="R363" s="19">
        <f t="shared" si="195"/>
        <v>17.821999999999999</v>
      </c>
      <c r="S363" s="37">
        <f t="shared" si="196"/>
        <v>55.287872786885245</v>
      </c>
      <c r="T363" s="94" t="str">
        <f t="shared" si="197"/>
        <v>OK</v>
      </c>
      <c r="U363" s="95" t="str">
        <f t="shared" si="198"/>
        <v/>
      </c>
      <c r="V363" s="96">
        <f t="shared" si="199"/>
        <v>0</v>
      </c>
    </row>
    <row r="364" spans="1:22" x14ac:dyDescent="0.2">
      <c r="A364" s="35">
        <v>2</v>
      </c>
      <c r="B364" s="6">
        <v>500</v>
      </c>
      <c r="C364" s="6">
        <v>230</v>
      </c>
      <c r="D364" s="7" t="s">
        <v>484</v>
      </c>
      <c r="E364" s="7" t="s">
        <v>85</v>
      </c>
      <c r="F364" s="8">
        <v>1</v>
      </c>
      <c r="G364" s="8">
        <v>1</v>
      </c>
      <c r="H364" s="8">
        <v>1</v>
      </c>
      <c r="I364" s="8">
        <v>1</v>
      </c>
      <c r="J364" s="8">
        <v>1</v>
      </c>
      <c r="K364" s="23" t="s">
        <v>25</v>
      </c>
      <c r="L364" s="47" t="s">
        <v>243</v>
      </c>
      <c r="M364" s="17">
        <f t="shared" si="192"/>
        <v>0.23</v>
      </c>
      <c r="N364" s="18">
        <f t="shared" si="193"/>
        <v>2.92</v>
      </c>
      <c r="O364" s="19">
        <f>IF(E364="HERRAJE",IFERROR(_xlfn.XLOOKUP(D364,'⚙️ Configuración Costos'!$A$11:$A$20,'⚙️ Configuración Costos'!$B$11:$B$20),""),IFERROR(_xlfn.XLOOKUP(E364,'⚙️ Configuración Costos'!$A$5:$A$6,'⚙️ Configuración Costos'!$B$5:$B$6),""))</f>
        <v>332.85245901639348</v>
      </c>
      <c r="P364" s="19">
        <f t="shared" si="194"/>
        <v>76.55606557377051</v>
      </c>
      <c r="Q364" s="19">
        <f>IF(E364="HERRAJE",0,IFERROR(_xlfn.XLOOKUP(E364,'⚙️ Configuración Costos'!$E$5:$E$6,'⚙️ Configuración Costos'!$F$5:$F$6),""))</f>
        <v>9.5</v>
      </c>
      <c r="R364" s="19">
        <f t="shared" si="195"/>
        <v>27.74</v>
      </c>
      <c r="S364" s="37">
        <f t="shared" si="196"/>
        <v>104.29606557377051</v>
      </c>
      <c r="T364" s="94" t="str">
        <f t="shared" si="197"/>
        <v>OK</v>
      </c>
      <c r="U364" s="95" t="str">
        <f t="shared" si="198"/>
        <v/>
      </c>
      <c r="V364" s="96">
        <f t="shared" si="199"/>
        <v>0</v>
      </c>
    </row>
    <row r="365" spans="1:22" x14ac:dyDescent="0.2">
      <c r="A365" s="35">
        <v>4</v>
      </c>
      <c r="B365" s="6">
        <v>500</v>
      </c>
      <c r="C365" s="6">
        <v>100</v>
      </c>
      <c r="D365" s="7" t="s">
        <v>484</v>
      </c>
      <c r="E365" s="7" t="s">
        <v>85</v>
      </c>
      <c r="F365" s="8">
        <v>1</v>
      </c>
      <c r="G365" s="8">
        <v>1</v>
      </c>
      <c r="H365" s="8">
        <v>1</v>
      </c>
      <c r="I365" s="8">
        <v>1</v>
      </c>
      <c r="J365" s="8">
        <v>1</v>
      </c>
      <c r="K365" s="23" t="s">
        <v>25</v>
      </c>
      <c r="L365" s="47" t="s">
        <v>244</v>
      </c>
      <c r="M365" s="17">
        <f t="shared" si="192"/>
        <v>0.2</v>
      </c>
      <c r="N365" s="18">
        <f t="shared" si="193"/>
        <v>4.8</v>
      </c>
      <c r="O365" s="19">
        <f>IF(E365="HERRAJE",IFERROR(_xlfn.XLOOKUP(D365,'⚙️ Configuración Costos'!$A$11:$A$20,'⚙️ Configuración Costos'!$B$11:$B$20),""),IFERROR(_xlfn.XLOOKUP(E365,'⚙️ Configuración Costos'!$A$5:$A$6,'⚙️ Configuración Costos'!$B$5:$B$6),""))</f>
        <v>332.85245901639348</v>
      </c>
      <c r="P365" s="19">
        <f t="shared" si="194"/>
        <v>66.570491803278699</v>
      </c>
      <c r="Q365" s="19">
        <f>IF(E365="HERRAJE",0,IFERROR(_xlfn.XLOOKUP(E365,'⚙️ Configuración Costos'!$E$5:$E$6,'⚙️ Configuración Costos'!$F$5:$F$6),""))</f>
        <v>9.5</v>
      </c>
      <c r="R365" s="19">
        <f t="shared" si="195"/>
        <v>45.6</v>
      </c>
      <c r="S365" s="37">
        <f t="shared" si="196"/>
        <v>112.17049180327871</v>
      </c>
      <c r="T365" s="94" t="str">
        <f t="shared" si="197"/>
        <v>OK</v>
      </c>
      <c r="U365" s="95" t="str">
        <f t="shared" si="198"/>
        <v/>
      </c>
      <c r="V365" s="96">
        <f t="shared" si="199"/>
        <v>0</v>
      </c>
    </row>
    <row r="366" spans="1:22" x14ac:dyDescent="0.2">
      <c r="A366" s="35">
        <v>3</v>
      </c>
      <c r="B366" s="6">
        <v>412</v>
      </c>
      <c r="C366" s="6">
        <v>469</v>
      </c>
      <c r="D366" s="7" t="s">
        <v>485</v>
      </c>
      <c r="E366" s="7" t="s">
        <v>85</v>
      </c>
      <c r="F366" s="8">
        <v>1</v>
      </c>
      <c r="G366" s="8">
        <v>0</v>
      </c>
      <c r="H366" s="8">
        <v>0</v>
      </c>
      <c r="I366" s="8">
        <v>0</v>
      </c>
      <c r="J366" s="8">
        <v>0</v>
      </c>
      <c r="K366" s="23" t="s">
        <v>25</v>
      </c>
      <c r="L366" s="47" t="s">
        <v>260</v>
      </c>
      <c r="M366" s="17">
        <f t="shared" si="192"/>
        <v>0.57968400000000009</v>
      </c>
      <c r="N366" s="18">
        <f t="shared" si="193"/>
        <v>0</v>
      </c>
      <c r="O366" s="19">
        <f>IF(E366="HERRAJE",IFERROR(_xlfn.XLOOKUP(D366,'⚙️ Configuración Costos'!$A$11:$A$20,'⚙️ Configuración Costos'!$B$11:$B$20),""),IFERROR(_xlfn.XLOOKUP(E366,'⚙️ Configuración Costos'!$A$5:$A$6,'⚙️ Configuración Costos'!$B$5:$B$6),""))</f>
        <v>332.85245901639348</v>
      </c>
      <c r="P366" s="19">
        <f t="shared" si="194"/>
        <v>192.94924485245906</v>
      </c>
      <c r="Q366" s="19">
        <f>IF(E366="HERRAJE",0,IFERROR(_xlfn.XLOOKUP(E366,'⚙️ Configuración Costos'!$E$5:$E$6,'⚙️ Configuración Costos'!$F$5:$F$6),""))</f>
        <v>9.5</v>
      </c>
      <c r="R366" s="19">
        <f t="shared" si="195"/>
        <v>0</v>
      </c>
      <c r="S366" s="37">
        <f t="shared" si="196"/>
        <v>192.94924485245906</v>
      </c>
      <c r="T366" s="94" t="str">
        <f t="shared" si="197"/>
        <v>OK</v>
      </c>
      <c r="U366" s="95" t="str">
        <f t="shared" si="198"/>
        <v/>
      </c>
      <c r="V366" s="96">
        <f t="shared" si="199"/>
        <v>0</v>
      </c>
    </row>
    <row r="367" spans="1:22" x14ac:dyDescent="0.2">
      <c r="A367" s="35">
        <v>2</v>
      </c>
      <c r="B367" s="6">
        <v>412</v>
      </c>
      <c r="C367" s="6">
        <v>230</v>
      </c>
      <c r="D367" s="7" t="s">
        <v>487</v>
      </c>
      <c r="E367" s="7" t="s">
        <v>85</v>
      </c>
      <c r="F367" s="8">
        <v>1</v>
      </c>
      <c r="G367" s="8">
        <v>1</v>
      </c>
      <c r="H367" s="8">
        <v>1</v>
      </c>
      <c r="I367" s="8">
        <v>0</v>
      </c>
      <c r="J367" s="8">
        <v>0</v>
      </c>
      <c r="K367" s="23" t="s">
        <v>25</v>
      </c>
      <c r="L367" s="47" t="s">
        <v>262</v>
      </c>
      <c r="M367" s="17">
        <f t="shared" si="192"/>
        <v>0.18951999999999999</v>
      </c>
      <c r="N367" s="18">
        <f t="shared" si="193"/>
        <v>1.6479999999999999</v>
      </c>
      <c r="O367" s="19">
        <f>IF(E367="HERRAJE",IFERROR(_xlfn.XLOOKUP(D367,'⚙️ Configuración Costos'!$A$11:$A$20,'⚙️ Configuración Costos'!$B$11:$B$20),""),IFERROR(_xlfn.XLOOKUP(E367,'⚙️ Configuración Costos'!$A$5:$A$6,'⚙️ Configuración Costos'!$B$5:$B$6),""))</f>
        <v>332.85245901639348</v>
      </c>
      <c r="P367" s="19">
        <f t="shared" si="194"/>
        <v>63.082198032786891</v>
      </c>
      <c r="Q367" s="19">
        <f>IF(E367="HERRAJE",0,IFERROR(_xlfn.XLOOKUP(E367,'⚙️ Configuración Costos'!$E$5:$E$6,'⚙️ Configuración Costos'!$F$5:$F$6),""))</f>
        <v>9.5</v>
      </c>
      <c r="R367" s="19">
        <f t="shared" si="195"/>
        <v>15.655999999999999</v>
      </c>
      <c r="S367" s="37">
        <f t="shared" si="196"/>
        <v>78.738198032786897</v>
      </c>
      <c r="T367" s="94" t="str">
        <f t="shared" si="197"/>
        <v>OK</v>
      </c>
      <c r="U367" s="95" t="str">
        <f t="shared" si="198"/>
        <v/>
      </c>
      <c r="V367" s="96">
        <f t="shared" si="199"/>
        <v>0</v>
      </c>
    </row>
    <row r="368" spans="1:22" x14ac:dyDescent="0.2">
      <c r="A368" s="35">
        <v>4</v>
      </c>
      <c r="B368" s="6">
        <v>412</v>
      </c>
      <c r="C368" s="6">
        <v>100</v>
      </c>
      <c r="D368" s="7" t="s">
        <v>487</v>
      </c>
      <c r="E368" s="7" t="s">
        <v>85</v>
      </c>
      <c r="F368" s="8">
        <v>1</v>
      </c>
      <c r="G368" s="8">
        <v>1</v>
      </c>
      <c r="H368" s="8">
        <v>1</v>
      </c>
      <c r="I368" s="8">
        <v>0</v>
      </c>
      <c r="J368" s="8">
        <v>0</v>
      </c>
      <c r="K368" s="23" t="s">
        <v>25</v>
      </c>
      <c r="L368" s="47" t="s">
        <v>263</v>
      </c>
      <c r="M368" s="17">
        <f t="shared" si="192"/>
        <v>0.1648</v>
      </c>
      <c r="N368" s="18">
        <f t="shared" si="193"/>
        <v>3.2959999999999998</v>
      </c>
      <c r="O368" s="19">
        <f>IF(E368="HERRAJE",IFERROR(_xlfn.XLOOKUP(D368,'⚙️ Configuración Costos'!$A$11:$A$20,'⚙️ Configuración Costos'!$B$11:$B$20),""),IFERROR(_xlfn.XLOOKUP(E368,'⚙️ Configuración Costos'!$A$5:$A$6,'⚙️ Configuración Costos'!$B$5:$B$6),""))</f>
        <v>332.85245901639348</v>
      </c>
      <c r="P368" s="19">
        <f t="shared" si="194"/>
        <v>54.854085245901643</v>
      </c>
      <c r="Q368" s="19">
        <f>IF(E368="HERRAJE",0,IFERROR(_xlfn.XLOOKUP(E368,'⚙️ Configuración Costos'!$E$5:$E$6,'⚙️ Configuración Costos'!$F$5:$F$6),""))</f>
        <v>9.5</v>
      </c>
      <c r="R368" s="19">
        <f t="shared" si="195"/>
        <v>31.311999999999998</v>
      </c>
      <c r="S368" s="37">
        <f t="shared" si="196"/>
        <v>86.166085245901641</v>
      </c>
      <c r="T368" s="94" t="str">
        <f t="shared" si="197"/>
        <v>OK</v>
      </c>
      <c r="U368" s="95" t="str">
        <f t="shared" si="198"/>
        <v/>
      </c>
      <c r="V368" s="96">
        <f t="shared" si="199"/>
        <v>0</v>
      </c>
    </row>
    <row r="369" spans="1:22" x14ac:dyDescent="0.2">
      <c r="A369" s="35">
        <v>1</v>
      </c>
      <c r="B369" s="6">
        <v>496</v>
      </c>
      <c r="C369" s="6">
        <v>356</v>
      </c>
      <c r="D369" s="7" t="s">
        <v>250</v>
      </c>
      <c r="E369" s="7" t="s">
        <v>85</v>
      </c>
      <c r="F369" s="8">
        <v>1</v>
      </c>
      <c r="G369" s="8">
        <v>1</v>
      </c>
      <c r="H369" s="8">
        <v>1</v>
      </c>
      <c r="I369" s="8">
        <v>1</v>
      </c>
      <c r="J369" s="8">
        <v>1</v>
      </c>
      <c r="K369" s="23" t="s">
        <v>25</v>
      </c>
      <c r="L369" s="47" t="s">
        <v>264</v>
      </c>
      <c r="M369" s="17">
        <f t="shared" si="192"/>
        <v>0.17657600000000001</v>
      </c>
      <c r="N369" s="18">
        <f t="shared" si="193"/>
        <v>1.704</v>
      </c>
      <c r="O369" s="19">
        <f>IF(E369="HERRAJE",IFERROR(_xlfn.XLOOKUP(D369,'⚙️ Configuración Costos'!$A$11:$A$20,'⚙️ Configuración Costos'!$B$11:$B$20),""),IFERROR(_xlfn.XLOOKUP(E369,'⚙️ Configuración Costos'!$A$5:$A$6,'⚙️ Configuración Costos'!$B$5:$B$6),""))</f>
        <v>332.85245901639348</v>
      </c>
      <c r="P369" s="19">
        <f t="shared" si="194"/>
        <v>58.773755803278696</v>
      </c>
      <c r="Q369" s="19">
        <f>IF(E369="HERRAJE",0,IFERROR(_xlfn.XLOOKUP(E369,'⚙️ Configuración Costos'!$E$5:$E$6,'⚙️ Configuración Costos'!$F$5:$F$6),""))</f>
        <v>9.5</v>
      </c>
      <c r="R369" s="19">
        <f t="shared" si="195"/>
        <v>16.187999999999999</v>
      </c>
      <c r="S369" s="37">
        <f t="shared" si="196"/>
        <v>74.961755803278692</v>
      </c>
      <c r="T369" s="94" t="str">
        <f t="shared" si="197"/>
        <v>OK</v>
      </c>
      <c r="U369" s="95" t="str">
        <f t="shared" si="198"/>
        <v/>
      </c>
      <c r="V369" s="96">
        <f t="shared" si="199"/>
        <v>0</v>
      </c>
    </row>
    <row r="370" spans="1:22" x14ac:dyDescent="0.2">
      <c r="A370" s="35">
        <v>1</v>
      </c>
      <c r="B370" s="6">
        <v>496</v>
      </c>
      <c r="C370" s="6">
        <v>176</v>
      </c>
      <c r="D370" s="7" t="s">
        <v>252</v>
      </c>
      <c r="E370" s="7" t="s">
        <v>85</v>
      </c>
      <c r="F370" s="8">
        <v>1</v>
      </c>
      <c r="G370" s="8">
        <v>1</v>
      </c>
      <c r="H370" s="8">
        <v>1</v>
      </c>
      <c r="I370" s="8">
        <v>1</v>
      </c>
      <c r="J370" s="8">
        <v>1</v>
      </c>
      <c r="K370" s="23" t="s">
        <v>25</v>
      </c>
      <c r="L370" s="47" t="s">
        <v>265</v>
      </c>
      <c r="M370" s="17">
        <f t="shared" si="192"/>
        <v>8.7295999999999999E-2</v>
      </c>
      <c r="N370" s="18">
        <f t="shared" si="193"/>
        <v>1.3440000000000001</v>
      </c>
      <c r="O370" s="19">
        <f>IF(E370="HERRAJE",IFERROR(_xlfn.XLOOKUP(D370,'⚙️ Configuración Costos'!$A$11:$A$20,'⚙️ Configuración Costos'!$B$11:$B$20),""),IFERROR(_xlfn.XLOOKUP(E370,'⚙️ Configuración Costos'!$A$5:$A$6,'⚙️ Configuración Costos'!$B$5:$B$6),""))</f>
        <v>332.85245901639348</v>
      </c>
      <c r="P370" s="19">
        <f t="shared" si="194"/>
        <v>29.056688262295086</v>
      </c>
      <c r="Q370" s="19">
        <f>IF(E370="HERRAJE",0,IFERROR(_xlfn.XLOOKUP(E370,'⚙️ Configuración Costos'!$E$5:$E$6,'⚙️ Configuración Costos'!$F$5:$F$6),""))</f>
        <v>9.5</v>
      </c>
      <c r="R370" s="19">
        <f t="shared" si="195"/>
        <v>12.768000000000001</v>
      </c>
      <c r="S370" s="37">
        <f t="shared" si="196"/>
        <v>41.824688262295084</v>
      </c>
      <c r="T370" s="94" t="str">
        <f t="shared" si="197"/>
        <v>OK</v>
      </c>
      <c r="U370" s="95" t="str">
        <f t="shared" si="198"/>
        <v/>
      </c>
      <c r="V370" s="96">
        <f t="shared" si="199"/>
        <v>0</v>
      </c>
    </row>
    <row r="371" spans="1:22" x14ac:dyDescent="0.2">
      <c r="A371" s="35">
        <v>1</v>
      </c>
      <c r="B371" s="6">
        <v>496</v>
      </c>
      <c r="C371" s="6">
        <v>176</v>
      </c>
      <c r="D371" s="7" t="s">
        <v>254</v>
      </c>
      <c r="E371" s="7" t="s">
        <v>85</v>
      </c>
      <c r="F371" s="8">
        <v>1</v>
      </c>
      <c r="G371" s="8">
        <v>1</v>
      </c>
      <c r="H371" s="8">
        <v>1</v>
      </c>
      <c r="I371" s="8">
        <v>1</v>
      </c>
      <c r="J371" s="8">
        <v>1</v>
      </c>
      <c r="K371" s="23" t="s">
        <v>25</v>
      </c>
      <c r="L371" s="47" t="s">
        <v>266</v>
      </c>
      <c r="M371" s="17">
        <f t="shared" si="192"/>
        <v>8.7295999999999999E-2</v>
      </c>
      <c r="N371" s="18">
        <f t="shared" si="193"/>
        <v>1.3440000000000001</v>
      </c>
      <c r="O371" s="19">
        <f>IF(E371="HERRAJE",IFERROR(_xlfn.XLOOKUP(D371,'⚙️ Configuración Costos'!$A$11:$A$20,'⚙️ Configuración Costos'!$B$11:$B$20),""),IFERROR(_xlfn.XLOOKUP(E371,'⚙️ Configuración Costos'!$A$5:$A$6,'⚙️ Configuración Costos'!$B$5:$B$6),""))</f>
        <v>332.85245901639348</v>
      </c>
      <c r="P371" s="19">
        <f t="shared" si="194"/>
        <v>29.056688262295086</v>
      </c>
      <c r="Q371" s="19">
        <f>IF(E371="HERRAJE",0,IFERROR(_xlfn.XLOOKUP(E371,'⚙️ Configuración Costos'!$E$5:$E$6,'⚙️ Configuración Costos'!$F$5:$F$6),""))</f>
        <v>9.5</v>
      </c>
      <c r="R371" s="19">
        <f t="shared" si="195"/>
        <v>12.768000000000001</v>
      </c>
      <c r="S371" s="37">
        <f t="shared" si="196"/>
        <v>41.824688262295084</v>
      </c>
      <c r="T371" s="94" t="str">
        <f t="shared" si="197"/>
        <v>OK</v>
      </c>
      <c r="U371" s="95" t="str">
        <f t="shared" si="198"/>
        <v/>
      </c>
      <c r="V371" s="96">
        <f t="shared" si="199"/>
        <v>0</v>
      </c>
    </row>
    <row r="372" spans="1:22" x14ac:dyDescent="0.2">
      <c r="A372" s="35">
        <v>3</v>
      </c>
      <c r="B372" s="6">
        <v>0</v>
      </c>
      <c r="C372" s="6">
        <v>0</v>
      </c>
      <c r="D372" s="7" t="s">
        <v>256</v>
      </c>
      <c r="E372" s="7" t="s">
        <v>91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23" t="s">
        <v>25</v>
      </c>
      <c r="L372" s="47" t="s">
        <v>257</v>
      </c>
      <c r="M372" s="17">
        <f t="shared" si="192"/>
        <v>0</v>
      </c>
      <c r="N372" s="18">
        <f t="shared" si="193"/>
        <v>0</v>
      </c>
      <c r="O372" s="19">
        <f>IF(E372="HERRAJE",IFERROR(_xlfn.XLOOKUP(D372,'⚙️ Configuración Costos'!$A$11:$A$20,'⚙️ Configuración Costos'!$B$11:$B$20),""),IFERROR(_xlfn.XLOOKUP(E372,'⚙️ Configuración Costos'!$A$5:$A$6,'⚙️ Configuración Costos'!$B$5:$B$6),""))</f>
        <v>125</v>
      </c>
      <c r="P372" s="19">
        <f t="shared" si="194"/>
        <v>375</v>
      </c>
      <c r="Q372" s="19">
        <f>IF(E372="HERRAJE",0,IFERROR(_xlfn.XLOOKUP(E372,'⚙️ Configuración Costos'!$E$5:$E$6,'⚙️ Configuración Costos'!$F$5:$F$6),""))</f>
        <v>0</v>
      </c>
      <c r="R372" s="19">
        <f t="shared" si="195"/>
        <v>0</v>
      </c>
      <c r="S372" s="37">
        <f t="shared" si="196"/>
        <v>375</v>
      </c>
      <c r="T372" s="94" t="str">
        <f t="shared" si="197"/>
        <v>OK</v>
      </c>
      <c r="U372" s="95" t="str">
        <f t="shared" si="198"/>
        <v/>
      </c>
      <c r="V372" s="96">
        <f t="shared" si="199"/>
        <v>0</v>
      </c>
    </row>
    <row r="373" spans="1:22" x14ac:dyDescent="0.2">
      <c r="A373" s="35">
        <v>3</v>
      </c>
      <c r="B373" s="6">
        <v>0</v>
      </c>
      <c r="C373" s="6">
        <v>0</v>
      </c>
      <c r="D373" s="7" t="s">
        <v>93</v>
      </c>
      <c r="E373" s="7" t="s">
        <v>91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23" t="s">
        <v>25</v>
      </c>
      <c r="L373" s="47" t="s">
        <v>94</v>
      </c>
      <c r="M373" s="17">
        <f t="shared" si="192"/>
        <v>0</v>
      </c>
      <c r="N373" s="18">
        <f t="shared" si="193"/>
        <v>0</v>
      </c>
      <c r="O373" s="19">
        <f>IF(E373="HERRAJE",IFERROR(_xlfn.XLOOKUP(D373,'⚙️ Configuración Costos'!$A$11:$A$20,'⚙️ Configuración Costos'!$B$11:$B$20),""),IFERROR(_xlfn.XLOOKUP(E373,'⚙️ Configuración Costos'!$A$5:$A$6,'⚙️ Configuración Costos'!$B$5:$B$6),""))</f>
        <v>15</v>
      </c>
      <c r="P373" s="19">
        <f t="shared" si="194"/>
        <v>45</v>
      </c>
      <c r="Q373" s="19">
        <f>IF(E373="HERRAJE",0,IFERROR(_xlfn.XLOOKUP(E373,'⚙️ Configuración Costos'!$E$5:$E$6,'⚙️ Configuración Costos'!$F$5:$F$6),""))</f>
        <v>0</v>
      </c>
      <c r="R373" s="19">
        <f t="shared" si="195"/>
        <v>0</v>
      </c>
      <c r="S373" s="37">
        <f t="shared" si="196"/>
        <v>45</v>
      </c>
      <c r="T373" s="94" t="str">
        <f t="shared" si="197"/>
        <v>OK</v>
      </c>
      <c r="U373" s="95" t="str">
        <f t="shared" si="198"/>
        <v/>
      </c>
      <c r="V373" s="96">
        <f t="shared" si="199"/>
        <v>0</v>
      </c>
    </row>
    <row r="374" spans="1:22" x14ac:dyDescent="0.2">
      <c r="A374" s="35">
        <v>4</v>
      </c>
      <c r="B374" s="6">
        <v>0</v>
      </c>
      <c r="C374" s="6">
        <v>0</v>
      </c>
      <c r="D374" s="7" t="s">
        <v>186</v>
      </c>
      <c r="E374" s="7" t="s">
        <v>91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23" t="s">
        <v>25</v>
      </c>
      <c r="L374" s="47" t="s">
        <v>187</v>
      </c>
      <c r="M374" s="17">
        <f t="shared" si="192"/>
        <v>0</v>
      </c>
      <c r="N374" s="18">
        <f t="shared" si="193"/>
        <v>0</v>
      </c>
      <c r="O374" s="19">
        <f>IF(E374="HERRAJE",IFERROR(_xlfn.XLOOKUP(D374,'⚙️ Configuración Costos'!$A$11:$A$20,'⚙️ Configuración Costos'!$B$11:$B$20),""),IFERROR(_xlfn.XLOOKUP(E374,'⚙️ Configuración Costos'!$A$5:$A$6,'⚙️ Configuración Costos'!$B$5:$B$6),""))</f>
        <v>15</v>
      </c>
      <c r="P374" s="19">
        <f t="shared" si="194"/>
        <v>60</v>
      </c>
      <c r="Q374" s="19">
        <f>IF(E374="HERRAJE",0,IFERROR(_xlfn.XLOOKUP(E374,'⚙️ Configuración Costos'!$E$5:$E$6,'⚙️ Configuración Costos'!$F$5:$F$6),""))</f>
        <v>0</v>
      </c>
      <c r="R374" s="19">
        <f t="shared" si="195"/>
        <v>0</v>
      </c>
      <c r="S374" s="37">
        <f t="shared" si="196"/>
        <v>60</v>
      </c>
      <c r="T374" s="94" t="str">
        <f t="shared" si="197"/>
        <v>OK</v>
      </c>
      <c r="U374" s="95" t="str">
        <f t="shared" si="198"/>
        <v/>
      </c>
      <c r="V374" s="96">
        <f t="shared" si="199"/>
        <v>0</v>
      </c>
    </row>
    <row r="375" spans="1:22" x14ac:dyDescent="0.2">
      <c r="A375" s="36">
        <f>4*(IF(LEFT(D359,4)="Base",A359,0)+IF(LEFT(D359,4)="Piso",A359,0)+IF(LEFT(D359,5)="Techo",A359,0)+IF(LEFT(D360,4)="Base",A360,0)+IF(LEFT(D360,4)="Piso",A360,0)+IF(LEFT(D360,5)="Techo",A360,0)+IF(LEFT(D361,4)="Base",A361,0)+IF(LEFT(D361,4)="Piso",A361,0)+IF(LEFT(D361,5)="Techo",A361,0)+IF(LEFT(D362,4)="Base",A362,0)+IF(LEFT(D362,4)="Piso",A362,0)+IF(LEFT(D362,5)="Techo",A362,0)+IF(LEFT(D363,4)="Base",A363,0)+IF(LEFT(D363,4)="Piso",A363,0)+IF(LEFT(D363,5)="Techo",A363,0)+IF(LEFT(D364,4)="Base",A364,0)+IF(LEFT(D364,4)="Piso",A364,0)+IF(LEFT(D364,5)="Techo",A364,0)+IF(LEFT(D365,4)="Base",A365,0)+IF(LEFT(D365,4)="Piso",A365,0)+IF(LEFT(D365,5)="Techo",A365,0)+IF(LEFT(D366,4)="Base",A366,0)+IF(LEFT(D366,4)="Piso",A366,0)+IF(LEFT(D366,5)="Techo",A366,0)+IF(LEFT(D367,4)="Base",A367,0)+IF(LEFT(D367,4)="Piso",A367,0)+IF(LEFT(D367,5)="Techo",A367,0)+IF(LEFT(D368,4)="Base",A368,0)+IF(LEFT(D368,4)="Piso",A368,0)+IF(LEFT(D368,5)="Techo",A368,0)+IF(LEFT(D369,4)="Base",A369,0)+IF(LEFT(D369,4)="Piso",A369,0)+IF(LEFT(D369,5)="Techo",A369,0)+IF(LEFT(D370,4)="Base",A370,0)+IF(LEFT(D370,4)="Piso",A370,0)+IF(LEFT(D370,5)="Techo",A370,0)+IF(LEFT(D371,4)="Base",A371,0)+IF(LEFT(D371,4)="Piso",A371,0)+IF(LEFT(D371,5)="Techo",A371,0))+10*(IF(LEFT(D359,8)="Respaldo",A359,0)+IF(LEFT(D360,8)="Respaldo",A360,0)+IF(LEFT(D361,8)="Respaldo",A361,0)+IF(LEFT(D362,8)="Respaldo",A362,0)+IF(LEFT(D363,8)="Respaldo",A363,0)+IF(LEFT(D364,8)="Respaldo",A364,0)+IF(LEFT(D365,8)="Respaldo",A365,0)+IF(LEFT(D366,8)="Respaldo",A366,0)+IF(LEFT(D367,8)="Respaldo",A367,0)+IF(LEFT(D368,8)="Respaldo",A368,0)+IF(LEFT(D369,8)="Respaldo",A369,0)+IF(LEFT(D370,8)="Respaldo",A370,0)+IF(LEFT(D371,8)="Respaldo",A371,0))+2*(IF(LEFT(D359,8)="Manguete",A359,0)+IF(LEFT(D360,8)="Manguete",A360,0)+IF(LEFT(D361,8)="Manguete",A361,0)+IF(LEFT(D362,8)="Manguete",A362,0)+IF(LEFT(D363,8)="Manguete",A363,0)+IF(LEFT(D364,8)="Manguete",A364,0)+IF(LEFT(D365,8)="Manguete",A365,0)+IF(LEFT(D366,8)="Manguete",A366,0)+IF(LEFT(D367,8)="Manguete",A367,0)+IF(LEFT(D368,8)="Manguete",A368,0)+IF(LEFT(D369,8)="Manguete",A369,0)+IF(LEFT(D370,8)="Manguete",A370,0)+IF(LEFT(D371,8)="Manguete",A371,0))</f>
        <v>24</v>
      </c>
      <c r="B375" s="20">
        <v>0</v>
      </c>
      <c r="C375" s="20">
        <v>0</v>
      </c>
      <c r="D375" s="21" t="s">
        <v>400</v>
      </c>
      <c r="E375" s="21" t="s">
        <v>91</v>
      </c>
      <c r="F375" s="22">
        <v>0</v>
      </c>
      <c r="G375" s="22">
        <v>0</v>
      </c>
      <c r="H375" s="22">
        <v>0</v>
      </c>
      <c r="I375" s="22">
        <v>0</v>
      </c>
      <c r="J375" s="22">
        <v>0</v>
      </c>
      <c r="K375" s="23" t="s">
        <v>25</v>
      </c>
      <c r="L375" s="48" t="s">
        <v>360</v>
      </c>
      <c r="M375" s="17">
        <f t="shared" si="192"/>
        <v>0</v>
      </c>
      <c r="N375" s="18">
        <f t="shared" si="193"/>
        <v>0</v>
      </c>
      <c r="O375" s="19">
        <f>IF(E375="HERRAJE",IFERROR(_xlfn.XLOOKUP(D375,'⚙️ Configuración Costos'!$A$11:$A$20,'⚙️ Configuración Costos'!$B$11:$B$20),""),IFERROR(_xlfn.XLOOKUP(E375,'⚙️ Configuración Costos'!$A$5:$A$6,'⚙️ Configuración Costos'!$B$5:$B$6),""))</f>
        <v>3</v>
      </c>
      <c r="P375" s="19">
        <f t="shared" si="194"/>
        <v>72</v>
      </c>
      <c r="Q375" s="19">
        <f>IF(E375="HERRAJE",0,IFERROR(_xlfn.XLOOKUP(E375,'⚙️ Configuración Costos'!$E$5:$E$6,'⚙️ Configuración Costos'!$F$5:$F$6),""))</f>
        <v>0</v>
      </c>
      <c r="R375" s="19">
        <f t="shared" si="195"/>
        <v>0</v>
      </c>
      <c r="S375" s="37">
        <f t="shared" si="196"/>
        <v>72</v>
      </c>
      <c r="T375" s="94" t="str">
        <f t="shared" si="197"/>
        <v>OK</v>
      </c>
      <c r="U375" s="95" t="str">
        <f t="shared" si="198"/>
        <v/>
      </c>
      <c r="V375" s="96">
        <f t="shared" si="199"/>
        <v>0</v>
      </c>
    </row>
    <row r="376" spans="1:22" ht="16" thickBot="1" x14ac:dyDescent="0.25">
      <c r="A376" s="36">
        <f>6*(IF(LEFT(D359,4)="Base",A359,0)+IF(LEFT(D359,4)="Piso",A359,0)+IF(LEFT(D359,5)="Techo",A359,0)+IF(LEFT(D360,4)="Base",A360,0)+IF(LEFT(D360,4)="Piso",A360,0)+IF(LEFT(D360,5)="Techo",A360,0)+IF(LEFT(D361,4)="Base",A361,0)+IF(LEFT(D361,4)="Piso",A361,0)+IF(LEFT(D361,5)="Techo",A361,0)+IF(LEFT(D362,4)="Base",A362,0)+IF(LEFT(D362,4)="Piso",A362,0)+IF(LEFT(D362,5)="Techo",A362,0)+IF(LEFT(D363,4)="Base",A363,0)+IF(LEFT(D363,4)="Piso",A363,0)+IF(LEFT(D363,5)="Techo",A363,0)+IF(LEFT(D364,4)="Base",A364,0)+IF(LEFT(D364,4)="Piso",A364,0)+IF(LEFT(D364,5)="Techo",A364,0)+IF(LEFT(D365,4)="Base",A365,0)+IF(LEFT(D365,4)="Piso",A365,0)+IF(LEFT(D365,5)="Techo",A365,0)+IF(LEFT(D366,4)="Base",A366,0)+IF(LEFT(D366,4)="Piso",A366,0)+IF(LEFT(D366,5)="Techo",A366,0)+IF(LEFT(D367,4)="Base",A367,0)+IF(LEFT(D367,4)="Piso",A367,0)+IF(LEFT(D367,5)="Techo",A367,0)+IF(LEFT(D368,4)="Base",A368,0)+IF(LEFT(D368,4)="Piso",A368,0)+IF(LEFT(D368,5)="Techo",A368,0)+IF(LEFT(D369,4)="Base",A369,0)+IF(LEFT(D369,4)="Piso",A369,0)+IF(LEFT(D369,5)="Techo",A369,0)+IF(LEFT(D370,4)="Base",A370,0)+IF(LEFT(D370,4)="Piso",A370,0)+IF(LEFT(D370,5)="Techo",A370,0)+IF(LEFT(D371,4)="Base",A371,0)+IF(LEFT(D371,4)="Piso",A371,0)+IF(LEFT(D371,5)="Techo",A371,0))+10*(IF(LEFT(D359,8)="Respaldo",A359,0)+IF(LEFT(D360,8)="Respaldo",A360,0)+IF(LEFT(D361,8)="Respaldo",A361,0)+IF(LEFT(D362,8)="Respaldo",A362,0)+IF(LEFT(D363,8)="Respaldo",A363,0)+IF(LEFT(D364,8)="Respaldo",A364,0)+IF(LEFT(D365,8)="Respaldo",A365,0)+IF(LEFT(D366,8)="Respaldo",A366,0)+IF(LEFT(D367,8)="Respaldo",A367,0)+IF(LEFT(D368,8)="Respaldo",A368,0)+IF(LEFT(D369,8)="Respaldo",A369,0)+IF(LEFT(D370,8)="Respaldo",A370,0)+IF(LEFT(D371,8)="Respaldo",A371,0))+4*(IF(LEFT(D359,8)="Manguete",A359,0)+IF(LEFT(D360,8)="Manguete",A360,0)+IF(LEFT(D361,8)="Manguete",A361,0)+IF(LEFT(D362,8)="Manguete",A362,0)+IF(LEFT(D363,8)="Manguete",A363,0)+IF(LEFT(D364,8)="Manguete",A364,0)+IF(LEFT(D365,8)="Manguete",A365,0)+IF(LEFT(D366,8)="Manguete",A366,0)+IF(LEFT(D367,8)="Manguete",A367,0)+IF(LEFT(D368,8)="Manguete",A368,0)+IF(LEFT(D369,8)="Manguete",A369,0)+IF(LEFT(D370,8)="Manguete",A370,0)+IF(LEFT(D371,8)="Manguete",A371,0))</f>
        <v>40</v>
      </c>
      <c r="B376" s="20">
        <v>0</v>
      </c>
      <c r="C376" s="20">
        <v>0</v>
      </c>
      <c r="D376" s="21" t="s">
        <v>468</v>
      </c>
      <c r="E376" s="21" t="s">
        <v>91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23" t="s">
        <v>25</v>
      </c>
      <c r="L376" s="48" t="s">
        <v>361</v>
      </c>
      <c r="M376" s="17">
        <f t="shared" si="192"/>
        <v>0</v>
      </c>
      <c r="N376" s="18">
        <f t="shared" si="193"/>
        <v>0</v>
      </c>
      <c r="O376" s="19">
        <f>IF(E376="HERRAJE",IFERROR(_xlfn.XLOOKUP(D376,'⚙️ Configuración Costos'!$A$11:$A$20,'⚙️ Configuración Costos'!$B$11:$B$20),""),IFERROR(_xlfn.XLOOKUP(E376,'⚙️ Configuración Costos'!$A$5:$A$6,'⚙️ Configuración Costos'!$B$5:$B$6),""))</f>
        <v>1</v>
      </c>
      <c r="P376" s="19">
        <f t="shared" si="194"/>
        <v>40</v>
      </c>
      <c r="Q376" s="19">
        <f>IF(E376="HERRAJE",0,IFERROR(_xlfn.XLOOKUP(E376,'⚙️ Configuración Costos'!$E$5:$E$6,'⚙️ Configuración Costos'!$F$5:$F$6),""))</f>
        <v>0</v>
      </c>
      <c r="R376" s="19">
        <f t="shared" si="195"/>
        <v>0</v>
      </c>
      <c r="S376" s="37">
        <f t="shared" si="196"/>
        <v>40</v>
      </c>
      <c r="T376" s="94" t="str">
        <f t="shared" si="197"/>
        <v>OK</v>
      </c>
      <c r="U376" s="95" t="str">
        <f t="shared" si="198"/>
        <v/>
      </c>
      <c r="V376" s="96">
        <f t="shared" si="199"/>
        <v>0</v>
      </c>
    </row>
    <row r="377" spans="1:22" ht="16" thickTop="1" x14ac:dyDescent="0.2">
      <c r="A377" s="27" t="s">
        <v>99</v>
      </c>
      <c r="B377" s="27"/>
      <c r="C377" s="27"/>
      <c r="D377" s="28"/>
      <c r="E377" s="28"/>
      <c r="F377" s="29"/>
      <c r="G377" s="29"/>
      <c r="H377" s="29"/>
      <c r="I377" s="29"/>
      <c r="J377" s="29"/>
      <c r="K377" s="30"/>
      <c r="L377" s="49"/>
      <c r="M377" s="31">
        <f>SUM(M359:M376)</f>
        <v>3.0475119999999998</v>
      </c>
      <c r="N377" s="32">
        <f>SUM(N359:N376)</f>
        <v>27.168000000000003</v>
      </c>
      <c r="O377" s="33"/>
      <c r="P377" s="33">
        <f>SUM(P359:P376)</f>
        <v>1606.3718630819676</v>
      </c>
      <c r="Q377" s="33"/>
      <c r="R377" s="33">
        <f>SUM(R359:R376)</f>
        <v>258.096</v>
      </c>
      <c r="S377" s="33">
        <f>SUM(S359:S376)</f>
        <v>1864.4678630819674</v>
      </c>
      <c r="T377" s="97"/>
      <c r="U377" s="98"/>
      <c r="V377" s="99"/>
    </row>
    <row r="378" spans="1:22" x14ac:dyDescent="0.2">
      <c r="A378" s="186" t="s">
        <v>267</v>
      </c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8"/>
      <c r="T378" s="97"/>
      <c r="U378" s="98"/>
      <c r="V378" s="99"/>
    </row>
    <row r="379" spans="1:22" x14ac:dyDescent="0.2">
      <c r="A379" s="34">
        <v>1</v>
      </c>
      <c r="B379" s="13">
        <v>720</v>
      </c>
      <c r="C379" s="13">
        <v>580</v>
      </c>
      <c r="D379" s="14" t="s">
        <v>63</v>
      </c>
      <c r="E379" s="14" t="s">
        <v>85</v>
      </c>
      <c r="F379" s="15">
        <v>1</v>
      </c>
      <c r="G379" s="15">
        <v>1</v>
      </c>
      <c r="H379" s="15">
        <v>1</v>
      </c>
      <c r="I379" s="15">
        <v>1</v>
      </c>
      <c r="J379" s="15">
        <v>1</v>
      </c>
      <c r="K379" s="23" t="s">
        <v>26</v>
      </c>
      <c r="L379" s="46" t="s">
        <v>365</v>
      </c>
      <c r="M379" s="17">
        <f t="shared" ref="M379:M396" si="200">IF(AND(ISNUMBER(B379),ISNUMBER(C379),B379&gt;0,C379&gt;0),A379*(B379*C379/1000000),0)</f>
        <v>0.41760000000000003</v>
      </c>
      <c r="N379" s="18">
        <f t="shared" ref="N379:N396" si="201">IF(AND(ISNUMBER(B379),B379&gt;0),A379*(((G379+H379)*B379+(I379+J379)*C379)/1000),0)</f>
        <v>2.6</v>
      </c>
      <c r="O379" s="19">
        <f>IF(E379="HERRAJE",IFERROR(_xlfn.XLOOKUP(D379,'⚙️ Configuración Costos'!$A$11:$A$20,'⚙️ Configuración Costos'!$B$11:$B$20),""),IFERROR(_xlfn.XLOOKUP(E379,'⚙️ Configuración Costos'!$A$5:$A$6,'⚙️ Configuración Costos'!$B$5:$B$6),""))</f>
        <v>332.85245901639348</v>
      </c>
      <c r="P379" s="19">
        <f t="shared" ref="P379:P396" si="202">IF(E379="HERRAJE",A379*O379,M379*O379)</f>
        <v>138.99918688524593</v>
      </c>
      <c r="Q379" s="19">
        <f>IF(E379="HERRAJE",0,IFERROR(_xlfn.XLOOKUP(E379,'⚙️ Configuración Costos'!$E$5:$E$6,'⚙️ Configuración Costos'!$F$5:$F$6),""))</f>
        <v>9.5</v>
      </c>
      <c r="R379" s="19">
        <f t="shared" ref="R379:R396" si="203">N379*Q379</f>
        <v>24.7</v>
      </c>
      <c r="S379" s="37">
        <f t="shared" ref="S379:S396" si="204">P379+R379</f>
        <v>163.69918688524592</v>
      </c>
      <c r="T379" s="94" t="str">
        <f t="shared" ref="T379:T396" si="205">IF(K379="","SIN ID MÓDULO",IF(E379="HERRAJE",IF(OR(O379="",O379&lt;=0),"SIN PRECIO HERRAJE","OK"),IF(OR(O379="",O379&lt;=0),"SIN PRECIO MATERIAL",IF(AND(N379&gt;0,OR(Q379="",Q379&lt;=0)),"SIN PRECIO CINTILLA","OK"))))</f>
        <v>OK</v>
      </c>
      <c r="U379" s="95" t="str">
        <f t="shared" ref="U379:U396" si="206">IF(T379="OK","",IF(T379="SIN PRECIO HERRAJE","Capturar precio: "&amp;D379,IF(T379="SIN PRECIO MATERIAL","Configurar material: "&amp;E379,IF(T379="SIN PRECIO CINTILLA","Configurar cintilla: "&amp;E379,IF(T379="SIN ID MÓDULO","Revisar ID del módulo","")))))</f>
        <v/>
      </c>
      <c r="V379" s="96">
        <f t="shared" ref="V379:V396" si="207">IF(T379="OK",0,IF(T379="",0,1))</f>
        <v>0</v>
      </c>
    </row>
    <row r="380" spans="1:22" x14ac:dyDescent="0.2">
      <c r="A380" s="35">
        <v>1</v>
      </c>
      <c r="B380" s="6">
        <v>720</v>
      </c>
      <c r="C380" s="6">
        <v>580</v>
      </c>
      <c r="D380" s="7" t="s">
        <v>66</v>
      </c>
      <c r="E380" s="7" t="s">
        <v>85</v>
      </c>
      <c r="F380" s="8">
        <v>1</v>
      </c>
      <c r="G380" s="8">
        <v>1</v>
      </c>
      <c r="H380" s="8">
        <v>1</v>
      </c>
      <c r="I380" s="8">
        <v>1</v>
      </c>
      <c r="J380" s="8">
        <v>1</v>
      </c>
      <c r="K380" s="23" t="s">
        <v>26</v>
      </c>
      <c r="L380" s="47" t="s">
        <v>366</v>
      </c>
      <c r="M380" s="17">
        <f t="shared" si="200"/>
        <v>0.41760000000000003</v>
      </c>
      <c r="N380" s="18">
        <f t="shared" si="201"/>
        <v>2.6</v>
      </c>
      <c r="O380" s="19">
        <f>IF(E380="HERRAJE",IFERROR(_xlfn.XLOOKUP(D380,'⚙️ Configuración Costos'!$A$11:$A$20,'⚙️ Configuración Costos'!$B$11:$B$20),""),IFERROR(_xlfn.XLOOKUP(E380,'⚙️ Configuración Costos'!$A$5:$A$6,'⚙️ Configuración Costos'!$B$5:$B$6),""))</f>
        <v>332.85245901639348</v>
      </c>
      <c r="P380" s="19">
        <f t="shared" si="202"/>
        <v>138.99918688524593</v>
      </c>
      <c r="Q380" s="19">
        <f>IF(E380="HERRAJE",0,IFERROR(_xlfn.XLOOKUP(E380,'⚙️ Configuración Costos'!$E$5:$E$6,'⚙️ Configuración Costos'!$F$5:$F$6),""))</f>
        <v>9.5</v>
      </c>
      <c r="R380" s="19">
        <f t="shared" si="203"/>
        <v>24.7</v>
      </c>
      <c r="S380" s="37">
        <f t="shared" si="204"/>
        <v>163.69918688524592</v>
      </c>
      <c r="T380" s="94" t="str">
        <f t="shared" si="205"/>
        <v>OK</v>
      </c>
      <c r="U380" s="95" t="str">
        <f t="shared" si="206"/>
        <v/>
      </c>
      <c r="V380" s="96">
        <f t="shared" si="207"/>
        <v>0</v>
      </c>
    </row>
    <row r="381" spans="1:22" x14ac:dyDescent="0.2">
      <c r="A381" s="35">
        <v>1</v>
      </c>
      <c r="B381" s="6">
        <v>569</v>
      </c>
      <c r="C381" s="6">
        <v>580</v>
      </c>
      <c r="D381" s="7" t="s">
        <v>171</v>
      </c>
      <c r="E381" s="7" t="s">
        <v>85</v>
      </c>
      <c r="F381" s="8">
        <v>1</v>
      </c>
      <c r="G381" s="8">
        <v>0</v>
      </c>
      <c r="H381" s="8">
        <v>0</v>
      </c>
      <c r="I381" s="8">
        <v>1</v>
      </c>
      <c r="J381" s="8">
        <v>1</v>
      </c>
      <c r="K381" s="23" t="s">
        <v>26</v>
      </c>
      <c r="L381" s="47" t="s">
        <v>370</v>
      </c>
      <c r="M381" s="17">
        <f t="shared" si="200"/>
        <v>0.33001999999999998</v>
      </c>
      <c r="N381" s="18">
        <f t="shared" si="201"/>
        <v>1.1599999999999999</v>
      </c>
      <c r="O381" s="19">
        <f>IF(E381="HERRAJE",IFERROR(_xlfn.XLOOKUP(D381,'⚙️ Configuración Costos'!$A$11:$A$20,'⚙️ Configuración Costos'!$B$11:$B$20),""),IFERROR(_xlfn.XLOOKUP(E381,'⚙️ Configuración Costos'!$A$5:$A$6,'⚙️ Configuración Costos'!$B$5:$B$6),""))</f>
        <v>332.85245901639348</v>
      </c>
      <c r="P381" s="19">
        <f t="shared" si="202"/>
        <v>109.84796852459017</v>
      </c>
      <c r="Q381" s="19">
        <f>IF(E381="HERRAJE",0,IFERROR(_xlfn.XLOOKUP(E381,'⚙️ Configuración Costos'!$E$5:$E$6,'⚙️ Configuración Costos'!$F$5:$F$6),""))</f>
        <v>9.5</v>
      </c>
      <c r="R381" s="19">
        <f t="shared" si="203"/>
        <v>11.02</v>
      </c>
      <c r="S381" s="37">
        <f t="shared" si="204"/>
        <v>120.86796852459017</v>
      </c>
      <c r="T381" s="94" t="str">
        <f t="shared" si="205"/>
        <v>OK</v>
      </c>
      <c r="U381" s="95" t="str">
        <f t="shared" si="206"/>
        <v/>
      </c>
      <c r="V381" s="96">
        <f t="shared" si="207"/>
        <v>0</v>
      </c>
    </row>
    <row r="382" spans="1:22" x14ac:dyDescent="0.2">
      <c r="A382" s="35">
        <v>2</v>
      </c>
      <c r="B382" s="6">
        <v>569</v>
      </c>
      <c r="C382" s="6">
        <v>120</v>
      </c>
      <c r="D382" s="7" t="s">
        <v>194</v>
      </c>
      <c r="E382" s="7" t="s">
        <v>85</v>
      </c>
      <c r="F382" s="8">
        <v>1</v>
      </c>
      <c r="G382" s="8">
        <v>1</v>
      </c>
      <c r="H382" s="8">
        <v>1</v>
      </c>
      <c r="I382" s="8">
        <v>0</v>
      </c>
      <c r="J382" s="8">
        <v>0</v>
      </c>
      <c r="K382" s="23" t="s">
        <v>26</v>
      </c>
      <c r="L382" s="47" t="s">
        <v>214</v>
      </c>
      <c r="M382" s="17">
        <f t="shared" si="200"/>
        <v>0.13655999999999999</v>
      </c>
      <c r="N382" s="18">
        <f t="shared" si="201"/>
        <v>2.2759999999999998</v>
      </c>
      <c r="O382" s="19">
        <f>IF(E382="HERRAJE",IFERROR(_xlfn.XLOOKUP(D382,'⚙️ Configuración Costos'!$A$11:$A$20,'⚙️ Configuración Costos'!$B$11:$B$20),""),IFERROR(_xlfn.XLOOKUP(E382,'⚙️ Configuración Costos'!$A$5:$A$6,'⚙️ Configuración Costos'!$B$5:$B$6),""))</f>
        <v>332.85245901639348</v>
      </c>
      <c r="P382" s="19">
        <f t="shared" si="202"/>
        <v>45.454331803278691</v>
      </c>
      <c r="Q382" s="19">
        <f>IF(E382="HERRAJE",0,IFERROR(_xlfn.XLOOKUP(E382,'⚙️ Configuración Costos'!$E$5:$E$6,'⚙️ Configuración Costos'!$F$5:$F$6),""))</f>
        <v>9.5</v>
      </c>
      <c r="R382" s="19">
        <f t="shared" si="203"/>
        <v>21.622</v>
      </c>
      <c r="S382" s="37">
        <f t="shared" si="204"/>
        <v>67.076331803278691</v>
      </c>
      <c r="T382" s="94" t="str">
        <f t="shared" si="205"/>
        <v>OK</v>
      </c>
      <c r="U382" s="95" t="str">
        <f t="shared" si="206"/>
        <v/>
      </c>
      <c r="V382" s="96">
        <f t="shared" si="207"/>
        <v>0</v>
      </c>
    </row>
    <row r="383" spans="1:22" x14ac:dyDescent="0.2">
      <c r="A383" s="35">
        <v>2</v>
      </c>
      <c r="B383" s="6">
        <v>569</v>
      </c>
      <c r="C383" s="6">
        <v>120</v>
      </c>
      <c r="D383" s="7" t="s">
        <v>240</v>
      </c>
      <c r="E383" s="7" t="s">
        <v>85</v>
      </c>
      <c r="F383" s="8">
        <v>1</v>
      </c>
      <c r="G383" s="8">
        <v>1</v>
      </c>
      <c r="H383" s="8">
        <v>1</v>
      </c>
      <c r="I383" s="8">
        <v>0</v>
      </c>
      <c r="J383" s="8">
        <v>0</v>
      </c>
      <c r="K383" s="23" t="s">
        <v>26</v>
      </c>
      <c r="L383" s="47" t="s">
        <v>268</v>
      </c>
      <c r="M383" s="17">
        <f t="shared" si="200"/>
        <v>0.13655999999999999</v>
      </c>
      <c r="N383" s="18">
        <f t="shared" si="201"/>
        <v>2.2759999999999998</v>
      </c>
      <c r="O383" s="19">
        <f>IF(E383="HERRAJE",IFERROR(_xlfn.XLOOKUP(D383,'⚙️ Configuración Costos'!$A$11:$A$20,'⚙️ Configuración Costos'!$B$11:$B$20),""),IFERROR(_xlfn.XLOOKUP(E383,'⚙️ Configuración Costos'!$A$5:$A$6,'⚙️ Configuración Costos'!$B$5:$B$6),""))</f>
        <v>332.85245901639348</v>
      </c>
      <c r="P383" s="19">
        <f t="shared" si="202"/>
        <v>45.454331803278691</v>
      </c>
      <c r="Q383" s="19">
        <f>IF(E383="HERRAJE",0,IFERROR(_xlfn.XLOOKUP(E383,'⚙️ Configuración Costos'!$E$5:$E$6,'⚙️ Configuración Costos'!$F$5:$F$6),""))</f>
        <v>9.5</v>
      </c>
      <c r="R383" s="19">
        <f t="shared" si="203"/>
        <v>21.622</v>
      </c>
      <c r="S383" s="37">
        <f t="shared" si="204"/>
        <v>67.076331803278691</v>
      </c>
      <c r="T383" s="94" t="str">
        <f t="shared" si="205"/>
        <v>OK</v>
      </c>
      <c r="U383" s="95" t="str">
        <f t="shared" si="206"/>
        <v/>
      </c>
      <c r="V383" s="96">
        <f t="shared" si="207"/>
        <v>0</v>
      </c>
    </row>
    <row r="384" spans="1:22" x14ac:dyDescent="0.2">
      <c r="A384" s="35">
        <v>3</v>
      </c>
      <c r="B384" s="6">
        <v>512</v>
      </c>
      <c r="C384" s="6">
        <v>469</v>
      </c>
      <c r="D384" s="7" t="s">
        <v>485</v>
      </c>
      <c r="E384" s="7" t="s">
        <v>85</v>
      </c>
      <c r="F384" s="8">
        <v>1</v>
      </c>
      <c r="G384" s="8">
        <v>0</v>
      </c>
      <c r="H384" s="8">
        <v>0</v>
      </c>
      <c r="I384" s="8">
        <v>0</v>
      </c>
      <c r="J384" s="8">
        <v>0</v>
      </c>
      <c r="K384" s="23" t="s">
        <v>26</v>
      </c>
      <c r="L384" s="47" t="s">
        <v>269</v>
      </c>
      <c r="M384" s="17">
        <f t="shared" si="200"/>
        <v>0.72038400000000002</v>
      </c>
      <c r="N384" s="18">
        <f t="shared" si="201"/>
        <v>0</v>
      </c>
      <c r="O384" s="19">
        <f>IF(E384="HERRAJE",IFERROR(_xlfn.XLOOKUP(D384,'⚙️ Configuración Costos'!$A$11:$A$20,'⚙️ Configuración Costos'!$B$11:$B$20),""),IFERROR(_xlfn.XLOOKUP(E384,'⚙️ Configuración Costos'!$A$5:$A$6,'⚙️ Configuración Costos'!$B$5:$B$6),""))</f>
        <v>332.85245901639348</v>
      </c>
      <c r="P384" s="19">
        <f t="shared" si="202"/>
        <v>239.7815858360656</v>
      </c>
      <c r="Q384" s="19">
        <f>IF(E384="HERRAJE",0,IFERROR(_xlfn.XLOOKUP(E384,'⚙️ Configuración Costos'!$E$5:$E$6,'⚙️ Configuración Costos'!$F$5:$F$6),""))</f>
        <v>9.5</v>
      </c>
      <c r="R384" s="19">
        <f t="shared" si="203"/>
        <v>0</v>
      </c>
      <c r="S384" s="37">
        <f t="shared" si="204"/>
        <v>239.7815858360656</v>
      </c>
      <c r="T384" s="94" t="str">
        <f t="shared" si="205"/>
        <v>OK</v>
      </c>
      <c r="U384" s="95" t="str">
        <f t="shared" si="206"/>
        <v/>
      </c>
      <c r="V384" s="96">
        <f t="shared" si="207"/>
        <v>0</v>
      </c>
    </row>
    <row r="385" spans="1:22" x14ac:dyDescent="0.2">
      <c r="A385" s="35">
        <v>2</v>
      </c>
      <c r="B385" s="6">
        <v>512</v>
      </c>
      <c r="C385" s="6">
        <v>230</v>
      </c>
      <c r="D385" s="7" t="s">
        <v>486</v>
      </c>
      <c r="E385" s="7" t="s">
        <v>85</v>
      </c>
      <c r="F385" s="8">
        <v>1</v>
      </c>
      <c r="G385" s="8">
        <v>1</v>
      </c>
      <c r="H385" s="8">
        <v>1</v>
      </c>
      <c r="I385" s="8">
        <v>0</v>
      </c>
      <c r="J385" s="8">
        <v>0</v>
      </c>
      <c r="K385" s="23" t="s">
        <v>26</v>
      </c>
      <c r="L385" s="47" t="s">
        <v>270</v>
      </c>
      <c r="M385" s="17">
        <f t="shared" si="200"/>
        <v>0.23552000000000001</v>
      </c>
      <c r="N385" s="18">
        <f t="shared" si="201"/>
        <v>2.048</v>
      </c>
      <c r="O385" s="19">
        <f>IF(E385="HERRAJE",IFERROR(_xlfn.XLOOKUP(D385,'⚙️ Configuración Costos'!$A$11:$A$20,'⚙️ Configuración Costos'!$B$11:$B$20),""),IFERROR(_xlfn.XLOOKUP(E385,'⚙️ Configuración Costos'!$A$5:$A$6,'⚙️ Configuración Costos'!$B$5:$B$6),""))</f>
        <v>332.85245901639348</v>
      </c>
      <c r="P385" s="19">
        <f t="shared" si="202"/>
        <v>78.393411147541002</v>
      </c>
      <c r="Q385" s="19">
        <f>IF(E385="HERRAJE",0,IFERROR(_xlfn.XLOOKUP(E385,'⚙️ Configuración Costos'!$E$5:$E$6,'⚙️ Configuración Costos'!$F$5:$F$6),""))</f>
        <v>9.5</v>
      </c>
      <c r="R385" s="19">
        <f t="shared" si="203"/>
        <v>19.456</v>
      </c>
      <c r="S385" s="37">
        <f t="shared" si="204"/>
        <v>97.849411147541005</v>
      </c>
      <c r="T385" s="94" t="str">
        <f t="shared" si="205"/>
        <v>OK</v>
      </c>
      <c r="U385" s="95" t="str">
        <f t="shared" si="206"/>
        <v/>
      </c>
      <c r="V385" s="96">
        <f t="shared" si="207"/>
        <v>0</v>
      </c>
    </row>
    <row r="386" spans="1:22" x14ac:dyDescent="0.2">
      <c r="A386" s="35">
        <v>4</v>
      </c>
      <c r="B386" s="6">
        <v>512</v>
      </c>
      <c r="C386" s="6">
        <v>100</v>
      </c>
      <c r="D386" s="7" t="s">
        <v>486</v>
      </c>
      <c r="E386" s="7" t="s">
        <v>85</v>
      </c>
      <c r="F386" s="8">
        <v>1</v>
      </c>
      <c r="G386" s="8">
        <v>1</v>
      </c>
      <c r="H386" s="8">
        <v>1</v>
      </c>
      <c r="I386" s="8">
        <v>0</v>
      </c>
      <c r="J386" s="8">
        <v>0</v>
      </c>
      <c r="K386" s="23" t="s">
        <v>26</v>
      </c>
      <c r="L386" s="47" t="s">
        <v>271</v>
      </c>
      <c r="M386" s="17">
        <f t="shared" si="200"/>
        <v>0.20480000000000001</v>
      </c>
      <c r="N386" s="18">
        <f t="shared" si="201"/>
        <v>4.0960000000000001</v>
      </c>
      <c r="O386" s="19">
        <f>IF(E386="HERRAJE",IFERROR(_xlfn.XLOOKUP(D386,'⚙️ Configuración Costos'!$A$11:$A$20,'⚙️ Configuración Costos'!$B$11:$B$20),""),IFERROR(_xlfn.XLOOKUP(E386,'⚙️ Configuración Costos'!$A$5:$A$6,'⚙️ Configuración Costos'!$B$5:$B$6),""))</f>
        <v>332.85245901639348</v>
      </c>
      <c r="P386" s="19">
        <f t="shared" si="202"/>
        <v>68.168183606557392</v>
      </c>
      <c r="Q386" s="19">
        <f>IF(E386="HERRAJE",0,IFERROR(_xlfn.XLOOKUP(E386,'⚙️ Configuración Costos'!$E$5:$E$6,'⚙️ Configuración Costos'!$F$5:$F$6),""))</f>
        <v>9.5</v>
      </c>
      <c r="R386" s="19">
        <f t="shared" si="203"/>
        <v>38.911999999999999</v>
      </c>
      <c r="S386" s="37">
        <f t="shared" si="204"/>
        <v>107.0801836065574</v>
      </c>
      <c r="T386" s="94" t="str">
        <f t="shared" si="205"/>
        <v>OK</v>
      </c>
      <c r="U386" s="95" t="str">
        <f t="shared" si="206"/>
        <v/>
      </c>
      <c r="V386" s="96">
        <f t="shared" si="207"/>
        <v>0</v>
      </c>
    </row>
    <row r="387" spans="1:22" x14ac:dyDescent="0.2">
      <c r="A387" s="35">
        <v>2</v>
      </c>
      <c r="B387" s="6">
        <v>500</v>
      </c>
      <c r="C387" s="6">
        <v>230</v>
      </c>
      <c r="D387" s="7" t="s">
        <v>484</v>
      </c>
      <c r="E387" s="7" t="s">
        <v>85</v>
      </c>
      <c r="F387" s="8">
        <v>1</v>
      </c>
      <c r="G387" s="8">
        <v>1</v>
      </c>
      <c r="H387" s="8">
        <v>1</v>
      </c>
      <c r="I387" s="8">
        <v>1</v>
      </c>
      <c r="J387" s="8">
        <v>1</v>
      </c>
      <c r="K387" s="23" t="s">
        <v>26</v>
      </c>
      <c r="L387" s="47" t="s">
        <v>243</v>
      </c>
      <c r="M387" s="17">
        <f t="shared" si="200"/>
        <v>0.23</v>
      </c>
      <c r="N387" s="18">
        <f t="shared" si="201"/>
        <v>2.92</v>
      </c>
      <c r="O387" s="19">
        <f>IF(E387="HERRAJE",IFERROR(_xlfn.XLOOKUP(D387,'⚙️ Configuración Costos'!$A$11:$A$20,'⚙️ Configuración Costos'!$B$11:$B$20),""),IFERROR(_xlfn.XLOOKUP(E387,'⚙️ Configuración Costos'!$A$5:$A$6,'⚙️ Configuración Costos'!$B$5:$B$6),""))</f>
        <v>332.85245901639348</v>
      </c>
      <c r="P387" s="19">
        <f t="shared" si="202"/>
        <v>76.55606557377051</v>
      </c>
      <c r="Q387" s="19">
        <f>IF(E387="HERRAJE",0,IFERROR(_xlfn.XLOOKUP(E387,'⚙️ Configuración Costos'!$E$5:$E$6,'⚙️ Configuración Costos'!$F$5:$F$6),""))</f>
        <v>9.5</v>
      </c>
      <c r="R387" s="19">
        <f t="shared" si="203"/>
        <v>27.74</v>
      </c>
      <c r="S387" s="37">
        <f t="shared" si="204"/>
        <v>104.29606557377051</v>
      </c>
      <c r="T387" s="94" t="str">
        <f t="shared" si="205"/>
        <v>OK</v>
      </c>
      <c r="U387" s="95" t="str">
        <f t="shared" si="206"/>
        <v/>
      </c>
      <c r="V387" s="96">
        <f t="shared" si="207"/>
        <v>0</v>
      </c>
    </row>
    <row r="388" spans="1:22" x14ac:dyDescent="0.2">
      <c r="A388" s="35">
        <v>4</v>
      </c>
      <c r="B388" s="6">
        <v>500</v>
      </c>
      <c r="C388" s="6">
        <v>100</v>
      </c>
      <c r="D388" s="7" t="s">
        <v>484</v>
      </c>
      <c r="E388" s="7" t="s">
        <v>85</v>
      </c>
      <c r="F388" s="8">
        <v>1</v>
      </c>
      <c r="G388" s="8">
        <v>1</v>
      </c>
      <c r="H388" s="8">
        <v>1</v>
      </c>
      <c r="I388" s="8">
        <v>1</v>
      </c>
      <c r="J388" s="8">
        <v>1</v>
      </c>
      <c r="K388" s="23" t="s">
        <v>26</v>
      </c>
      <c r="L388" s="47" t="s">
        <v>244</v>
      </c>
      <c r="M388" s="17">
        <f t="shared" si="200"/>
        <v>0.2</v>
      </c>
      <c r="N388" s="18">
        <f t="shared" si="201"/>
        <v>4.8</v>
      </c>
      <c r="O388" s="19">
        <f>IF(E388="HERRAJE",IFERROR(_xlfn.XLOOKUP(D388,'⚙️ Configuración Costos'!$A$11:$A$20,'⚙️ Configuración Costos'!$B$11:$B$20),""),IFERROR(_xlfn.XLOOKUP(E388,'⚙️ Configuración Costos'!$A$5:$A$6,'⚙️ Configuración Costos'!$B$5:$B$6),""))</f>
        <v>332.85245901639348</v>
      </c>
      <c r="P388" s="19">
        <f t="shared" si="202"/>
        <v>66.570491803278699</v>
      </c>
      <c r="Q388" s="19">
        <f>IF(E388="HERRAJE",0,IFERROR(_xlfn.XLOOKUP(E388,'⚙️ Configuración Costos'!$E$5:$E$6,'⚙️ Configuración Costos'!$F$5:$F$6),""))</f>
        <v>9.5</v>
      </c>
      <c r="R388" s="19">
        <f t="shared" si="203"/>
        <v>45.6</v>
      </c>
      <c r="S388" s="37">
        <f t="shared" si="204"/>
        <v>112.17049180327871</v>
      </c>
      <c r="T388" s="94" t="str">
        <f t="shared" si="205"/>
        <v>OK</v>
      </c>
      <c r="U388" s="95" t="str">
        <f t="shared" si="206"/>
        <v/>
      </c>
      <c r="V388" s="96">
        <f t="shared" si="207"/>
        <v>0</v>
      </c>
    </row>
    <row r="389" spans="1:22" x14ac:dyDescent="0.2">
      <c r="A389" s="35">
        <v>1</v>
      </c>
      <c r="B389" s="6">
        <v>596</v>
      </c>
      <c r="C389" s="6">
        <v>356</v>
      </c>
      <c r="D389" s="7" t="s">
        <v>250</v>
      </c>
      <c r="E389" s="7" t="s">
        <v>85</v>
      </c>
      <c r="F389" s="8">
        <v>1</v>
      </c>
      <c r="G389" s="8">
        <v>1</v>
      </c>
      <c r="H389" s="8">
        <v>1</v>
      </c>
      <c r="I389" s="8">
        <v>1</v>
      </c>
      <c r="J389" s="8">
        <v>1</v>
      </c>
      <c r="K389" s="23" t="s">
        <v>26</v>
      </c>
      <c r="L389" s="47" t="s">
        <v>272</v>
      </c>
      <c r="M389" s="17">
        <f t="shared" si="200"/>
        <v>0.212176</v>
      </c>
      <c r="N389" s="18">
        <f t="shared" si="201"/>
        <v>1.9039999999999999</v>
      </c>
      <c r="O389" s="19">
        <f>IF(E389="HERRAJE",IFERROR(_xlfn.XLOOKUP(D389,'⚙️ Configuración Costos'!$A$11:$A$20,'⚙️ Configuración Costos'!$B$11:$B$20),""),IFERROR(_xlfn.XLOOKUP(E389,'⚙️ Configuración Costos'!$A$5:$A$6,'⚙️ Configuración Costos'!$B$5:$B$6),""))</f>
        <v>332.85245901639348</v>
      </c>
      <c r="P389" s="19">
        <f t="shared" si="202"/>
        <v>70.623303344262311</v>
      </c>
      <c r="Q389" s="19">
        <f>IF(E389="HERRAJE",0,IFERROR(_xlfn.XLOOKUP(E389,'⚙️ Configuración Costos'!$E$5:$E$6,'⚙️ Configuración Costos'!$F$5:$F$6),""))</f>
        <v>9.5</v>
      </c>
      <c r="R389" s="19">
        <f t="shared" si="203"/>
        <v>18.088000000000001</v>
      </c>
      <c r="S389" s="37">
        <f t="shared" si="204"/>
        <v>88.711303344262319</v>
      </c>
      <c r="T389" s="94" t="str">
        <f t="shared" si="205"/>
        <v>OK</v>
      </c>
      <c r="U389" s="95" t="str">
        <f t="shared" si="206"/>
        <v/>
      </c>
      <c r="V389" s="96">
        <f t="shared" si="207"/>
        <v>0</v>
      </c>
    </row>
    <row r="390" spans="1:22" x14ac:dyDescent="0.2">
      <c r="A390" s="35">
        <v>1</v>
      </c>
      <c r="B390" s="6">
        <v>596</v>
      </c>
      <c r="C390" s="6">
        <v>176</v>
      </c>
      <c r="D390" s="7" t="s">
        <v>252</v>
      </c>
      <c r="E390" s="7" t="s">
        <v>85</v>
      </c>
      <c r="F390" s="8">
        <v>1</v>
      </c>
      <c r="G390" s="8">
        <v>1</v>
      </c>
      <c r="H390" s="8">
        <v>1</v>
      </c>
      <c r="I390" s="8">
        <v>1</v>
      </c>
      <c r="J390" s="8">
        <v>1</v>
      </c>
      <c r="K390" s="23" t="s">
        <v>26</v>
      </c>
      <c r="L390" s="47" t="s">
        <v>273</v>
      </c>
      <c r="M390" s="17">
        <f t="shared" si="200"/>
        <v>0.104896</v>
      </c>
      <c r="N390" s="18">
        <f t="shared" si="201"/>
        <v>1.544</v>
      </c>
      <c r="O390" s="19">
        <f>IF(E390="HERRAJE",IFERROR(_xlfn.XLOOKUP(D390,'⚙️ Configuración Costos'!$A$11:$A$20,'⚙️ Configuración Costos'!$B$11:$B$20),""),IFERROR(_xlfn.XLOOKUP(E390,'⚙️ Configuración Costos'!$A$5:$A$6,'⚙️ Configuración Costos'!$B$5:$B$6),""))</f>
        <v>332.85245901639348</v>
      </c>
      <c r="P390" s="19">
        <f t="shared" si="202"/>
        <v>34.914891540983611</v>
      </c>
      <c r="Q390" s="19">
        <f>IF(E390="HERRAJE",0,IFERROR(_xlfn.XLOOKUP(E390,'⚙️ Configuración Costos'!$E$5:$E$6,'⚙️ Configuración Costos'!$F$5:$F$6),""))</f>
        <v>9.5</v>
      </c>
      <c r="R390" s="19">
        <f t="shared" si="203"/>
        <v>14.668000000000001</v>
      </c>
      <c r="S390" s="37">
        <f t="shared" si="204"/>
        <v>49.58289154098361</v>
      </c>
      <c r="T390" s="94" t="str">
        <f t="shared" si="205"/>
        <v>OK</v>
      </c>
      <c r="U390" s="95" t="str">
        <f t="shared" si="206"/>
        <v/>
      </c>
      <c r="V390" s="96">
        <f t="shared" si="207"/>
        <v>0</v>
      </c>
    </row>
    <row r="391" spans="1:22" x14ac:dyDescent="0.2">
      <c r="A391" s="35">
        <v>1</v>
      </c>
      <c r="B391" s="6">
        <v>596</v>
      </c>
      <c r="C391" s="6">
        <v>176</v>
      </c>
      <c r="D391" s="7" t="s">
        <v>254</v>
      </c>
      <c r="E391" s="7" t="s">
        <v>85</v>
      </c>
      <c r="F391" s="8">
        <v>1</v>
      </c>
      <c r="G391" s="8">
        <v>1</v>
      </c>
      <c r="H391" s="8">
        <v>1</v>
      </c>
      <c r="I391" s="8">
        <v>1</v>
      </c>
      <c r="J391" s="8">
        <v>1</v>
      </c>
      <c r="K391" s="23" t="s">
        <v>26</v>
      </c>
      <c r="L391" s="47" t="s">
        <v>274</v>
      </c>
      <c r="M391" s="17">
        <f t="shared" si="200"/>
        <v>0.104896</v>
      </c>
      <c r="N391" s="18">
        <f t="shared" si="201"/>
        <v>1.544</v>
      </c>
      <c r="O391" s="19">
        <f>IF(E391="HERRAJE",IFERROR(_xlfn.XLOOKUP(D391,'⚙️ Configuración Costos'!$A$11:$A$20,'⚙️ Configuración Costos'!$B$11:$B$20),""),IFERROR(_xlfn.XLOOKUP(E391,'⚙️ Configuración Costos'!$A$5:$A$6,'⚙️ Configuración Costos'!$B$5:$B$6),""))</f>
        <v>332.85245901639348</v>
      </c>
      <c r="P391" s="19">
        <f t="shared" si="202"/>
        <v>34.914891540983611</v>
      </c>
      <c r="Q391" s="19">
        <f>IF(E391="HERRAJE",0,IFERROR(_xlfn.XLOOKUP(E391,'⚙️ Configuración Costos'!$E$5:$E$6,'⚙️ Configuración Costos'!$F$5:$F$6),""))</f>
        <v>9.5</v>
      </c>
      <c r="R391" s="19">
        <f t="shared" si="203"/>
        <v>14.668000000000001</v>
      </c>
      <c r="S391" s="37">
        <f t="shared" si="204"/>
        <v>49.58289154098361</v>
      </c>
      <c r="T391" s="94" t="str">
        <f t="shared" si="205"/>
        <v>OK</v>
      </c>
      <c r="U391" s="95" t="str">
        <f t="shared" si="206"/>
        <v/>
      </c>
      <c r="V391" s="96">
        <f t="shared" si="207"/>
        <v>0</v>
      </c>
    </row>
    <row r="392" spans="1:22" x14ac:dyDescent="0.2">
      <c r="A392" s="35">
        <v>3</v>
      </c>
      <c r="B392" s="6">
        <v>0</v>
      </c>
      <c r="C392" s="6">
        <v>0</v>
      </c>
      <c r="D392" s="7" t="s">
        <v>256</v>
      </c>
      <c r="E392" s="7" t="s">
        <v>91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23" t="s">
        <v>26</v>
      </c>
      <c r="L392" s="47" t="s">
        <v>257</v>
      </c>
      <c r="M392" s="17">
        <f t="shared" si="200"/>
        <v>0</v>
      </c>
      <c r="N392" s="18">
        <f t="shared" si="201"/>
        <v>0</v>
      </c>
      <c r="O392" s="19">
        <f>IF(E392="HERRAJE",IFERROR(_xlfn.XLOOKUP(D392,'⚙️ Configuración Costos'!$A$11:$A$20,'⚙️ Configuración Costos'!$B$11:$B$20),""),IFERROR(_xlfn.XLOOKUP(E392,'⚙️ Configuración Costos'!$A$5:$A$6,'⚙️ Configuración Costos'!$B$5:$B$6),""))</f>
        <v>125</v>
      </c>
      <c r="P392" s="19">
        <f t="shared" si="202"/>
        <v>375</v>
      </c>
      <c r="Q392" s="19">
        <f>IF(E392="HERRAJE",0,IFERROR(_xlfn.XLOOKUP(E392,'⚙️ Configuración Costos'!$E$5:$E$6,'⚙️ Configuración Costos'!$F$5:$F$6),""))</f>
        <v>0</v>
      </c>
      <c r="R392" s="19">
        <f t="shared" si="203"/>
        <v>0</v>
      </c>
      <c r="S392" s="37">
        <f t="shared" si="204"/>
        <v>375</v>
      </c>
      <c r="T392" s="94" t="str">
        <f t="shared" si="205"/>
        <v>OK</v>
      </c>
      <c r="U392" s="95" t="str">
        <f t="shared" si="206"/>
        <v/>
      </c>
      <c r="V392" s="96">
        <f t="shared" si="207"/>
        <v>0</v>
      </c>
    </row>
    <row r="393" spans="1:22" x14ac:dyDescent="0.2">
      <c r="A393" s="35">
        <v>3</v>
      </c>
      <c r="B393" s="6">
        <v>0</v>
      </c>
      <c r="C393" s="6">
        <v>0</v>
      </c>
      <c r="D393" s="7" t="s">
        <v>93</v>
      </c>
      <c r="E393" s="7" t="s">
        <v>91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23" t="s">
        <v>26</v>
      </c>
      <c r="L393" s="47" t="s">
        <v>94</v>
      </c>
      <c r="M393" s="17">
        <f t="shared" si="200"/>
        <v>0</v>
      </c>
      <c r="N393" s="18">
        <f t="shared" si="201"/>
        <v>0</v>
      </c>
      <c r="O393" s="19">
        <f>IF(E393="HERRAJE",IFERROR(_xlfn.XLOOKUP(D393,'⚙️ Configuración Costos'!$A$11:$A$20,'⚙️ Configuración Costos'!$B$11:$B$20),""),IFERROR(_xlfn.XLOOKUP(E393,'⚙️ Configuración Costos'!$A$5:$A$6,'⚙️ Configuración Costos'!$B$5:$B$6),""))</f>
        <v>15</v>
      </c>
      <c r="P393" s="19">
        <f t="shared" si="202"/>
        <v>45</v>
      </c>
      <c r="Q393" s="19">
        <f>IF(E393="HERRAJE",0,IFERROR(_xlfn.XLOOKUP(E393,'⚙️ Configuración Costos'!$E$5:$E$6,'⚙️ Configuración Costos'!$F$5:$F$6),""))</f>
        <v>0</v>
      </c>
      <c r="R393" s="19">
        <f t="shared" si="203"/>
        <v>0</v>
      </c>
      <c r="S393" s="37">
        <f t="shared" si="204"/>
        <v>45</v>
      </c>
      <c r="T393" s="94" t="str">
        <f t="shared" si="205"/>
        <v>OK</v>
      </c>
      <c r="U393" s="95" t="str">
        <f t="shared" si="206"/>
        <v/>
      </c>
      <c r="V393" s="96">
        <f t="shared" si="207"/>
        <v>0</v>
      </c>
    </row>
    <row r="394" spans="1:22" x14ac:dyDescent="0.2">
      <c r="A394" s="35">
        <v>4</v>
      </c>
      <c r="B394" s="6">
        <v>0</v>
      </c>
      <c r="C394" s="6">
        <v>0</v>
      </c>
      <c r="D394" s="7" t="s">
        <v>186</v>
      </c>
      <c r="E394" s="7" t="s">
        <v>91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23" t="s">
        <v>26</v>
      </c>
      <c r="L394" s="47" t="s">
        <v>187</v>
      </c>
      <c r="M394" s="17">
        <f t="shared" si="200"/>
        <v>0</v>
      </c>
      <c r="N394" s="18">
        <f t="shared" si="201"/>
        <v>0</v>
      </c>
      <c r="O394" s="19">
        <f>IF(E394="HERRAJE",IFERROR(_xlfn.XLOOKUP(D394,'⚙️ Configuración Costos'!$A$11:$A$20,'⚙️ Configuración Costos'!$B$11:$B$20),""),IFERROR(_xlfn.XLOOKUP(E394,'⚙️ Configuración Costos'!$A$5:$A$6,'⚙️ Configuración Costos'!$B$5:$B$6),""))</f>
        <v>15</v>
      </c>
      <c r="P394" s="19">
        <f t="shared" si="202"/>
        <v>60</v>
      </c>
      <c r="Q394" s="19">
        <f>IF(E394="HERRAJE",0,IFERROR(_xlfn.XLOOKUP(E394,'⚙️ Configuración Costos'!$E$5:$E$6,'⚙️ Configuración Costos'!$F$5:$F$6),""))</f>
        <v>0</v>
      </c>
      <c r="R394" s="19">
        <f t="shared" si="203"/>
        <v>0</v>
      </c>
      <c r="S394" s="37">
        <f t="shared" si="204"/>
        <v>60</v>
      </c>
      <c r="T394" s="94" t="str">
        <f t="shared" si="205"/>
        <v>OK</v>
      </c>
      <c r="U394" s="95" t="str">
        <f t="shared" si="206"/>
        <v/>
      </c>
      <c r="V394" s="96">
        <f t="shared" si="207"/>
        <v>0</v>
      </c>
    </row>
    <row r="395" spans="1:22" x14ac:dyDescent="0.2">
      <c r="A395" s="36">
        <f>4*(IF(LEFT(D379,4)="Base",A379,0)+IF(LEFT(D379,4)="Piso",A379,0)+IF(LEFT(D379,5)="Techo",A379,0)+IF(LEFT(D380,4)="Base",A380,0)+IF(LEFT(D380,4)="Piso",A380,0)+IF(LEFT(D380,5)="Techo",A380,0)+IF(LEFT(D381,4)="Base",A381,0)+IF(LEFT(D381,4)="Piso",A381,0)+IF(LEFT(D381,5)="Techo",A381,0)+IF(LEFT(D382,4)="Base",A382,0)+IF(LEFT(D382,4)="Piso",A382,0)+IF(LEFT(D382,5)="Techo",A382,0)+IF(LEFT(D383,4)="Base",A383,0)+IF(LEFT(D383,4)="Piso",A383,0)+IF(LEFT(D383,5)="Techo",A383,0)+IF(LEFT(D384,4)="Base",A384,0)+IF(LEFT(D384,4)="Piso",A384,0)+IF(LEFT(D384,5)="Techo",A384,0)+IF(LEFT(D385,4)="Base",A385,0)+IF(LEFT(D385,4)="Piso",A385,0)+IF(LEFT(D385,5)="Techo",A385,0)+IF(LEFT(D386,4)="Base",A386,0)+IF(LEFT(D386,4)="Piso",A386,0)+IF(LEFT(D386,5)="Techo",A386,0)+IF(LEFT(D387,4)="Base",A387,0)+IF(LEFT(D387,4)="Piso",A387,0)+IF(LEFT(D387,5)="Techo",A387,0)+IF(LEFT(D388,4)="Base",A388,0)+IF(LEFT(D388,4)="Piso",A388,0)+IF(LEFT(D388,5)="Techo",A388,0)+IF(LEFT(D389,4)="Base",A389,0)+IF(LEFT(D389,4)="Piso",A389,0)+IF(LEFT(D389,5)="Techo",A389,0)+IF(LEFT(D390,4)="Base",A390,0)+IF(LEFT(D390,4)="Piso",A390,0)+IF(LEFT(D390,5)="Techo",A390,0)+IF(LEFT(D391,4)="Base",A391,0)+IF(LEFT(D391,4)="Piso",A391,0)+IF(LEFT(D391,5)="Techo",A391,0))+10*(IF(LEFT(D379,8)="Respaldo",A379,0)+IF(LEFT(D380,8)="Respaldo",A380,0)+IF(LEFT(D381,8)="Respaldo",A381,0)+IF(LEFT(D382,8)="Respaldo",A382,0)+IF(LEFT(D383,8)="Respaldo",A383,0)+IF(LEFT(D384,8)="Respaldo",A384,0)+IF(LEFT(D385,8)="Respaldo",A385,0)+IF(LEFT(D386,8)="Respaldo",A386,0)+IF(LEFT(D387,8)="Respaldo",A387,0)+IF(LEFT(D388,8)="Respaldo",A388,0)+IF(LEFT(D389,8)="Respaldo",A389,0)+IF(LEFT(D390,8)="Respaldo",A390,0)+IF(LEFT(D391,8)="Respaldo",A391,0))+2*(IF(LEFT(D379,8)="Manguete",A379,0)+IF(LEFT(D380,8)="Manguete",A380,0)+IF(LEFT(D381,8)="Manguete",A381,0)+IF(LEFT(D382,8)="Manguete",A382,0)+IF(LEFT(D383,8)="Manguete",A383,0)+IF(LEFT(D384,8)="Manguete",A384,0)+IF(LEFT(D385,8)="Manguete",A385,0)+IF(LEFT(D386,8)="Manguete",A386,0)+IF(LEFT(D387,8)="Manguete",A387,0)+IF(LEFT(D388,8)="Manguete",A388,0)+IF(LEFT(D389,8)="Manguete",A389,0)+IF(LEFT(D390,8)="Manguete",A390,0)+IF(LEFT(D391,8)="Manguete",A391,0))</f>
        <v>24</v>
      </c>
      <c r="B395" s="20">
        <v>0</v>
      </c>
      <c r="C395" s="20">
        <v>0</v>
      </c>
      <c r="D395" s="21" t="s">
        <v>400</v>
      </c>
      <c r="E395" s="21" t="s">
        <v>91</v>
      </c>
      <c r="F395" s="22">
        <v>0</v>
      </c>
      <c r="G395" s="22">
        <v>0</v>
      </c>
      <c r="H395" s="22">
        <v>0</v>
      </c>
      <c r="I395" s="22">
        <v>0</v>
      </c>
      <c r="J395" s="22">
        <v>0</v>
      </c>
      <c r="K395" s="23" t="s">
        <v>26</v>
      </c>
      <c r="L395" s="48" t="s">
        <v>360</v>
      </c>
      <c r="M395" s="17">
        <f t="shared" si="200"/>
        <v>0</v>
      </c>
      <c r="N395" s="18">
        <f t="shared" si="201"/>
        <v>0</v>
      </c>
      <c r="O395" s="19">
        <f>IF(E395="HERRAJE",IFERROR(_xlfn.XLOOKUP(D395,'⚙️ Configuración Costos'!$A$11:$A$20,'⚙️ Configuración Costos'!$B$11:$B$20),""),IFERROR(_xlfn.XLOOKUP(E395,'⚙️ Configuración Costos'!$A$5:$A$6,'⚙️ Configuración Costos'!$B$5:$B$6),""))</f>
        <v>3</v>
      </c>
      <c r="P395" s="19">
        <f t="shared" si="202"/>
        <v>72</v>
      </c>
      <c r="Q395" s="19">
        <f>IF(E395="HERRAJE",0,IFERROR(_xlfn.XLOOKUP(E395,'⚙️ Configuración Costos'!$E$5:$E$6,'⚙️ Configuración Costos'!$F$5:$F$6),""))</f>
        <v>0</v>
      </c>
      <c r="R395" s="19">
        <f t="shared" si="203"/>
        <v>0</v>
      </c>
      <c r="S395" s="37">
        <f t="shared" si="204"/>
        <v>72</v>
      </c>
      <c r="T395" s="94" t="str">
        <f t="shared" si="205"/>
        <v>OK</v>
      </c>
      <c r="U395" s="95" t="str">
        <f t="shared" si="206"/>
        <v/>
      </c>
      <c r="V395" s="96">
        <f t="shared" si="207"/>
        <v>0</v>
      </c>
    </row>
    <row r="396" spans="1:22" ht="16" thickBot="1" x14ac:dyDescent="0.25">
      <c r="A396" s="36">
        <f>6*(IF(LEFT(D379,4)="Base",A379,0)+IF(LEFT(D379,4)="Piso",A379,0)+IF(LEFT(D379,5)="Techo",A379,0)+IF(LEFT(D380,4)="Base",A380,0)+IF(LEFT(D380,4)="Piso",A380,0)+IF(LEFT(D380,5)="Techo",A380,0)+IF(LEFT(D381,4)="Base",A381,0)+IF(LEFT(D381,4)="Piso",A381,0)+IF(LEFT(D381,5)="Techo",A381,0)+IF(LEFT(D382,4)="Base",A382,0)+IF(LEFT(D382,4)="Piso",A382,0)+IF(LEFT(D382,5)="Techo",A382,0)+IF(LEFT(D383,4)="Base",A383,0)+IF(LEFT(D383,4)="Piso",A383,0)+IF(LEFT(D383,5)="Techo",A383,0)+IF(LEFT(D384,4)="Base",A384,0)+IF(LEFT(D384,4)="Piso",A384,0)+IF(LEFT(D384,5)="Techo",A384,0)+IF(LEFT(D385,4)="Base",A385,0)+IF(LEFT(D385,4)="Piso",A385,0)+IF(LEFT(D385,5)="Techo",A385,0)+IF(LEFT(D386,4)="Base",A386,0)+IF(LEFT(D386,4)="Piso",A386,0)+IF(LEFT(D386,5)="Techo",A386,0)+IF(LEFT(D387,4)="Base",A387,0)+IF(LEFT(D387,4)="Piso",A387,0)+IF(LEFT(D387,5)="Techo",A387,0)+IF(LEFT(D388,4)="Base",A388,0)+IF(LEFT(D388,4)="Piso",A388,0)+IF(LEFT(D388,5)="Techo",A388,0)+IF(LEFT(D389,4)="Base",A389,0)+IF(LEFT(D389,4)="Piso",A389,0)+IF(LEFT(D389,5)="Techo",A389,0)+IF(LEFT(D390,4)="Base",A390,0)+IF(LEFT(D390,4)="Piso",A390,0)+IF(LEFT(D390,5)="Techo",A390,0)+IF(LEFT(D391,4)="Base",A391,0)+IF(LEFT(D391,4)="Piso",A391,0)+IF(LEFT(D391,5)="Techo",A391,0))+10*(IF(LEFT(D379,8)="Respaldo",A379,0)+IF(LEFT(D380,8)="Respaldo",A380,0)+IF(LEFT(D381,8)="Respaldo",A381,0)+IF(LEFT(D382,8)="Respaldo",A382,0)+IF(LEFT(D383,8)="Respaldo",A383,0)+IF(LEFT(D384,8)="Respaldo",A384,0)+IF(LEFT(D385,8)="Respaldo",A385,0)+IF(LEFT(D386,8)="Respaldo",A386,0)+IF(LEFT(D387,8)="Respaldo",A387,0)+IF(LEFT(D388,8)="Respaldo",A388,0)+IF(LEFT(D389,8)="Respaldo",A389,0)+IF(LEFT(D390,8)="Respaldo",A390,0)+IF(LEFT(D391,8)="Respaldo",A391,0))+4*(IF(LEFT(D379,8)="Manguete",A379,0)+IF(LEFT(D380,8)="Manguete",A380,0)+IF(LEFT(D381,8)="Manguete",A381,0)+IF(LEFT(D382,8)="Manguete",A382,0)+IF(LEFT(D383,8)="Manguete",A383,0)+IF(LEFT(D384,8)="Manguete",A384,0)+IF(LEFT(D385,8)="Manguete",A385,0)+IF(LEFT(D386,8)="Manguete",A386,0)+IF(LEFT(D387,8)="Manguete",A387,0)+IF(LEFT(D388,8)="Manguete",A388,0)+IF(LEFT(D389,8)="Manguete",A389,0)+IF(LEFT(D390,8)="Manguete",A390,0)+IF(LEFT(D391,8)="Manguete",A391,0))</f>
        <v>40</v>
      </c>
      <c r="B396" s="20">
        <v>0</v>
      </c>
      <c r="C396" s="20">
        <v>0</v>
      </c>
      <c r="D396" s="21" t="s">
        <v>468</v>
      </c>
      <c r="E396" s="21" t="s">
        <v>91</v>
      </c>
      <c r="F396" s="22">
        <v>0</v>
      </c>
      <c r="G396" s="22">
        <v>0</v>
      </c>
      <c r="H396" s="22">
        <v>0</v>
      </c>
      <c r="I396" s="22">
        <v>0</v>
      </c>
      <c r="J396" s="22">
        <v>0</v>
      </c>
      <c r="K396" s="23" t="s">
        <v>26</v>
      </c>
      <c r="L396" s="48" t="s">
        <v>361</v>
      </c>
      <c r="M396" s="17">
        <f t="shared" si="200"/>
        <v>0</v>
      </c>
      <c r="N396" s="18">
        <f t="shared" si="201"/>
        <v>0</v>
      </c>
      <c r="O396" s="19">
        <f>IF(E396="HERRAJE",IFERROR(_xlfn.XLOOKUP(D396,'⚙️ Configuración Costos'!$A$11:$A$20,'⚙️ Configuración Costos'!$B$11:$B$20),""),IFERROR(_xlfn.XLOOKUP(E396,'⚙️ Configuración Costos'!$A$5:$A$6,'⚙️ Configuración Costos'!$B$5:$B$6),""))</f>
        <v>1</v>
      </c>
      <c r="P396" s="19">
        <f t="shared" si="202"/>
        <v>40</v>
      </c>
      <c r="Q396" s="19">
        <f>IF(E396="HERRAJE",0,IFERROR(_xlfn.XLOOKUP(E396,'⚙️ Configuración Costos'!$E$5:$E$6,'⚙️ Configuración Costos'!$F$5:$F$6),""))</f>
        <v>0</v>
      </c>
      <c r="R396" s="19">
        <f t="shared" si="203"/>
        <v>0</v>
      </c>
      <c r="S396" s="37">
        <f t="shared" si="204"/>
        <v>40</v>
      </c>
      <c r="T396" s="94" t="str">
        <f t="shared" si="205"/>
        <v>OK</v>
      </c>
      <c r="U396" s="95" t="str">
        <f t="shared" si="206"/>
        <v/>
      </c>
      <c r="V396" s="96">
        <f t="shared" si="207"/>
        <v>0</v>
      </c>
    </row>
    <row r="397" spans="1:22" ht="16" thickTop="1" x14ac:dyDescent="0.2">
      <c r="A397" s="27" t="s">
        <v>99</v>
      </c>
      <c r="B397" s="27"/>
      <c r="C397" s="27"/>
      <c r="D397" s="28"/>
      <c r="E397" s="28"/>
      <c r="F397" s="29"/>
      <c r="G397" s="29"/>
      <c r="H397" s="29"/>
      <c r="I397" s="29"/>
      <c r="J397" s="29"/>
      <c r="K397" s="30"/>
      <c r="L397" s="49"/>
      <c r="M397" s="31">
        <f>SUM(M379:M396)</f>
        <v>3.4510120000000009</v>
      </c>
      <c r="N397" s="32">
        <f>SUM(N379:N396)</f>
        <v>29.768000000000001</v>
      </c>
      <c r="O397" s="33"/>
      <c r="P397" s="33">
        <f>SUM(P379:P396)</f>
        <v>1740.6778302950825</v>
      </c>
      <c r="Q397" s="33"/>
      <c r="R397" s="33">
        <f>SUM(R379:R396)</f>
        <v>282.79599999999999</v>
      </c>
      <c r="S397" s="33">
        <f>SUM(S379:S396)</f>
        <v>2023.4738302950818</v>
      </c>
      <c r="T397" s="97"/>
      <c r="U397" s="98"/>
      <c r="V397" s="99"/>
    </row>
    <row r="398" spans="1:22" x14ac:dyDescent="0.2">
      <c r="A398" s="283" t="s">
        <v>649</v>
      </c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5"/>
      <c r="T398" s="97"/>
      <c r="U398" s="98"/>
      <c r="V398" s="99"/>
    </row>
    <row r="399" spans="1:22" x14ac:dyDescent="0.2">
      <c r="A399" s="35">
        <v>1</v>
      </c>
      <c r="B399" s="44">
        <v>360</v>
      </c>
      <c r="C399" s="44">
        <v>580</v>
      </c>
      <c r="D399" s="43" t="s">
        <v>471</v>
      </c>
      <c r="E399" s="43" t="s">
        <v>85</v>
      </c>
      <c r="F399" s="53">
        <v>1</v>
      </c>
      <c r="G399" s="44">
        <v>1</v>
      </c>
      <c r="H399" s="44">
        <v>1</v>
      </c>
      <c r="I399" s="44">
        <v>1</v>
      </c>
      <c r="J399" s="44">
        <v>1</v>
      </c>
      <c r="K399" s="23" t="s">
        <v>650</v>
      </c>
      <c r="L399" t="s">
        <v>651</v>
      </c>
      <c r="M399" s="17">
        <f t="shared" ref="M399:M405" si="208">IF(AND(ISNUMBER(B399),ISNUMBER(C399),B399&gt;0,C399&gt;0),A399*(B399*C399/1000000),0)</f>
        <v>0.20880000000000001</v>
      </c>
      <c r="N399" s="18">
        <f t="shared" ref="N399:N405" si="209">IF(AND(ISNUMBER(B399),B399&gt;0),A399*(((G399+H399)*B399+(I399+J399)*C399)/1000),0)</f>
        <v>1.88</v>
      </c>
      <c r="O399" s="19">
        <f>IF(E399="HERRAJE",IFERROR(_xlfn.XLOOKUP(D399,'⚙️ Configuración Costos'!$A$11:$A$20,'⚙️ Configuración Costos'!$B$11:$B$20),""),IFERROR(_xlfn.XLOOKUP(E399,'⚙️ Configuración Costos'!$A$5:$A$6,'⚙️ Configuración Costos'!$B$5:$B$6),""))</f>
        <v>332.85245901639348</v>
      </c>
      <c r="P399" s="19">
        <f t="shared" ref="P399:P405" si="210">IF(E399="HERRAJE",A399*O399,M399*O399)</f>
        <v>69.499593442622967</v>
      </c>
      <c r="Q399" s="19">
        <f>IF(E399="HERRAJE",0,IFERROR(_xlfn.XLOOKUP(E399,'⚙️ Configuración Costos'!$E$5:$E$6,'⚙️ Configuración Costos'!$F$5:$F$6),""))</f>
        <v>9.5</v>
      </c>
      <c r="R399" s="19">
        <f t="shared" ref="R399:R405" si="211">N399*Q399</f>
        <v>17.86</v>
      </c>
      <c r="S399" s="37">
        <f t="shared" ref="S399:S405" si="212">P399+R399</f>
        <v>87.359593442622966</v>
      </c>
      <c r="T399" s="94" t="str">
        <f t="shared" ref="T399:T405" si="213">IF(K399="","SIN ID MÓDULO",IF(E399="HERRAJE",IF(OR(O399="",O399&lt;=0),"SIN PRECIO HERRAJE","OK"),IF(OR(O399="",O399&lt;=0),"SIN PRECIO MATERIAL",IF(AND(N399&gt;0,OR(Q399="",Q399&lt;=0)),"SIN PRECIO CINTILLA","OK"))))</f>
        <v>OK</v>
      </c>
      <c r="U399" s="95" t="str">
        <f t="shared" ref="U399:U405" si="214">IF(T399="OK","",IF(T399="SIN PRECIO HERRAJE","Capturar precio: "&amp;D399,IF(T399="SIN PRECIO MATERIAL","Configurar material: "&amp;E399,IF(T399="SIN PRECIO CINTILLA","Configurar cintilla: "&amp;E399,IF(T399="SIN ID MÓDULO","Revisar ID del módulo","")))))</f>
        <v/>
      </c>
      <c r="V399" s="96">
        <f t="shared" ref="V399:V405" si="215">IF(T399="OK",0,IF(T399="",0,1))</f>
        <v>0</v>
      </c>
    </row>
    <row r="400" spans="1:22" x14ac:dyDescent="0.2">
      <c r="A400" s="35">
        <v>1</v>
      </c>
      <c r="B400" s="44">
        <v>360</v>
      </c>
      <c r="C400" s="44">
        <v>580</v>
      </c>
      <c r="D400" s="43" t="s">
        <v>472</v>
      </c>
      <c r="E400" s="43" t="s">
        <v>85</v>
      </c>
      <c r="F400" s="53">
        <v>1</v>
      </c>
      <c r="G400" s="44">
        <v>1</v>
      </c>
      <c r="H400" s="44">
        <v>1</v>
      </c>
      <c r="I400" s="44">
        <v>1</v>
      </c>
      <c r="J400" s="44">
        <v>1</v>
      </c>
      <c r="K400" s="23" t="s">
        <v>650</v>
      </c>
      <c r="L400" t="s">
        <v>652</v>
      </c>
      <c r="M400" s="17">
        <f t="shared" si="208"/>
        <v>0.20880000000000001</v>
      </c>
      <c r="N400" s="18">
        <f t="shared" si="209"/>
        <v>1.88</v>
      </c>
      <c r="O400" s="19">
        <f>IF(E400="HERRAJE",IFERROR(_xlfn.XLOOKUP(D400,'⚙️ Configuración Costos'!$A$11:$A$20,'⚙️ Configuración Costos'!$B$11:$B$20),""),IFERROR(_xlfn.XLOOKUP(E400,'⚙️ Configuración Costos'!$A$5:$A$6,'⚙️ Configuración Costos'!$B$5:$B$6),""))</f>
        <v>332.85245901639348</v>
      </c>
      <c r="P400" s="19">
        <f t="shared" si="210"/>
        <v>69.499593442622967</v>
      </c>
      <c r="Q400" s="19">
        <f>IF(E400="HERRAJE",0,IFERROR(_xlfn.XLOOKUP(E400,'⚙️ Configuración Costos'!$E$5:$E$6,'⚙️ Configuración Costos'!$F$5:$F$6),""))</f>
        <v>9.5</v>
      </c>
      <c r="R400" s="19">
        <f t="shared" si="211"/>
        <v>17.86</v>
      </c>
      <c r="S400" s="37">
        <f t="shared" si="212"/>
        <v>87.359593442622966</v>
      </c>
      <c r="T400" s="94" t="str">
        <f t="shared" si="213"/>
        <v>OK</v>
      </c>
      <c r="U400" s="95" t="str">
        <f t="shared" si="214"/>
        <v/>
      </c>
      <c r="V400" s="96">
        <f t="shared" si="215"/>
        <v>0</v>
      </c>
    </row>
    <row r="401" spans="1:22" x14ac:dyDescent="0.2">
      <c r="A401" s="35">
        <v>1</v>
      </c>
      <c r="B401" s="44">
        <v>329</v>
      </c>
      <c r="C401" s="44">
        <v>569</v>
      </c>
      <c r="D401" s="43" t="s">
        <v>473</v>
      </c>
      <c r="E401" s="43" t="s">
        <v>85</v>
      </c>
      <c r="F401" s="53">
        <v>1</v>
      </c>
      <c r="G401" s="44">
        <v>0</v>
      </c>
      <c r="H401" s="44">
        <v>0</v>
      </c>
      <c r="I401" s="44">
        <v>0</v>
      </c>
      <c r="J401" s="44">
        <v>0</v>
      </c>
      <c r="K401" s="23" t="s">
        <v>650</v>
      </c>
      <c r="L401" t="s">
        <v>653</v>
      </c>
      <c r="M401" s="17">
        <f t="shared" si="208"/>
        <v>0.18720100000000001</v>
      </c>
      <c r="N401" s="18">
        <f t="shared" si="209"/>
        <v>0</v>
      </c>
      <c r="O401" s="19">
        <f>IF(E401="HERRAJE",IFERROR(_xlfn.XLOOKUP(D401,'⚙️ Configuración Costos'!$A$11:$A$20,'⚙️ Configuración Costos'!$B$11:$B$20),""),IFERROR(_xlfn.XLOOKUP(E401,'⚙️ Configuración Costos'!$A$5:$A$6,'⚙️ Configuración Costos'!$B$5:$B$6),""))</f>
        <v>332.85245901639348</v>
      </c>
      <c r="P401" s="19">
        <f t="shared" si="210"/>
        <v>62.310313180327881</v>
      </c>
      <c r="Q401" s="19">
        <f>IF(E401="HERRAJE",0,IFERROR(_xlfn.XLOOKUP(E401,'⚙️ Configuración Costos'!$E$5:$E$6,'⚙️ Configuración Costos'!$F$5:$F$6),""))</f>
        <v>9.5</v>
      </c>
      <c r="R401" s="19">
        <f t="shared" si="211"/>
        <v>0</v>
      </c>
      <c r="S401" s="37">
        <f t="shared" si="212"/>
        <v>62.310313180327881</v>
      </c>
      <c r="T401" s="94" t="str">
        <f t="shared" si="213"/>
        <v>OK</v>
      </c>
      <c r="U401" s="95" t="str">
        <f t="shared" si="214"/>
        <v/>
      </c>
      <c r="V401" s="96">
        <f t="shared" si="215"/>
        <v>0</v>
      </c>
    </row>
    <row r="402" spans="1:22" x14ac:dyDescent="0.2">
      <c r="A402" s="35">
        <v>1</v>
      </c>
      <c r="B402" s="44">
        <v>569</v>
      </c>
      <c r="C402" s="44">
        <v>580</v>
      </c>
      <c r="D402" s="43" t="s">
        <v>474</v>
      </c>
      <c r="E402" s="43" t="s">
        <v>85</v>
      </c>
      <c r="F402" s="53">
        <v>1</v>
      </c>
      <c r="G402" s="44">
        <v>0</v>
      </c>
      <c r="H402" s="44">
        <v>0</v>
      </c>
      <c r="I402" s="44">
        <v>1</v>
      </c>
      <c r="J402" s="44">
        <v>1</v>
      </c>
      <c r="K402" s="23" t="s">
        <v>650</v>
      </c>
      <c r="L402" t="s">
        <v>654</v>
      </c>
      <c r="M402" s="17">
        <f t="shared" si="208"/>
        <v>0.33001999999999998</v>
      </c>
      <c r="N402" s="18">
        <f t="shared" si="209"/>
        <v>1.1599999999999999</v>
      </c>
      <c r="O402" s="19">
        <f>IF(E402="HERRAJE",IFERROR(_xlfn.XLOOKUP(D402,'⚙️ Configuración Costos'!$A$11:$A$20,'⚙️ Configuración Costos'!$B$11:$B$20),""),IFERROR(_xlfn.XLOOKUP(E402,'⚙️ Configuración Costos'!$A$5:$A$6,'⚙️ Configuración Costos'!$B$5:$B$6),""))</f>
        <v>332.85245901639348</v>
      </c>
      <c r="P402" s="19">
        <f t="shared" si="210"/>
        <v>109.84796852459017</v>
      </c>
      <c r="Q402" s="19">
        <f>IF(E402="HERRAJE",0,IFERROR(_xlfn.XLOOKUP(E402,'⚙️ Configuración Costos'!$E$5:$E$6,'⚙️ Configuración Costos'!$F$5:$F$6),""))</f>
        <v>9.5</v>
      </c>
      <c r="R402" s="19">
        <f t="shared" si="211"/>
        <v>11.02</v>
      </c>
      <c r="S402" s="37">
        <f t="shared" si="212"/>
        <v>120.86796852459017</v>
      </c>
      <c r="T402" s="94" t="str">
        <f t="shared" si="213"/>
        <v>OK</v>
      </c>
      <c r="U402" s="95" t="str">
        <f t="shared" si="214"/>
        <v/>
      </c>
      <c r="V402" s="96">
        <f t="shared" si="215"/>
        <v>0</v>
      </c>
    </row>
    <row r="403" spans="1:22" x14ac:dyDescent="0.2">
      <c r="A403" s="35">
        <v>1</v>
      </c>
      <c r="B403" s="44">
        <v>569</v>
      </c>
      <c r="C403" s="44">
        <v>580</v>
      </c>
      <c r="D403" s="43" t="s">
        <v>475</v>
      </c>
      <c r="E403" s="43" t="s">
        <v>85</v>
      </c>
      <c r="F403" s="53">
        <v>1</v>
      </c>
      <c r="G403" s="44">
        <v>0</v>
      </c>
      <c r="H403" s="44">
        <v>0</v>
      </c>
      <c r="I403" s="44">
        <v>1</v>
      </c>
      <c r="J403" s="44">
        <v>1</v>
      </c>
      <c r="K403" s="23" t="s">
        <v>650</v>
      </c>
      <c r="L403" t="s">
        <v>655</v>
      </c>
      <c r="M403" s="17">
        <f t="shared" si="208"/>
        <v>0.33001999999999998</v>
      </c>
      <c r="N403" s="18">
        <f t="shared" si="209"/>
        <v>1.1599999999999999</v>
      </c>
      <c r="O403" s="19">
        <f>IF(E403="HERRAJE",IFERROR(_xlfn.XLOOKUP(D403,'⚙️ Configuración Costos'!$A$11:$A$20,'⚙️ Configuración Costos'!$B$11:$B$20),""),IFERROR(_xlfn.XLOOKUP(E403,'⚙️ Configuración Costos'!$A$5:$A$6,'⚙️ Configuración Costos'!$B$5:$B$6),""))</f>
        <v>332.85245901639348</v>
      </c>
      <c r="P403" s="19">
        <f t="shared" si="210"/>
        <v>109.84796852459017</v>
      </c>
      <c r="Q403" s="19">
        <f>IF(E403="HERRAJE",0,IFERROR(_xlfn.XLOOKUP(E403,'⚙️ Configuración Costos'!$E$5:$E$6,'⚙️ Configuración Costos'!$F$5:$F$6),""))</f>
        <v>9.5</v>
      </c>
      <c r="R403" s="19">
        <f t="shared" si="211"/>
        <v>11.02</v>
      </c>
      <c r="S403" s="37">
        <f t="shared" si="212"/>
        <v>120.86796852459017</v>
      </c>
      <c r="T403" s="94" t="str">
        <f t="shared" si="213"/>
        <v>OK</v>
      </c>
      <c r="U403" s="95" t="str">
        <f t="shared" si="214"/>
        <v/>
      </c>
      <c r="V403" s="96">
        <f t="shared" si="215"/>
        <v>0</v>
      </c>
    </row>
    <row r="404" spans="1:22" x14ac:dyDescent="0.2">
      <c r="A404" s="35">
        <v>18</v>
      </c>
      <c r="B404" s="44">
        <v>0</v>
      </c>
      <c r="C404" s="44">
        <v>0</v>
      </c>
      <c r="D404" s="43" t="s">
        <v>400</v>
      </c>
      <c r="E404" s="43" t="s">
        <v>91</v>
      </c>
      <c r="F404" s="53">
        <v>0</v>
      </c>
      <c r="G404" s="44">
        <v>0</v>
      </c>
      <c r="H404" s="44">
        <v>0</v>
      </c>
      <c r="I404" s="44">
        <v>0</v>
      </c>
      <c r="J404" s="44">
        <v>0</v>
      </c>
      <c r="K404" s="23" t="s">
        <v>650</v>
      </c>
      <c r="L404" t="s">
        <v>360</v>
      </c>
      <c r="M404" s="17">
        <f t="shared" si="208"/>
        <v>0</v>
      </c>
      <c r="N404" s="18">
        <f t="shared" si="209"/>
        <v>0</v>
      </c>
      <c r="O404" s="19">
        <f>IF(E404="HERRAJE",IFERROR(_xlfn.XLOOKUP(D404,'⚙️ Configuración Costos'!$A$11:$A$20,'⚙️ Configuración Costos'!$B$11:$B$20),""),IFERROR(_xlfn.XLOOKUP(E404,'⚙️ Configuración Costos'!$A$5:$A$6,'⚙️ Configuración Costos'!$B$5:$B$6),""))</f>
        <v>3</v>
      </c>
      <c r="P404" s="19">
        <f t="shared" si="210"/>
        <v>54</v>
      </c>
      <c r="Q404" s="19">
        <f>IF(E404="HERRAJE",0,IFERROR(_xlfn.XLOOKUP(E404,'⚙️ Configuración Costos'!$E$5:$E$6,'⚙️ Configuración Costos'!$F$5:$F$6),""))</f>
        <v>0</v>
      </c>
      <c r="R404" s="19">
        <f t="shared" si="211"/>
        <v>0</v>
      </c>
      <c r="S404" s="37">
        <f t="shared" si="212"/>
        <v>54</v>
      </c>
      <c r="T404" s="94" t="str">
        <f t="shared" si="213"/>
        <v>OK</v>
      </c>
      <c r="U404" s="95" t="str">
        <f t="shared" si="214"/>
        <v/>
      </c>
      <c r="V404" s="96">
        <f t="shared" si="215"/>
        <v>0</v>
      </c>
    </row>
    <row r="405" spans="1:22" ht="16" thickBot="1" x14ac:dyDescent="0.25">
      <c r="A405" s="35">
        <v>22</v>
      </c>
      <c r="B405" s="44">
        <v>0</v>
      </c>
      <c r="C405" s="44">
        <v>0</v>
      </c>
      <c r="D405" s="43" t="s">
        <v>468</v>
      </c>
      <c r="E405" s="43" t="s">
        <v>91</v>
      </c>
      <c r="F405" s="53">
        <v>0</v>
      </c>
      <c r="G405" s="44">
        <v>0</v>
      </c>
      <c r="H405" s="44">
        <v>0</v>
      </c>
      <c r="I405" s="44">
        <v>0</v>
      </c>
      <c r="J405" s="44">
        <v>0</v>
      </c>
      <c r="K405" s="23" t="s">
        <v>650</v>
      </c>
      <c r="L405" t="s">
        <v>361</v>
      </c>
      <c r="M405" s="17">
        <f t="shared" si="208"/>
        <v>0</v>
      </c>
      <c r="N405" s="18">
        <f t="shared" si="209"/>
        <v>0</v>
      </c>
      <c r="O405" s="19">
        <f>IF(E405="HERRAJE",IFERROR(_xlfn.XLOOKUP(D405,'⚙️ Configuración Costos'!$A$11:$A$20,'⚙️ Configuración Costos'!$B$11:$B$20),""),IFERROR(_xlfn.XLOOKUP(E405,'⚙️ Configuración Costos'!$A$5:$A$6,'⚙️ Configuración Costos'!$B$5:$B$6),""))</f>
        <v>1</v>
      </c>
      <c r="P405" s="19">
        <f t="shared" si="210"/>
        <v>22</v>
      </c>
      <c r="Q405" s="19">
        <f>IF(E405="HERRAJE",0,IFERROR(_xlfn.XLOOKUP(E405,'⚙️ Configuración Costos'!$E$5:$E$6,'⚙️ Configuración Costos'!$F$5:$F$6),""))</f>
        <v>0</v>
      </c>
      <c r="R405" s="19">
        <f t="shared" si="211"/>
        <v>0</v>
      </c>
      <c r="S405" s="37">
        <f t="shared" si="212"/>
        <v>22</v>
      </c>
      <c r="T405" s="94" t="str">
        <f t="shared" si="213"/>
        <v>OK</v>
      </c>
      <c r="U405" s="95" t="str">
        <f t="shared" si="214"/>
        <v/>
      </c>
      <c r="V405" s="96">
        <f t="shared" si="215"/>
        <v>0</v>
      </c>
    </row>
    <row r="406" spans="1:22" ht="16" thickTop="1" x14ac:dyDescent="0.2">
      <c r="A406" s="27" t="s">
        <v>99</v>
      </c>
      <c r="B406" s="27"/>
      <c r="C406" s="27"/>
      <c r="D406" s="28"/>
      <c r="E406" s="28"/>
      <c r="F406" s="29"/>
      <c r="G406" s="29"/>
      <c r="H406" s="29"/>
      <c r="I406" s="29"/>
      <c r="J406" s="29"/>
      <c r="K406" s="30"/>
      <c r="L406" s="49" t="s">
        <v>656</v>
      </c>
      <c r="M406" s="31">
        <f>SUM(M399:M405)</f>
        <v>1.2648410000000001</v>
      </c>
      <c r="N406" s="32">
        <f>SUM(N399:N405)</f>
        <v>6.08</v>
      </c>
      <c r="O406" s="33"/>
      <c r="P406" s="33">
        <f>SUM(P399:P405)</f>
        <v>497.00543711475416</v>
      </c>
      <c r="Q406" s="33"/>
      <c r="R406" s="33">
        <f>SUM(R399:R405)</f>
        <v>57.759999999999991</v>
      </c>
      <c r="S406" s="33">
        <f>SUM(S399:S405)</f>
        <v>554.76543711475415</v>
      </c>
      <c r="T406" s="97"/>
      <c r="U406" s="98"/>
      <c r="V406" s="99"/>
    </row>
    <row r="407" spans="1:22" x14ac:dyDescent="0.2">
      <c r="A407" s="283" t="s">
        <v>648</v>
      </c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5"/>
      <c r="T407" s="97"/>
      <c r="U407" s="98"/>
      <c r="V407" s="99"/>
    </row>
    <row r="408" spans="1:22" x14ac:dyDescent="0.2">
      <c r="A408" s="34">
        <v>1</v>
      </c>
      <c r="B408" s="13">
        <v>360</v>
      </c>
      <c r="C408" s="13">
        <v>580</v>
      </c>
      <c r="D408" s="14" t="s">
        <v>63</v>
      </c>
      <c r="E408" s="14" t="s">
        <v>85</v>
      </c>
      <c r="F408" s="15">
        <v>1</v>
      </c>
      <c r="G408" s="15">
        <v>1</v>
      </c>
      <c r="H408" s="15">
        <v>1</v>
      </c>
      <c r="I408" s="15">
        <v>1</v>
      </c>
      <c r="J408" s="15">
        <v>1</v>
      </c>
      <c r="K408" s="23" t="s">
        <v>657</v>
      </c>
      <c r="L408" s="46" t="s">
        <v>658</v>
      </c>
      <c r="M408" s="17">
        <f t="shared" ref="M408:M421" si="216">IF(AND(ISNUMBER(B408),ISNUMBER(C408),B408&gt;0,C408&gt;0),A408*(B408*C408/1000000),0)</f>
        <v>0.20880000000000001</v>
      </c>
      <c r="N408" s="18">
        <f t="shared" ref="N408:N421" si="217">IF(AND(ISNUMBER(B408),B408&gt;0),A408*(((G408+H408)*B408+(I408+J408)*C408)/1000),0)</f>
        <v>1.88</v>
      </c>
      <c r="O408" s="19">
        <f>IF(E408="HERRAJE",IFERROR(_xlfn.XLOOKUP(D408,'⚙️ Configuración Costos'!$A$11:$A$20,'⚙️ Configuración Costos'!$B$11:$B$20),""),IFERROR(_xlfn.XLOOKUP(E408,'⚙️ Configuración Costos'!$A$5:$A$6,'⚙️ Configuración Costos'!$B$5:$B$6),""))</f>
        <v>332.85245901639348</v>
      </c>
      <c r="P408" s="19">
        <f t="shared" ref="P408:P421" si="218">IF(E408="HERRAJE",A408*O408,M408*O408)</f>
        <v>69.499593442622967</v>
      </c>
      <c r="Q408" s="19">
        <f>IF(E408="HERRAJE",0,IFERROR(_xlfn.XLOOKUP(E408,'⚙️ Configuración Costos'!$E$5:$E$6,'⚙️ Configuración Costos'!$F$5:$F$6),""))</f>
        <v>9.5</v>
      </c>
      <c r="R408" s="19">
        <f t="shared" ref="R408:R421" si="219">N408*Q408</f>
        <v>17.86</v>
      </c>
      <c r="S408" s="37">
        <f t="shared" ref="S408:S421" si="220">P408+R408</f>
        <v>87.359593442622966</v>
      </c>
      <c r="T408" s="94" t="str">
        <f t="shared" ref="T408:T421" si="221">IF(K408="","SIN ID MÓDULO",IF(E408="HERRAJE",IF(OR(O408="",O408&lt;=0),"SIN PRECIO HERRAJE","OK"),IF(OR(O408="",O408&lt;=0),"SIN PRECIO MATERIAL",IF(AND(N408&gt;0,OR(Q408="",Q408&lt;=0)),"SIN PRECIO CINTILLA","OK"))))</f>
        <v>OK</v>
      </c>
      <c r="U408" s="95" t="str">
        <f t="shared" ref="U408:U421" si="222">IF(T408="OK","",IF(T408="SIN PRECIO HERRAJE","Capturar precio: "&amp;D408,IF(T408="SIN PRECIO MATERIAL","Configurar material: "&amp;E408,IF(T408="SIN PRECIO CINTILLA","Configurar cintilla: "&amp;E408,IF(T408="SIN ID MÓDULO","Revisar ID del módulo","")))))</f>
        <v/>
      </c>
      <c r="V408" s="96">
        <f t="shared" ref="V408:V421" si="223">IF(T408="OK",0,IF(T408="",0,1))</f>
        <v>0</v>
      </c>
    </row>
    <row r="409" spans="1:22" x14ac:dyDescent="0.2">
      <c r="A409" s="34">
        <v>1</v>
      </c>
      <c r="B409" s="13">
        <v>360</v>
      </c>
      <c r="C409" s="13">
        <v>580</v>
      </c>
      <c r="D409" s="14" t="s">
        <v>66</v>
      </c>
      <c r="E409" s="14" t="s">
        <v>85</v>
      </c>
      <c r="F409" s="15">
        <v>1</v>
      </c>
      <c r="G409" s="15">
        <v>1</v>
      </c>
      <c r="H409" s="15">
        <v>1</v>
      </c>
      <c r="I409" s="15">
        <v>1</v>
      </c>
      <c r="J409" s="15">
        <v>1</v>
      </c>
      <c r="K409" s="23" t="s">
        <v>657</v>
      </c>
      <c r="L409" s="46" t="s">
        <v>659</v>
      </c>
      <c r="M409" s="17">
        <f t="shared" si="216"/>
        <v>0.20880000000000001</v>
      </c>
      <c r="N409" s="18">
        <f t="shared" si="217"/>
        <v>1.88</v>
      </c>
      <c r="O409" s="19">
        <f>IF(E409="HERRAJE",IFERROR(_xlfn.XLOOKUP(D409,'⚙️ Configuración Costos'!$A$11:$A$20,'⚙️ Configuración Costos'!$B$11:$B$20),""),IFERROR(_xlfn.XLOOKUP(E409,'⚙️ Configuración Costos'!$A$5:$A$6,'⚙️ Configuración Costos'!$B$5:$B$6),""))</f>
        <v>332.85245901639348</v>
      </c>
      <c r="P409" s="19">
        <f t="shared" si="218"/>
        <v>69.499593442622967</v>
      </c>
      <c r="Q409" s="19">
        <f>IF(E409="HERRAJE",0,IFERROR(_xlfn.XLOOKUP(E409,'⚙️ Configuración Costos'!$E$5:$E$6,'⚙️ Configuración Costos'!$F$5:$F$6),""))</f>
        <v>9.5</v>
      </c>
      <c r="R409" s="19">
        <f t="shared" si="219"/>
        <v>17.86</v>
      </c>
      <c r="S409" s="37">
        <f t="shared" si="220"/>
        <v>87.359593442622966</v>
      </c>
      <c r="T409" s="94" t="str">
        <f t="shared" si="221"/>
        <v>OK</v>
      </c>
      <c r="U409" s="95" t="str">
        <f t="shared" si="222"/>
        <v/>
      </c>
      <c r="V409" s="96">
        <f t="shared" si="223"/>
        <v>0</v>
      </c>
    </row>
    <row r="410" spans="1:22" x14ac:dyDescent="0.2">
      <c r="A410" s="34">
        <v>2</v>
      </c>
      <c r="B410" s="13">
        <v>569</v>
      </c>
      <c r="C410" s="13">
        <v>120</v>
      </c>
      <c r="D410" s="14" t="s">
        <v>194</v>
      </c>
      <c r="E410" s="14" t="s">
        <v>85</v>
      </c>
      <c r="F410" s="15">
        <v>1</v>
      </c>
      <c r="G410" s="15">
        <v>1</v>
      </c>
      <c r="H410" s="15">
        <v>1</v>
      </c>
      <c r="I410" s="15">
        <v>0</v>
      </c>
      <c r="J410" s="15">
        <v>0</v>
      </c>
      <c r="K410" s="23" t="s">
        <v>657</v>
      </c>
      <c r="L410" s="46" t="s">
        <v>660</v>
      </c>
      <c r="M410" s="17">
        <f t="shared" si="216"/>
        <v>0.13655999999999999</v>
      </c>
      <c r="N410" s="18">
        <f t="shared" si="217"/>
        <v>2.2759999999999998</v>
      </c>
      <c r="O410" s="19">
        <f>IF(E410="HERRAJE",IFERROR(_xlfn.XLOOKUP(D410,'⚙️ Configuración Costos'!$A$11:$A$20,'⚙️ Configuración Costos'!$B$11:$B$20),""),IFERROR(_xlfn.XLOOKUP(E410,'⚙️ Configuración Costos'!$A$5:$A$6,'⚙️ Configuración Costos'!$B$5:$B$6),""))</f>
        <v>332.85245901639348</v>
      </c>
      <c r="P410" s="19">
        <f t="shared" si="218"/>
        <v>45.454331803278691</v>
      </c>
      <c r="Q410" s="19">
        <f>IF(E410="HERRAJE",0,IFERROR(_xlfn.XLOOKUP(E410,'⚙️ Configuración Costos'!$E$5:$E$6,'⚙️ Configuración Costos'!$F$5:$F$6),""))</f>
        <v>9.5</v>
      </c>
      <c r="R410" s="19">
        <f t="shared" si="219"/>
        <v>21.622</v>
      </c>
      <c r="S410" s="37">
        <f t="shared" si="220"/>
        <v>67.076331803278691</v>
      </c>
      <c r="T410" s="94" t="str">
        <f t="shared" si="221"/>
        <v>OK</v>
      </c>
      <c r="U410" s="95" t="str">
        <f t="shared" si="222"/>
        <v/>
      </c>
      <c r="V410" s="96">
        <f t="shared" si="223"/>
        <v>0</v>
      </c>
    </row>
    <row r="411" spans="1:22" x14ac:dyDescent="0.2">
      <c r="A411" s="34">
        <v>1</v>
      </c>
      <c r="B411" s="13">
        <v>569</v>
      </c>
      <c r="C411" s="13">
        <v>580</v>
      </c>
      <c r="D411" s="14" t="s">
        <v>171</v>
      </c>
      <c r="E411" s="14" t="s">
        <v>85</v>
      </c>
      <c r="F411" s="15">
        <v>1</v>
      </c>
      <c r="G411" s="15">
        <v>0</v>
      </c>
      <c r="H411" s="15">
        <v>0</v>
      </c>
      <c r="I411" s="15">
        <v>1</v>
      </c>
      <c r="J411" s="15">
        <v>1</v>
      </c>
      <c r="K411" s="23" t="s">
        <v>657</v>
      </c>
      <c r="L411" s="46" t="s">
        <v>661</v>
      </c>
      <c r="M411" s="17">
        <f t="shared" si="216"/>
        <v>0.33001999999999998</v>
      </c>
      <c r="N411" s="18">
        <f t="shared" si="217"/>
        <v>1.1599999999999999</v>
      </c>
      <c r="O411" s="19">
        <f>IF(E411="HERRAJE",IFERROR(_xlfn.XLOOKUP(D411,'⚙️ Configuración Costos'!$A$11:$A$20,'⚙️ Configuración Costos'!$B$11:$B$20),""),IFERROR(_xlfn.XLOOKUP(E411,'⚙️ Configuración Costos'!$A$5:$A$6,'⚙️ Configuración Costos'!$B$5:$B$6),""))</f>
        <v>332.85245901639348</v>
      </c>
      <c r="P411" s="19">
        <f t="shared" si="218"/>
        <v>109.84796852459017</v>
      </c>
      <c r="Q411" s="19">
        <f>IF(E411="HERRAJE",0,IFERROR(_xlfn.XLOOKUP(E411,'⚙️ Configuración Costos'!$E$5:$E$6,'⚙️ Configuración Costos'!$F$5:$F$6),""))</f>
        <v>9.5</v>
      </c>
      <c r="R411" s="19">
        <f t="shared" si="219"/>
        <v>11.02</v>
      </c>
      <c r="S411" s="37">
        <f t="shared" si="220"/>
        <v>120.86796852459017</v>
      </c>
      <c r="T411" s="94" t="str">
        <f t="shared" si="221"/>
        <v>OK</v>
      </c>
      <c r="U411" s="95" t="str">
        <f t="shared" si="222"/>
        <v/>
      </c>
      <c r="V411" s="96">
        <f t="shared" si="223"/>
        <v>0</v>
      </c>
    </row>
    <row r="412" spans="1:22" x14ac:dyDescent="0.2">
      <c r="A412" s="34">
        <v>2</v>
      </c>
      <c r="B412" s="13">
        <v>569</v>
      </c>
      <c r="C412" s="13">
        <v>120</v>
      </c>
      <c r="D412" s="14" t="s">
        <v>240</v>
      </c>
      <c r="E412" s="14" t="s">
        <v>85</v>
      </c>
      <c r="F412" s="15">
        <v>1</v>
      </c>
      <c r="G412" s="15">
        <v>1</v>
      </c>
      <c r="H412" s="15">
        <v>1</v>
      </c>
      <c r="I412" s="15">
        <v>0</v>
      </c>
      <c r="J412" s="15">
        <v>0</v>
      </c>
      <c r="K412" s="23" t="s">
        <v>657</v>
      </c>
      <c r="L412" s="46" t="s">
        <v>268</v>
      </c>
      <c r="M412" s="17">
        <f t="shared" si="216"/>
        <v>0.13655999999999999</v>
      </c>
      <c r="N412" s="18">
        <f t="shared" si="217"/>
        <v>2.2759999999999998</v>
      </c>
      <c r="O412" s="19">
        <f>IF(E412="HERRAJE",IFERROR(_xlfn.XLOOKUP(D412,'⚙️ Configuración Costos'!$A$11:$A$20,'⚙️ Configuración Costos'!$B$11:$B$20),""),IFERROR(_xlfn.XLOOKUP(E412,'⚙️ Configuración Costos'!$A$5:$A$6,'⚙️ Configuración Costos'!$B$5:$B$6),""))</f>
        <v>332.85245901639348</v>
      </c>
      <c r="P412" s="19">
        <f t="shared" si="218"/>
        <v>45.454331803278691</v>
      </c>
      <c r="Q412" s="19">
        <f>IF(E412="HERRAJE",0,IFERROR(_xlfn.XLOOKUP(E412,'⚙️ Configuración Costos'!$E$5:$E$6,'⚙️ Configuración Costos'!$F$5:$F$6),""))</f>
        <v>9.5</v>
      </c>
      <c r="R412" s="19">
        <f t="shared" si="219"/>
        <v>21.622</v>
      </c>
      <c r="S412" s="37">
        <f t="shared" si="220"/>
        <v>67.076331803278691</v>
      </c>
      <c r="T412" s="94" t="str">
        <f t="shared" si="221"/>
        <v>OK</v>
      </c>
      <c r="U412" s="95" t="str">
        <f t="shared" si="222"/>
        <v/>
      </c>
      <c r="V412" s="96">
        <f t="shared" si="223"/>
        <v>0</v>
      </c>
    </row>
    <row r="413" spans="1:22" x14ac:dyDescent="0.2">
      <c r="A413" s="34">
        <v>1</v>
      </c>
      <c r="B413" s="13">
        <v>512</v>
      </c>
      <c r="C413" s="13">
        <v>469</v>
      </c>
      <c r="D413" s="14" t="s">
        <v>245</v>
      </c>
      <c r="E413" s="14" t="s">
        <v>85</v>
      </c>
      <c r="F413" s="15">
        <v>1</v>
      </c>
      <c r="G413" s="15">
        <v>0</v>
      </c>
      <c r="H413" s="15">
        <v>0</v>
      </c>
      <c r="I413" s="15">
        <v>0</v>
      </c>
      <c r="J413" s="15">
        <v>0</v>
      </c>
      <c r="K413" s="23" t="s">
        <v>657</v>
      </c>
      <c r="L413" s="46" t="s">
        <v>269</v>
      </c>
      <c r="M413" s="17">
        <f t="shared" si="216"/>
        <v>0.24012800000000001</v>
      </c>
      <c r="N413" s="18">
        <f t="shared" si="217"/>
        <v>0</v>
      </c>
      <c r="O413" s="19">
        <f>IF(E413="HERRAJE",IFERROR(_xlfn.XLOOKUP(D413,'⚙️ Configuración Costos'!$A$11:$A$20,'⚙️ Configuración Costos'!$B$11:$B$20),""),IFERROR(_xlfn.XLOOKUP(E413,'⚙️ Configuración Costos'!$A$5:$A$6,'⚙️ Configuración Costos'!$B$5:$B$6),""))</f>
        <v>332.85245901639348</v>
      </c>
      <c r="P413" s="19">
        <f t="shared" si="218"/>
        <v>79.927195278688544</v>
      </c>
      <c r="Q413" s="19">
        <f>IF(E413="HERRAJE",0,IFERROR(_xlfn.XLOOKUP(E413,'⚙️ Configuración Costos'!$E$5:$E$6,'⚙️ Configuración Costos'!$F$5:$F$6),""))</f>
        <v>9.5</v>
      </c>
      <c r="R413" s="19">
        <f t="shared" si="219"/>
        <v>0</v>
      </c>
      <c r="S413" s="37">
        <f t="shared" si="220"/>
        <v>79.927195278688544</v>
      </c>
      <c r="T413" s="94" t="str">
        <f t="shared" si="221"/>
        <v>OK</v>
      </c>
      <c r="U413" s="95" t="str">
        <f t="shared" si="222"/>
        <v/>
      </c>
      <c r="V413" s="96">
        <f t="shared" si="223"/>
        <v>0</v>
      </c>
    </row>
    <row r="414" spans="1:22" x14ac:dyDescent="0.2">
      <c r="A414" s="34">
        <v>2</v>
      </c>
      <c r="B414" s="13">
        <v>512</v>
      </c>
      <c r="C414" s="13">
        <v>230</v>
      </c>
      <c r="D414" s="14" t="s">
        <v>247</v>
      </c>
      <c r="E414" s="14" t="s">
        <v>85</v>
      </c>
      <c r="F414" s="15">
        <v>1</v>
      </c>
      <c r="G414" s="15">
        <v>1</v>
      </c>
      <c r="H414" s="15">
        <v>1</v>
      </c>
      <c r="I414" s="15">
        <v>0</v>
      </c>
      <c r="J414" s="15">
        <v>0</v>
      </c>
      <c r="K414" s="23" t="s">
        <v>657</v>
      </c>
      <c r="L414" s="46" t="s">
        <v>270</v>
      </c>
      <c r="M414" s="17">
        <f t="shared" si="216"/>
        <v>0.23552000000000001</v>
      </c>
      <c r="N414" s="18">
        <f t="shared" si="217"/>
        <v>2.048</v>
      </c>
      <c r="O414" s="19">
        <f>IF(E414="HERRAJE",IFERROR(_xlfn.XLOOKUP(D414,'⚙️ Configuración Costos'!$A$11:$A$20,'⚙️ Configuración Costos'!$B$11:$B$20),""),IFERROR(_xlfn.XLOOKUP(E414,'⚙️ Configuración Costos'!$A$5:$A$6,'⚙️ Configuración Costos'!$B$5:$B$6),""))</f>
        <v>332.85245901639348</v>
      </c>
      <c r="P414" s="19">
        <f t="shared" si="218"/>
        <v>78.393411147541002</v>
      </c>
      <c r="Q414" s="19">
        <f>IF(E414="HERRAJE",0,IFERROR(_xlfn.XLOOKUP(E414,'⚙️ Configuración Costos'!$E$5:$E$6,'⚙️ Configuración Costos'!$F$5:$F$6),""))</f>
        <v>9.5</v>
      </c>
      <c r="R414" s="19">
        <f t="shared" si="219"/>
        <v>19.456</v>
      </c>
      <c r="S414" s="37">
        <f t="shared" si="220"/>
        <v>97.849411147541005</v>
      </c>
      <c r="T414" s="94" t="str">
        <f t="shared" si="221"/>
        <v>OK</v>
      </c>
      <c r="U414" s="95" t="str">
        <f t="shared" si="222"/>
        <v/>
      </c>
      <c r="V414" s="96">
        <f t="shared" si="223"/>
        <v>0</v>
      </c>
    </row>
    <row r="415" spans="1:22" x14ac:dyDescent="0.2">
      <c r="A415" s="34">
        <v>2</v>
      </c>
      <c r="B415" s="13">
        <v>500</v>
      </c>
      <c r="C415" s="13">
        <v>230</v>
      </c>
      <c r="D415" s="14" t="s">
        <v>242</v>
      </c>
      <c r="E415" s="14" t="s">
        <v>85</v>
      </c>
      <c r="F415" s="15">
        <v>1</v>
      </c>
      <c r="G415" s="15">
        <v>1</v>
      </c>
      <c r="H415" s="15">
        <v>1</v>
      </c>
      <c r="I415" s="15">
        <v>1</v>
      </c>
      <c r="J415" s="15">
        <v>1</v>
      </c>
      <c r="K415" s="23" t="s">
        <v>657</v>
      </c>
      <c r="L415" s="46" t="s">
        <v>243</v>
      </c>
      <c r="M415" s="17">
        <f t="shared" si="216"/>
        <v>0.23</v>
      </c>
      <c r="N415" s="18">
        <f t="shared" si="217"/>
        <v>2.92</v>
      </c>
      <c r="O415" s="19">
        <f>IF(E415="HERRAJE",IFERROR(_xlfn.XLOOKUP(D415,'⚙️ Configuración Costos'!$A$11:$A$20,'⚙️ Configuración Costos'!$B$11:$B$20),""),IFERROR(_xlfn.XLOOKUP(E415,'⚙️ Configuración Costos'!$A$5:$A$6,'⚙️ Configuración Costos'!$B$5:$B$6),""))</f>
        <v>332.85245901639348</v>
      </c>
      <c r="P415" s="19">
        <f t="shared" si="218"/>
        <v>76.55606557377051</v>
      </c>
      <c r="Q415" s="19">
        <f>IF(E415="HERRAJE",0,IFERROR(_xlfn.XLOOKUP(E415,'⚙️ Configuración Costos'!$E$5:$E$6,'⚙️ Configuración Costos'!$F$5:$F$6),""))</f>
        <v>9.5</v>
      </c>
      <c r="R415" s="19">
        <f t="shared" si="219"/>
        <v>27.74</v>
      </c>
      <c r="S415" s="37">
        <f t="shared" si="220"/>
        <v>104.29606557377051</v>
      </c>
      <c r="T415" s="94" t="str">
        <f t="shared" si="221"/>
        <v>OK</v>
      </c>
      <c r="U415" s="95" t="str">
        <f t="shared" si="222"/>
        <v/>
      </c>
      <c r="V415" s="96">
        <f t="shared" si="223"/>
        <v>0</v>
      </c>
    </row>
    <row r="416" spans="1:22" x14ac:dyDescent="0.2">
      <c r="A416" s="34">
        <v>1</v>
      </c>
      <c r="B416" s="13">
        <v>596</v>
      </c>
      <c r="C416" s="13">
        <v>356</v>
      </c>
      <c r="D416" s="14" t="s">
        <v>662</v>
      </c>
      <c r="E416" s="14" t="s">
        <v>85</v>
      </c>
      <c r="F416" s="15">
        <v>1</v>
      </c>
      <c r="G416" s="15">
        <v>1</v>
      </c>
      <c r="H416" s="15">
        <v>1</v>
      </c>
      <c r="I416" s="15">
        <v>1</v>
      </c>
      <c r="J416" s="15">
        <v>1</v>
      </c>
      <c r="K416" s="23" t="s">
        <v>657</v>
      </c>
      <c r="L416" s="46" t="s">
        <v>663</v>
      </c>
      <c r="M416" s="17">
        <f t="shared" si="216"/>
        <v>0.212176</v>
      </c>
      <c r="N416" s="18">
        <f t="shared" si="217"/>
        <v>1.9039999999999999</v>
      </c>
      <c r="O416" s="19">
        <f>IF(E416="HERRAJE",IFERROR(_xlfn.XLOOKUP(D416,'⚙️ Configuración Costos'!$A$11:$A$20,'⚙️ Configuración Costos'!$B$11:$B$20),""),IFERROR(_xlfn.XLOOKUP(E416,'⚙️ Configuración Costos'!$A$5:$A$6,'⚙️ Configuración Costos'!$B$5:$B$6),""))</f>
        <v>332.85245901639348</v>
      </c>
      <c r="P416" s="19">
        <f t="shared" si="218"/>
        <v>70.623303344262311</v>
      </c>
      <c r="Q416" s="19">
        <f>IF(E416="HERRAJE",0,IFERROR(_xlfn.XLOOKUP(E416,'⚙️ Configuración Costos'!$E$5:$E$6,'⚙️ Configuración Costos'!$F$5:$F$6),""))</f>
        <v>9.5</v>
      </c>
      <c r="R416" s="19">
        <f t="shared" si="219"/>
        <v>18.088000000000001</v>
      </c>
      <c r="S416" s="37">
        <f t="shared" si="220"/>
        <v>88.711303344262319</v>
      </c>
      <c r="T416" s="94" t="str">
        <f t="shared" si="221"/>
        <v>OK</v>
      </c>
      <c r="U416" s="95" t="str">
        <f t="shared" si="222"/>
        <v/>
      </c>
      <c r="V416" s="96">
        <f t="shared" si="223"/>
        <v>0</v>
      </c>
    </row>
    <row r="417" spans="1:22" x14ac:dyDescent="0.2">
      <c r="A417" s="34">
        <v>1</v>
      </c>
      <c r="B417" s="13">
        <v>0</v>
      </c>
      <c r="C417" s="13">
        <v>0</v>
      </c>
      <c r="D417" s="14" t="s">
        <v>256</v>
      </c>
      <c r="E417" s="14" t="s">
        <v>91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23" t="s">
        <v>657</v>
      </c>
      <c r="L417" s="46" t="s">
        <v>257</v>
      </c>
      <c r="M417" s="17">
        <f t="shared" si="216"/>
        <v>0</v>
      </c>
      <c r="N417" s="18">
        <f t="shared" si="217"/>
        <v>0</v>
      </c>
      <c r="O417" s="19">
        <f>IF(E417="HERRAJE",IFERROR(_xlfn.XLOOKUP(D417,'⚙️ Configuración Costos'!$A$11:$A$20,'⚙️ Configuración Costos'!$B$11:$B$20),""),IFERROR(_xlfn.XLOOKUP(E417,'⚙️ Configuración Costos'!$A$5:$A$6,'⚙️ Configuración Costos'!$B$5:$B$6),""))</f>
        <v>125</v>
      </c>
      <c r="P417" s="19">
        <f t="shared" si="218"/>
        <v>125</v>
      </c>
      <c r="Q417" s="19">
        <f>IF(E417="HERRAJE",0,IFERROR(_xlfn.XLOOKUP(E417,'⚙️ Configuración Costos'!$E$5:$E$6,'⚙️ Configuración Costos'!$F$5:$F$6),""))</f>
        <v>0</v>
      </c>
      <c r="R417" s="19">
        <f t="shared" si="219"/>
        <v>0</v>
      </c>
      <c r="S417" s="37">
        <f t="shared" si="220"/>
        <v>125</v>
      </c>
      <c r="T417" s="94" t="str">
        <f t="shared" si="221"/>
        <v>OK</v>
      </c>
      <c r="U417" s="95" t="str">
        <f t="shared" si="222"/>
        <v/>
      </c>
      <c r="V417" s="96">
        <f t="shared" si="223"/>
        <v>0</v>
      </c>
    </row>
    <row r="418" spans="1:22" x14ac:dyDescent="0.2">
      <c r="A418" s="34">
        <v>1</v>
      </c>
      <c r="B418" s="13">
        <v>0</v>
      </c>
      <c r="C418" s="13">
        <v>0</v>
      </c>
      <c r="D418" s="14" t="s">
        <v>93</v>
      </c>
      <c r="E418" s="14" t="s">
        <v>91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23" t="s">
        <v>657</v>
      </c>
      <c r="L418" s="46" t="s">
        <v>94</v>
      </c>
      <c r="M418" s="17">
        <f t="shared" si="216"/>
        <v>0</v>
      </c>
      <c r="N418" s="18">
        <f t="shared" si="217"/>
        <v>0</v>
      </c>
      <c r="O418" s="19">
        <f>IF(E418="HERRAJE",IFERROR(_xlfn.XLOOKUP(D418,'⚙️ Configuración Costos'!$A$11:$A$20,'⚙️ Configuración Costos'!$B$11:$B$20),""),IFERROR(_xlfn.XLOOKUP(E418,'⚙️ Configuración Costos'!$A$5:$A$6,'⚙️ Configuración Costos'!$B$5:$B$6),""))</f>
        <v>15</v>
      </c>
      <c r="P418" s="19">
        <f t="shared" si="218"/>
        <v>15</v>
      </c>
      <c r="Q418" s="19">
        <f>IF(E418="HERRAJE",0,IFERROR(_xlfn.XLOOKUP(E418,'⚙️ Configuración Costos'!$E$5:$E$6,'⚙️ Configuración Costos'!$F$5:$F$6),""))</f>
        <v>0</v>
      </c>
      <c r="R418" s="19">
        <f t="shared" si="219"/>
        <v>0</v>
      </c>
      <c r="S418" s="37">
        <f t="shared" si="220"/>
        <v>15</v>
      </c>
      <c r="T418" s="94" t="str">
        <f t="shared" si="221"/>
        <v>OK</v>
      </c>
      <c r="U418" s="95" t="str">
        <f t="shared" si="222"/>
        <v/>
      </c>
      <c r="V418" s="96">
        <f t="shared" si="223"/>
        <v>0</v>
      </c>
    </row>
    <row r="419" spans="1:22" x14ac:dyDescent="0.2">
      <c r="A419" s="34">
        <v>4</v>
      </c>
      <c r="B419" s="13">
        <v>0</v>
      </c>
      <c r="C419" s="13">
        <v>0</v>
      </c>
      <c r="D419" s="14" t="s">
        <v>186</v>
      </c>
      <c r="E419" s="14" t="s">
        <v>91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23" t="s">
        <v>657</v>
      </c>
      <c r="L419" s="46" t="s">
        <v>187</v>
      </c>
      <c r="M419" s="17">
        <f t="shared" si="216"/>
        <v>0</v>
      </c>
      <c r="N419" s="18">
        <f t="shared" si="217"/>
        <v>0</v>
      </c>
      <c r="O419" s="19">
        <f>IF(E419="HERRAJE",IFERROR(_xlfn.XLOOKUP(D419,'⚙️ Configuración Costos'!$A$11:$A$20,'⚙️ Configuración Costos'!$B$11:$B$20),""),IFERROR(_xlfn.XLOOKUP(E419,'⚙️ Configuración Costos'!$A$5:$A$6,'⚙️ Configuración Costos'!$B$5:$B$6),""))</f>
        <v>15</v>
      </c>
      <c r="P419" s="19">
        <f t="shared" si="218"/>
        <v>60</v>
      </c>
      <c r="Q419" s="19">
        <f>IF(E419="HERRAJE",0,IFERROR(_xlfn.XLOOKUP(E419,'⚙️ Configuración Costos'!$E$5:$E$6,'⚙️ Configuración Costos'!$F$5:$F$6),""))</f>
        <v>0</v>
      </c>
      <c r="R419" s="19">
        <f t="shared" si="219"/>
        <v>0</v>
      </c>
      <c r="S419" s="37">
        <f t="shared" si="220"/>
        <v>60</v>
      </c>
      <c r="T419" s="94" t="str">
        <f t="shared" si="221"/>
        <v>OK</v>
      </c>
      <c r="U419" s="95" t="str">
        <f t="shared" si="222"/>
        <v/>
      </c>
      <c r="V419" s="96">
        <f t="shared" si="223"/>
        <v>0</v>
      </c>
    </row>
    <row r="420" spans="1:22" x14ac:dyDescent="0.2">
      <c r="A420" s="34">
        <v>16</v>
      </c>
      <c r="B420" s="13">
        <v>0</v>
      </c>
      <c r="C420" s="13">
        <v>0</v>
      </c>
      <c r="D420" s="14" t="s">
        <v>400</v>
      </c>
      <c r="E420" s="14" t="s">
        <v>91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23" t="s">
        <v>657</v>
      </c>
      <c r="L420" s="46" t="s">
        <v>360</v>
      </c>
      <c r="M420" s="17">
        <f t="shared" si="216"/>
        <v>0</v>
      </c>
      <c r="N420" s="18">
        <f t="shared" si="217"/>
        <v>0</v>
      </c>
      <c r="O420" s="19">
        <f>IF(E420="HERRAJE",IFERROR(_xlfn.XLOOKUP(D420,'⚙️ Configuración Costos'!$A$11:$A$20,'⚙️ Configuración Costos'!$B$11:$B$20),""),IFERROR(_xlfn.XLOOKUP(E420,'⚙️ Configuración Costos'!$A$5:$A$6,'⚙️ Configuración Costos'!$B$5:$B$6),""))</f>
        <v>3</v>
      </c>
      <c r="P420" s="19">
        <f t="shared" si="218"/>
        <v>48</v>
      </c>
      <c r="Q420" s="19">
        <f>IF(E420="HERRAJE",0,IFERROR(_xlfn.XLOOKUP(E420,'⚙️ Configuración Costos'!$E$5:$E$6,'⚙️ Configuración Costos'!$F$5:$F$6),""))</f>
        <v>0</v>
      </c>
      <c r="R420" s="19">
        <f t="shared" si="219"/>
        <v>0</v>
      </c>
      <c r="S420" s="37">
        <f t="shared" si="220"/>
        <v>48</v>
      </c>
      <c r="T420" s="94" t="str">
        <f t="shared" si="221"/>
        <v>OK</v>
      </c>
      <c r="U420" s="95" t="str">
        <f t="shared" si="222"/>
        <v/>
      </c>
      <c r="V420" s="96">
        <f t="shared" si="223"/>
        <v>0</v>
      </c>
    </row>
    <row r="421" spans="1:22" ht="16" thickBot="1" x14ac:dyDescent="0.25">
      <c r="A421" s="34">
        <v>28</v>
      </c>
      <c r="B421" s="13">
        <v>0</v>
      </c>
      <c r="C421" s="13">
        <v>0</v>
      </c>
      <c r="D421" s="14" t="s">
        <v>468</v>
      </c>
      <c r="E421" s="14" t="s">
        <v>91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23" t="s">
        <v>657</v>
      </c>
      <c r="L421" s="46" t="s">
        <v>361</v>
      </c>
      <c r="M421" s="17">
        <f t="shared" si="216"/>
        <v>0</v>
      </c>
      <c r="N421" s="18">
        <f t="shared" si="217"/>
        <v>0</v>
      </c>
      <c r="O421" s="19">
        <f>IF(E421="HERRAJE",IFERROR(_xlfn.XLOOKUP(D421,'⚙️ Configuración Costos'!$A$11:$A$20,'⚙️ Configuración Costos'!$B$11:$B$20),""),IFERROR(_xlfn.XLOOKUP(E421,'⚙️ Configuración Costos'!$A$5:$A$6,'⚙️ Configuración Costos'!$B$5:$B$6),""))</f>
        <v>1</v>
      </c>
      <c r="P421" s="19">
        <f t="shared" si="218"/>
        <v>28</v>
      </c>
      <c r="Q421" s="19">
        <f>IF(E421="HERRAJE",0,IFERROR(_xlfn.XLOOKUP(E421,'⚙️ Configuración Costos'!$E$5:$E$6,'⚙️ Configuración Costos'!$F$5:$F$6),""))</f>
        <v>0</v>
      </c>
      <c r="R421" s="19">
        <f t="shared" si="219"/>
        <v>0</v>
      </c>
      <c r="S421" s="37">
        <f t="shared" si="220"/>
        <v>28</v>
      </c>
      <c r="T421" s="94" t="str">
        <f t="shared" si="221"/>
        <v>OK</v>
      </c>
      <c r="U421" s="95" t="str">
        <f t="shared" si="222"/>
        <v/>
      </c>
      <c r="V421" s="96">
        <f t="shared" si="223"/>
        <v>0</v>
      </c>
    </row>
    <row r="422" spans="1:22" ht="16" thickTop="1" x14ac:dyDescent="0.2">
      <c r="A422" s="27" t="s">
        <v>99</v>
      </c>
      <c r="B422" s="27"/>
      <c r="C422" s="27"/>
      <c r="D422" s="28"/>
      <c r="E422" s="28"/>
      <c r="F422" s="29"/>
      <c r="G422" s="29"/>
      <c r="H422" s="29"/>
      <c r="I422" s="29"/>
      <c r="J422" s="29"/>
      <c r="K422" s="30"/>
      <c r="L422" s="49" t="s">
        <v>656</v>
      </c>
      <c r="M422" s="31">
        <f>SUM(M408:M421)</f>
        <v>1.9385639999999997</v>
      </c>
      <c r="N422" s="32">
        <f>SUM(N408:N421)</f>
        <v>16.344000000000001</v>
      </c>
      <c r="O422" s="33"/>
      <c r="P422" s="33">
        <f>SUM(P408:P421)</f>
        <v>921.25579436065595</v>
      </c>
      <c r="Q422" s="33"/>
      <c r="R422" s="33">
        <f>SUM(R408:R421)</f>
        <v>155.268</v>
      </c>
      <c r="S422" s="33">
        <f>SUM(S408:S421)</f>
        <v>1076.5237943606558</v>
      </c>
      <c r="T422" s="97"/>
      <c r="U422" s="98"/>
      <c r="V422" s="99"/>
    </row>
    <row r="423" spans="1:22" x14ac:dyDescent="0.2">
      <c r="A423" s="186" t="s">
        <v>275</v>
      </c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8"/>
      <c r="T423" s="97"/>
      <c r="U423" s="98"/>
      <c r="V423" s="99"/>
    </row>
    <row r="424" spans="1:22" x14ac:dyDescent="0.2">
      <c r="A424" s="35">
        <v>1</v>
      </c>
      <c r="B424" s="44">
        <v>720</v>
      </c>
      <c r="C424" s="44">
        <v>580</v>
      </c>
      <c r="D424" s="43" t="s">
        <v>63</v>
      </c>
      <c r="E424" s="43" t="s">
        <v>85</v>
      </c>
      <c r="F424" s="44">
        <v>1</v>
      </c>
      <c r="G424" s="44">
        <v>1</v>
      </c>
      <c r="H424" s="44">
        <v>1</v>
      </c>
      <c r="I424" s="44">
        <v>1</v>
      </c>
      <c r="J424" s="44">
        <v>1</v>
      </c>
      <c r="K424" s="23" t="s">
        <v>27</v>
      </c>
      <c r="L424" t="s">
        <v>373</v>
      </c>
      <c r="M424" s="17">
        <f t="shared" ref="M424:M433" si="224">IF(AND(ISNUMBER(B424),ISNUMBER(C424),B424&gt;0,C424&gt;0),A424*(B424*C424/1000000),0)</f>
        <v>0.41760000000000003</v>
      </c>
      <c r="N424" s="18">
        <f t="shared" ref="N424:N433" si="225">IF(AND(ISNUMBER(B424),B424&gt;0),A424*(((G424+H424)*B424+(I424+J424)*C424)/1000),0)</f>
        <v>2.6</v>
      </c>
      <c r="O424" s="19">
        <f>IF(E424="HERRAJE",IFERROR(_xlfn.XLOOKUP(D424,'⚙️ Configuración Costos'!$A$11:$A$20,'⚙️ Configuración Costos'!$B$11:$B$20),""),IFERROR(_xlfn.XLOOKUP(E424,'⚙️ Configuración Costos'!$A$5:$A$6,'⚙️ Configuración Costos'!$B$5:$B$6),""))</f>
        <v>332.85245901639348</v>
      </c>
      <c r="P424" s="19">
        <f t="shared" ref="P424:P433" si="226">IF(E424="HERRAJE",A424*O424,M424*O424)</f>
        <v>138.99918688524593</v>
      </c>
      <c r="Q424" s="19">
        <f>IF(E424="HERRAJE",0,IFERROR(_xlfn.XLOOKUP(E424,'⚙️ Configuración Costos'!$E$5:$E$6,'⚙️ Configuración Costos'!$F$5:$F$6),""))</f>
        <v>9.5</v>
      </c>
      <c r="R424" s="19">
        <f t="shared" ref="R424:R433" si="227">N424*Q424</f>
        <v>24.7</v>
      </c>
      <c r="S424" s="37">
        <f t="shared" ref="S424:S433" si="228">P424+R424</f>
        <v>163.69918688524592</v>
      </c>
      <c r="T424" s="94" t="str">
        <f t="shared" ref="T424:T433" si="229">IF(K424="","SIN ID MÓDULO",IF(E424="HERRAJE",IF(OR(O424="",O424&lt;=0),"SIN PRECIO HERRAJE","OK"),IF(OR(O424="",O424&lt;=0),"SIN PRECIO MATERIAL",IF(AND(N424&gt;0,OR(Q424="",Q424&lt;=0)),"SIN PRECIO CINTILLA","OK"))))</f>
        <v>OK</v>
      </c>
      <c r="U424" s="95" t="str">
        <f t="shared" ref="U424:U433" si="230">IF(T424="OK","",IF(T424="SIN PRECIO HERRAJE","Capturar precio: "&amp;D424,IF(T424="SIN PRECIO MATERIAL","Configurar material: "&amp;E424,IF(T424="SIN PRECIO CINTILLA","Configurar cintilla: "&amp;E424,IF(T424="SIN ID MÓDULO","Revisar ID del módulo","")))))</f>
        <v/>
      </c>
      <c r="V424" s="96">
        <f t="shared" ref="V424:V433" si="231">IF(T424="OK",0,IF(T424="",0,1))</f>
        <v>0</v>
      </c>
    </row>
    <row r="425" spans="1:22" x14ac:dyDescent="0.2">
      <c r="A425" s="35">
        <v>1</v>
      </c>
      <c r="B425" s="44">
        <v>720</v>
      </c>
      <c r="C425" s="44">
        <v>580</v>
      </c>
      <c r="D425" s="43" t="s">
        <v>66</v>
      </c>
      <c r="E425" s="43" t="s">
        <v>85</v>
      </c>
      <c r="F425" s="44">
        <v>1</v>
      </c>
      <c r="G425" s="44">
        <v>1</v>
      </c>
      <c r="H425" s="44">
        <v>1</v>
      </c>
      <c r="I425" s="44">
        <v>1</v>
      </c>
      <c r="J425" s="44">
        <v>1</v>
      </c>
      <c r="K425" s="23" t="s">
        <v>27</v>
      </c>
      <c r="L425" t="s">
        <v>374</v>
      </c>
      <c r="M425" s="17">
        <f t="shared" si="224"/>
        <v>0.41760000000000003</v>
      </c>
      <c r="N425" s="18">
        <f t="shared" si="225"/>
        <v>2.6</v>
      </c>
      <c r="O425" s="19">
        <f>IF(E425="HERRAJE",IFERROR(_xlfn.XLOOKUP(D425,'⚙️ Configuración Costos'!$A$11:$A$20,'⚙️ Configuración Costos'!$B$11:$B$20),""),IFERROR(_xlfn.XLOOKUP(E425,'⚙️ Configuración Costos'!$A$5:$A$6,'⚙️ Configuración Costos'!$B$5:$B$6),""))</f>
        <v>332.85245901639348</v>
      </c>
      <c r="P425" s="19">
        <f t="shared" si="226"/>
        <v>138.99918688524593</v>
      </c>
      <c r="Q425" s="19">
        <f>IF(E425="HERRAJE",0,IFERROR(_xlfn.XLOOKUP(E425,'⚙️ Configuración Costos'!$E$5:$E$6,'⚙️ Configuración Costos'!$F$5:$F$6),""))</f>
        <v>9.5</v>
      </c>
      <c r="R425" s="19">
        <f t="shared" si="227"/>
        <v>24.7</v>
      </c>
      <c r="S425" s="37">
        <f t="shared" si="228"/>
        <v>163.69918688524592</v>
      </c>
      <c r="T425" s="94" t="str">
        <f t="shared" si="229"/>
        <v>OK</v>
      </c>
      <c r="U425" s="95" t="str">
        <f t="shared" si="230"/>
        <v/>
      </c>
      <c r="V425" s="96">
        <f t="shared" si="231"/>
        <v>0</v>
      </c>
    </row>
    <row r="426" spans="1:22" x14ac:dyDescent="0.2">
      <c r="A426" s="35">
        <v>1</v>
      </c>
      <c r="B426" s="44">
        <v>689</v>
      </c>
      <c r="C426" s="44">
        <v>169</v>
      </c>
      <c r="D426" s="43" t="s">
        <v>169</v>
      </c>
      <c r="E426" s="43" t="s">
        <v>85</v>
      </c>
      <c r="F426" s="44">
        <v>1</v>
      </c>
      <c r="G426" s="44">
        <v>0</v>
      </c>
      <c r="H426" s="44">
        <v>0</v>
      </c>
      <c r="I426" s="44">
        <v>0</v>
      </c>
      <c r="J426" s="44">
        <v>0</v>
      </c>
      <c r="K426" s="23" t="s">
        <v>27</v>
      </c>
      <c r="L426" t="s">
        <v>279</v>
      </c>
      <c r="M426" s="17">
        <f t="shared" si="224"/>
        <v>0.116441</v>
      </c>
      <c r="N426" s="18">
        <f t="shared" si="225"/>
        <v>0</v>
      </c>
      <c r="O426" s="19">
        <f>IF(E426="HERRAJE",IFERROR(_xlfn.XLOOKUP(D426,'⚙️ Configuración Costos'!$A$11:$A$20,'⚙️ Configuración Costos'!$B$11:$B$20),""),IFERROR(_xlfn.XLOOKUP(E426,'⚙️ Configuración Costos'!$A$5:$A$6,'⚙️ Configuración Costos'!$B$5:$B$6),""))</f>
        <v>332.85245901639348</v>
      </c>
      <c r="P426" s="19">
        <f t="shared" si="226"/>
        <v>38.757673180327878</v>
      </c>
      <c r="Q426" s="19">
        <f>IF(E426="HERRAJE",0,IFERROR(_xlfn.XLOOKUP(E426,'⚙️ Configuración Costos'!$E$5:$E$6,'⚙️ Configuración Costos'!$F$5:$F$6),""))</f>
        <v>9.5</v>
      </c>
      <c r="R426" s="19">
        <f t="shared" si="227"/>
        <v>0</v>
      </c>
      <c r="S426" s="37">
        <f t="shared" si="228"/>
        <v>38.757673180327878</v>
      </c>
      <c r="T426" s="94" t="str">
        <f t="shared" si="229"/>
        <v>OK</v>
      </c>
      <c r="U426" s="95" t="str">
        <f t="shared" si="230"/>
        <v/>
      </c>
      <c r="V426" s="96">
        <f t="shared" si="231"/>
        <v>0</v>
      </c>
    </row>
    <row r="427" spans="1:22" x14ac:dyDescent="0.2">
      <c r="A427" s="35">
        <v>1</v>
      </c>
      <c r="B427" s="44">
        <v>169</v>
      </c>
      <c r="C427" s="44">
        <v>580</v>
      </c>
      <c r="D427" s="43" t="s">
        <v>171</v>
      </c>
      <c r="E427" s="43" t="s">
        <v>85</v>
      </c>
      <c r="F427" s="44">
        <v>1</v>
      </c>
      <c r="G427" s="44">
        <v>0</v>
      </c>
      <c r="H427" s="44">
        <v>0</v>
      </c>
      <c r="I427" s="44">
        <v>1</v>
      </c>
      <c r="J427" s="44">
        <v>1</v>
      </c>
      <c r="K427" s="23" t="s">
        <v>27</v>
      </c>
      <c r="L427" t="s">
        <v>375</v>
      </c>
      <c r="M427" s="17">
        <f t="shared" si="224"/>
        <v>9.8019999999999996E-2</v>
      </c>
      <c r="N427" s="18">
        <f t="shared" si="225"/>
        <v>1.1599999999999999</v>
      </c>
      <c r="O427" s="19">
        <f>IF(E427="HERRAJE",IFERROR(_xlfn.XLOOKUP(D427,'⚙️ Configuración Costos'!$A$11:$A$20,'⚙️ Configuración Costos'!$B$11:$B$20),""),IFERROR(_xlfn.XLOOKUP(E427,'⚙️ Configuración Costos'!$A$5:$A$6,'⚙️ Configuración Costos'!$B$5:$B$6),""))</f>
        <v>332.85245901639348</v>
      </c>
      <c r="P427" s="19">
        <f t="shared" si="226"/>
        <v>32.626198032786888</v>
      </c>
      <c r="Q427" s="19">
        <f>IF(E427="HERRAJE",0,IFERROR(_xlfn.XLOOKUP(E427,'⚙️ Configuración Costos'!$E$5:$E$6,'⚙️ Configuración Costos'!$F$5:$F$6),""))</f>
        <v>9.5</v>
      </c>
      <c r="R427" s="19">
        <f t="shared" si="227"/>
        <v>11.02</v>
      </c>
      <c r="S427" s="37">
        <f t="shared" si="228"/>
        <v>43.646198032786884</v>
      </c>
      <c r="T427" s="94" t="str">
        <f t="shared" si="229"/>
        <v>OK</v>
      </c>
      <c r="U427" s="95" t="str">
        <f t="shared" si="230"/>
        <v/>
      </c>
      <c r="V427" s="96">
        <f t="shared" si="231"/>
        <v>0</v>
      </c>
    </row>
    <row r="428" spans="1:22" x14ac:dyDescent="0.2">
      <c r="A428" s="35">
        <v>1</v>
      </c>
      <c r="B428" s="44">
        <v>169</v>
      </c>
      <c r="C428" s="44">
        <v>120</v>
      </c>
      <c r="D428" s="43" t="s">
        <v>173</v>
      </c>
      <c r="E428" s="43" t="s">
        <v>85</v>
      </c>
      <c r="F428" s="44">
        <v>1</v>
      </c>
      <c r="G428" s="44">
        <v>1</v>
      </c>
      <c r="H428" s="44">
        <v>1</v>
      </c>
      <c r="I428" s="44">
        <v>0</v>
      </c>
      <c r="J428" s="44">
        <v>0</v>
      </c>
      <c r="K428" s="23" t="s">
        <v>27</v>
      </c>
      <c r="L428" t="s">
        <v>281</v>
      </c>
      <c r="M428" s="17">
        <f t="shared" si="224"/>
        <v>2.0279999999999999E-2</v>
      </c>
      <c r="N428" s="18">
        <f t="shared" si="225"/>
        <v>0.33800000000000002</v>
      </c>
      <c r="O428" s="19">
        <f>IF(E428="HERRAJE",IFERROR(_xlfn.XLOOKUP(D428,'⚙️ Configuración Costos'!$A$11:$A$20,'⚙️ Configuración Costos'!$B$11:$B$20),""),IFERROR(_xlfn.XLOOKUP(E428,'⚙️ Configuración Costos'!$A$5:$A$6,'⚙️ Configuración Costos'!$B$5:$B$6),""))</f>
        <v>332.85245901639348</v>
      </c>
      <c r="P428" s="19">
        <f t="shared" si="226"/>
        <v>6.7502478688524592</v>
      </c>
      <c r="Q428" s="19">
        <f>IF(E428="HERRAJE",0,IFERROR(_xlfn.XLOOKUP(E428,'⚙️ Configuración Costos'!$E$5:$E$6,'⚙️ Configuración Costos'!$F$5:$F$6),""))</f>
        <v>9.5</v>
      </c>
      <c r="R428" s="19">
        <f t="shared" si="227"/>
        <v>3.2110000000000003</v>
      </c>
      <c r="S428" s="37">
        <f t="shared" si="228"/>
        <v>9.9612478688524604</v>
      </c>
      <c r="T428" s="94" t="str">
        <f t="shared" si="229"/>
        <v>OK</v>
      </c>
      <c r="U428" s="95" t="str">
        <f t="shared" si="230"/>
        <v/>
      </c>
      <c r="V428" s="96">
        <f t="shared" si="231"/>
        <v>0</v>
      </c>
    </row>
    <row r="429" spans="1:22" x14ac:dyDescent="0.2">
      <c r="A429" s="35">
        <v>1</v>
      </c>
      <c r="B429" s="44">
        <v>169</v>
      </c>
      <c r="C429" s="44">
        <v>120</v>
      </c>
      <c r="D429" s="43" t="s">
        <v>175</v>
      </c>
      <c r="E429" s="43" t="s">
        <v>85</v>
      </c>
      <c r="F429" s="44">
        <v>1</v>
      </c>
      <c r="G429" s="44">
        <v>1</v>
      </c>
      <c r="H429" s="44">
        <v>1</v>
      </c>
      <c r="I429" s="44">
        <v>0</v>
      </c>
      <c r="J429" s="44">
        <v>0</v>
      </c>
      <c r="K429" s="23" t="s">
        <v>27</v>
      </c>
      <c r="L429" t="s">
        <v>282</v>
      </c>
      <c r="M429" s="17">
        <f t="shared" si="224"/>
        <v>2.0279999999999999E-2</v>
      </c>
      <c r="N429" s="18">
        <f t="shared" si="225"/>
        <v>0.33800000000000002</v>
      </c>
      <c r="O429" s="19">
        <f>IF(E429="HERRAJE",IFERROR(_xlfn.XLOOKUP(D429,'⚙️ Configuración Costos'!$A$11:$A$20,'⚙️ Configuración Costos'!$B$11:$B$20),""),IFERROR(_xlfn.XLOOKUP(E429,'⚙️ Configuración Costos'!$A$5:$A$6,'⚙️ Configuración Costos'!$B$5:$B$6),""))</f>
        <v>332.85245901639348</v>
      </c>
      <c r="P429" s="19">
        <f t="shared" si="226"/>
        <v>6.7502478688524592</v>
      </c>
      <c r="Q429" s="19">
        <f>IF(E429="HERRAJE",0,IFERROR(_xlfn.XLOOKUP(E429,'⚙️ Configuración Costos'!$E$5:$E$6,'⚙️ Configuración Costos'!$F$5:$F$6),""))</f>
        <v>9.5</v>
      </c>
      <c r="R429" s="19">
        <f t="shared" si="227"/>
        <v>3.2110000000000003</v>
      </c>
      <c r="S429" s="37">
        <f t="shared" si="228"/>
        <v>9.9612478688524604</v>
      </c>
      <c r="T429" s="94" t="str">
        <f t="shared" si="229"/>
        <v>OK</v>
      </c>
      <c r="U429" s="95" t="str">
        <f t="shared" si="230"/>
        <v/>
      </c>
      <c r="V429" s="96">
        <f t="shared" si="231"/>
        <v>0</v>
      </c>
    </row>
    <row r="430" spans="1:22" x14ac:dyDescent="0.2">
      <c r="A430" s="35">
        <v>1</v>
      </c>
      <c r="B430" s="44">
        <v>169</v>
      </c>
      <c r="C430" s="44">
        <v>490</v>
      </c>
      <c r="D430" s="43" t="s">
        <v>479</v>
      </c>
      <c r="E430" s="43" t="s">
        <v>85</v>
      </c>
      <c r="F430" s="44">
        <v>1</v>
      </c>
      <c r="G430" s="44">
        <v>0</v>
      </c>
      <c r="H430" s="44">
        <v>0</v>
      </c>
      <c r="I430" s="44">
        <v>0</v>
      </c>
      <c r="J430" s="44">
        <v>1</v>
      </c>
      <c r="K430" s="23" t="s">
        <v>27</v>
      </c>
      <c r="L430" t="s">
        <v>283</v>
      </c>
      <c r="M430" s="17">
        <f t="shared" si="224"/>
        <v>8.2809999999999995E-2</v>
      </c>
      <c r="N430" s="18">
        <f t="shared" si="225"/>
        <v>0.49</v>
      </c>
      <c r="O430" s="19">
        <f>IF(E430="HERRAJE",IFERROR(_xlfn.XLOOKUP(D430,'⚙️ Configuración Costos'!$A$11:$A$20,'⚙️ Configuración Costos'!$B$11:$B$20),""),IFERROR(_xlfn.XLOOKUP(E430,'⚙️ Configuración Costos'!$A$5:$A$6,'⚙️ Configuración Costos'!$B$5:$B$6),""))</f>
        <v>332.85245901639348</v>
      </c>
      <c r="P430" s="19">
        <f t="shared" si="226"/>
        <v>27.563512131147544</v>
      </c>
      <c r="Q430" s="19">
        <f>IF(E430="HERRAJE",0,IFERROR(_xlfn.XLOOKUP(E430,'⚙️ Configuración Costos'!$E$5:$E$6,'⚙️ Configuración Costos'!$F$5:$F$6),""))</f>
        <v>9.5</v>
      </c>
      <c r="R430" s="19">
        <f t="shared" si="227"/>
        <v>4.6550000000000002</v>
      </c>
      <c r="S430" s="37">
        <f t="shared" si="228"/>
        <v>32.218512131147541</v>
      </c>
      <c r="T430" s="94" t="str">
        <f t="shared" si="229"/>
        <v>OK</v>
      </c>
      <c r="U430" s="95" t="str">
        <f t="shared" si="230"/>
        <v/>
      </c>
      <c r="V430" s="96">
        <f t="shared" si="231"/>
        <v>0</v>
      </c>
    </row>
    <row r="431" spans="1:22" x14ac:dyDescent="0.2">
      <c r="A431" s="35">
        <v>4</v>
      </c>
      <c r="B431" s="6">
        <v>0</v>
      </c>
      <c r="C431" s="6">
        <v>0</v>
      </c>
      <c r="D431" s="7" t="s">
        <v>186</v>
      </c>
      <c r="E431" s="7" t="s">
        <v>91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23" t="s">
        <v>27</v>
      </c>
      <c r="L431" s="47" t="s">
        <v>187</v>
      </c>
      <c r="M431" s="17">
        <f t="shared" si="224"/>
        <v>0</v>
      </c>
      <c r="N431" s="18">
        <f t="shared" si="225"/>
        <v>0</v>
      </c>
      <c r="O431" s="19">
        <f>IF(E431="HERRAJE",IFERROR(_xlfn.XLOOKUP(D431,'⚙️ Configuración Costos'!$A$11:$A$20,'⚙️ Configuración Costos'!$B$11:$B$20),""),IFERROR(_xlfn.XLOOKUP(E431,'⚙️ Configuración Costos'!$A$5:$A$6,'⚙️ Configuración Costos'!$B$5:$B$6),""))</f>
        <v>15</v>
      </c>
      <c r="P431" s="19">
        <f t="shared" si="226"/>
        <v>60</v>
      </c>
      <c r="Q431" s="19">
        <f>IF(E431="HERRAJE",0,IFERROR(_xlfn.XLOOKUP(E431,'⚙️ Configuración Costos'!$E$5:$E$6,'⚙️ Configuración Costos'!$F$5:$F$6),""))</f>
        <v>0</v>
      </c>
      <c r="R431" s="19">
        <f t="shared" si="227"/>
        <v>0</v>
      </c>
      <c r="S431" s="37">
        <f t="shared" si="228"/>
        <v>60</v>
      </c>
      <c r="T431" s="94" t="str">
        <f t="shared" si="229"/>
        <v>OK</v>
      </c>
      <c r="U431" s="95" t="str">
        <f t="shared" si="230"/>
        <v/>
      </c>
      <c r="V431" s="96">
        <f t="shared" si="231"/>
        <v>0</v>
      </c>
    </row>
    <row r="432" spans="1:22" x14ac:dyDescent="0.2">
      <c r="A432" s="36">
        <f>4*(IF(LEFT(D424,4)="Base",A424,0)+IF(LEFT(D424,4)="Piso",A424,0)+IF(LEFT(D424,5)="Techo",A424,0)+IF(LEFT(D425,4)="Base",A425,0)+IF(LEFT(D425,4)="Piso",A425,0)+IF(LEFT(D425,5)="Techo",A425,0)+IF(LEFT(D426,4)="Base",A426,0)+IF(LEFT(D426,4)="Piso",A426,0)+IF(LEFT(D426,5)="Techo",A426,0)+IF(LEFT(D427,4)="Base",A427,0)+IF(LEFT(D427,4)="Piso",A427,0)+IF(LEFT(D427,5)="Techo",A427,0)+IF(LEFT(D428,4)="Base",A428,0)+IF(LEFT(D428,4)="Piso",A428,0)+IF(LEFT(D428,5)="Techo",A428,0)+IF(LEFT(D429,4)="Base",A429,0)+IF(LEFT(D429,4)="Piso",A429,0)+IF(LEFT(D429,5)="Techo",A429,0)+IF(LEFT(D430,4)="Base",A430,0)+IF(LEFT(D430,4)="Piso",A430,0)+IF(LEFT(D430,5)="Techo",A430,0))+10*(IF(LEFT(D424,8)="Respaldo",A424,0)+IF(LEFT(D425,8)="Respaldo",A425,0)+IF(LEFT(D426,8)="Respaldo",A426,0)+IF(LEFT(D427,8)="Respaldo",A427,0)+IF(LEFT(D428,8)="Respaldo",A428,0)+IF(LEFT(D429,8)="Respaldo",A429,0)+IF(LEFT(D430,8)="Respaldo",A430,0))+2*(IF(LEFT(D424,8)="Manguete",A424,0)+IF(LEFT(D425,8)="Manguete",A425,0)+IF(LEFT(D426,8)="Manguete",A426,0)+IF(LEFT(D427,8)="Manguete",A427,0)+IF(LEFT(D428,8)="Manguete",A428,0)+IF(LEFT(D429,8)="Manguete",A429,0)+IF(LEFT(D430,8)="Manguete",A430,0))</f>
        <v>18</v>
      </c>
      <c r="B432" s="20">
        <v>0</v>
      </c>
      <c r="C432" s="20">
        <v>0</v>
      </c>
      <c r="D432" s="21" t="s">
        <v>400</v>
      </c>
      <c r="E432" s="21" t="s">
        <v>91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23" t="s">
        <v>27</v>
      </c>
      <c r="L432" s="48" t="s">
        <v>360</v>
      </c>
      <c r="M432" s="17">
        <f t="shared" si="224"/>
        <v>0</v>
      </c>
      <c r="N432" s="18">
        <f t="shared" si="225"/>
        <v>0</v>
      </c>
      <c r="O432" s="19">
        <f>IF(E432="HERRAJE",IFERROR(_xlfn.XLOOKUP(D432,'⚙️ Configuración Costos'!$A$11:$A$20,'⚙️ Configuración Costos'!$B$11:$B$20),""),IFERROR(_xlfn.XLOOKUP(E432,'⚙️ Configuración Costos'!$A$5:$A$6,'⚙️ Configuración Costos'!$B$5:$B$6),""))</f>
        <v>3</v>
      </c>
      <c r="P432" s="19">
        <f t="shared" si="226"/>
        <v>54</v>
      </c>
      <c r="Q432" s="19">
        <f>IF(E432="HERRAJE",0,IFERROR(_xlfn.XLOOKUP(E432,'⚙️ Configuración Costos'!$E$5:$E$6,'⚙️ Configuración Costos'!$F$5:$F$6),""))</f>
        <v>0</v>
      </c>
      <c r="R432" s="19">
        <f t="shared" si="227"/>
        <v>0</v>
      </c>
      <c r="S432" s="37">
        <f t="shared" si="228"/>
        <v>54</v>
      </c>
      <c r="T432" s="94" t="str">
        <f t="shared" si="229"/>
        <v>OK</v>
      </c>
      <c r="U432" s="95" t="str">
        <f t="shared" si="230"/>
        <v/>
      </c>
      <c r="V432" s="96">
        <f t="shared" si="231"/>
        <v>0</v>
      </c>
    </row>
    <row r="433" spans="1:22" ht="16" thickBot="1" x14ac:dyDescent="0.25">
      <c r="A433" s="36">
        <f>6*(IF(LEFT(D424,4)="Base",A424,0)+IF(LEFT(D424,4)="Piso",A424,0)+IF(LEFT(D424,5)="Techo",A424,0)+IF(LEFT(D425,4)="Base",A425,0)+IF(LEFT(D425,4)="Piso",A425,0)+IF(LEFT(D425,5)="Techo",A425,0)+IF(LEFT(D426,4)="Base",A426,0)+IF(LEFT(D426,4)="Piso",A426,0)+IF(LEFT(D426,5)="Techo",A426,0)+IF(LEFT(D427,4)="Base",A427,0)+IF(LEFT(D427,4)="Piso",A427,0)+IF(LEFT(D427,5)="Techo",A427,0)+IF(LEFT(D428,4)="Base",A428,0)+IF(LEFT(D428,4)="Piso",A428,0)+IF(LEFT(D428,5)="Techo",A428,0)+IF(LEFT(D429,4)="Base",A429,0)+IF(LEFT(D429,4)="Piso",A429,0)+IF(LEFT(D429,5)="Techo",A429,0)+IF(LEFT(D430,4)="Base",A430,0)+IF(LEFT(D430,4)="Piso",A430,0)+IF(LEFT(D430,5)="Techo",A430,0))+10*(IF(LEFT(D424,8)="Respaldo",A424,0)+IF(LEFT(D425,8)="Respaldo",A425,0)+IF(LEFT(D426,8)="Respaldo",A426,0)+IF(LEFT(D427,8)="Respaldo",A427,0)+IF(LEFT(D428,8)="Respaldo",A428,0)+IF(LEFT(D429,8)="Respaldo",A429,0)+IF(LEFT(D430,8)="Respaldo",A430,0))+4*(IF(LEFT(D424,8)="Manguete",A424,0)+IF(LEFT(D425,8)="Manguete",A425,0)+IF(LEFT(D426,8)="Manguete",A426,0)+IF(LEFT(D427,8)="Manguete",A427,0)+IF(LEFT(D428,8)="Manguete",A428,0)+IF(LEFT(D429,8)="Manguete",A429,0)+IF(LEFT(D430,8)="Manguete",A430,0))</f>
        <v>24</v>
      </c>
      <c r="B433" s="20">
        <v>0</v>
      </c>
      <c r="C433" s="20">
        <v>0</v>
      </c>
      <c r="D433" s="21" t="s">
        <v>468</v>
      </c>
      <c r="E433" s="21" t="s">
        <v>91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3" t="s">
        <v>27</v>
      </c>
      <c r="L433" s="48" t="s">
        <v>361</v>
      </c>
      <c r="M433" s="17">
        <f t="shared" si="224"/>
        <v>0</v>
      </c>
      <c r="N433" s="18">
        <f t="shared" si="225"/>
        <v>0</v>
      </c>
      <c r="O433" s="19">
        <f>IF(E433="HERRAJE",IFERROR(_xlfn.XLOOKUP(D433,'⚙️ Configuración Costos'!$A$11:$A$20,'⚙️ Configuración Costos'!$B$11:$B$20),""),IFERROR(_xlfn.XLOOKUP(E433,'⚙️ Configuración Costos'!$A$5:$A$6,'⚙️ Configuración Costos'!$B$5:$B$6),""))</f>
        <v>1</v>
      </c>
      <c r="P433" s="19">
        <f t="shared" si="226"/>
        <v>24</v>
      </c>
      <c r="Q433" s="19">
        <f>IF(E433="HERRAJE",0,IFERROR(_xlfn.XLOOKUP(E433,'⚙️ Configuración Costos'!$E$5:$E$6,'⚙️ Configuración Costos'!$F$5:$F$6),""))</f>
        <v>0</v>
      </c>
      <c r="R433" s="19">
        <f t="shared" si="227"/>
        <v>0</v>
      </c>
      <c r="S433" s="37">
        <f t="shared" si="228"/>
        <v>24</v>
      </c>
      <c r="T433" s="94" t="str">
        <f t="shared" si="229"/>
        <v>OK</v>
      </c>
      <c r="U433" s="95" t="str">
        <f t="shared" si="230"/>
        <v/>
      </c>
      <c r="V433" s="96">
        <f t="shared" si="231"/>
        <v>0</v>
      </c>
    </row>
    <row r="434" spans="1:22" ht="16" thickTop="1" x14ac:dyDescent="0.2">
      <c r="A434" s="27" t="s">
        <v>99</v>
      </c>
      <c r="B434" s="27"/>
      <c r="C434" s="27"/>
      <c r="D434" s="28"/>
      <c r="E434" s="28"/>
      <c r="F434" s="29"/>
      <c r="G434" s="29"/>
      <c r="H434" s="29"/>
      <c r="I434" s="29"/>
      <c r="J434" s="29"/>
      <c r="K434" s="30"/>
      <c r="L434" s="49"/>
      <c r="M434" s="33">
        <f>SUM(M424:M433)</f>
        <v>1.1730310000000002</v>
      </c>
      <c r="N434" s="33">
        <f>SUM(N424:N433)</f>
        <v>7.5260000000000007</v>
      </c>
      <c r="O434" s="33"/>
      <c r="P434" s="33">
        <f>SUM(P424:P433)</f>
        <v>528.44625285245911</v>
      </c>
      <c r="Q434" s="33"/>
      <c r="R434" s="33">
        <f>SUM(R424:R433)</f>
        <v>71.497</v>
      </c>
      <c r="S434" s="33">
        <f>SUM(S424:S433)</f>
        <v>599.94325285245895</v>
      </c>
      <c r="T434" s="97"/>
      <c r="U434" s="98"/>
      <c r="V434" s="99"/>
    </row>
    <row r="435" spans="1:22" x14ac:dyDescent="0.2">
      <c r="A435" s="186" t="s">
        <v>284</v>
      </c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8"/>
      <c r="T435" s="97"/>
      <c r="U435" s="98"/>
      <c r="V435" s="99"/>
    </row>
    <row r="436" spans="1:22" x14ac:dyDescent="0.2">
      <c r="A436" s="35">
        <v>1</v>
      </c>
      <c r="B436" s="44">
        <v>720</v>
      </c>
      <c r="C436" s="44">
        <v>580</v>
      </c>
      <c r="D436" s="43" t="s">
        <v>63</v>
      </c>
      <c r="E436" s="43" t="s">
        <v>85</v>
      </c>
      <c r="F436" s="44">
        <v>1</v>
      </c>
      <c r="G436" s="44">
        <v>1</v>
      </c>
      <c r="H436" s="44">
        <v>1</v>
      </c>
      <c r="I436" s="44">
        <v>1</v>
      </c>
      <c r="J436" s="44">
        <v>1</v>
      </c>
      <c r="K436" s="23" t="s">
        <v>28</v>
      </c>
      <c r="L436" t="s">
        <v>373</v>
      </c>
      <c r="M436" s="17">
        <f t="shared" ref="M436:M445" si="232">IF(AND(ISNUMBER(B436),ISNUMBER(C436),B436&gt;0,C436&gt;0),A436*(B436*C436/1000000),0)</f>
        <v>0.41760000000000003</v>
      </c>
      <c r="N436" s="18">
        <f t="shared" ref="N436:N445" si="233">IF(AND(ISNUMBER(B436),B436&gt;0),A436*(((G436+H436)*B436+(I436+J436)*C436)/1000),0)</f>
        <v>2.6</v>
      </c>
      <c r="O436" s="19">
        <f>IF(E436="HERRAJE",IFERROR(_xlfn.XLOOKUP(D436,'⚙️ Configuración Costos'!$A$11:$A$20,'⚙️ Configuración Costos'!$B$11:$B$20),""),IFERROR(_xlfn.XLOOKUP(E436,'⚙️ Configuración Costos'!$A$5:$A$6,'⚙️ Configuración Costos'!$B$5:$B$6),""))</f>
        <v>332.85245901639348</v>
      </c>
      <c r="P436" s="19">
        <f t="shared" ref="P436:P445" si="234">IF(E436="HERRAJE",A436*O436,M436*O436)</f>
        <v>138.99918688524593</v>
      </c>
      <c r="Q436" s="19">
        <f>IF(E436="HERRAJE",0,IFERROR(_xlfn.XLOOKUP(E436,'⚙️ Configuración Costos'!$E$5:$E$6,'⚙️ Configuración Costos'!$F$5:$F$6),""))</f>
        <v>9.5</v>
      </c>
      <c r="R436" s="19">
        <f t="shared" ref="R436:R445" si="235">N436*Q436</f>
        <v>24.7</v>
      </c>
      <c r="S436" s="37">
        <f t="shared" ref="S436:S445" si="236">P436+R436</f>
        <v>163.69918688524592</v>
      </c>
      <c r="T436" s="94" t="str">
        <f t="shared" ref="T436:T445" si="237">IF(K436="","SIN ID MÓDULO",IF(E436="HERRAJE",IF(OR(O436="",O436&lt;=0),"SIN PRECIO HERRAJE","OK"),IF(OR(O436="",O436&lt;=0),"SIN PRECIO MATERIAL",IF(AND(N436&gt;0,OR(Q436="",Q436&lt;=0)),"SIN PRECIO CINTILLA","OK"))))</f>
        <v>OK</v>
      </c>
      <c r="U436" s="95" t="str">
        <f t="shared" ref="U436:U445" si="238">IF(T436="OK","",IF(T436="SIN PRECIO HERRAJE","Capturar precio: "&amp;D436,IF(T436="SIN PRECIO MATERIAL","Configurar material: "&amp;E436,IF(T436="SIN PRECIO CINTILLA","Configurar cintilla: "&amp;E436,IF(T436="SIN ID MÓDULO","Revisar ID del módulo","")))))</f>
        <v/>
      </c>
      <c r="V436" s="96">
        <f t="shared" ref="V436:V445" si="239">IF(T436="OK",0,IF(T436="",0,1))</f>
        <v>0</v>
      </c>
    </row>
    <row r="437" spans="1:22" x14ac:dyDescent="0.2">
      <c r="A437" s="35">
        <v>1</v>
      </c>
      <c r="B437" s="44">
        <v>720</v>
      </c>
      <c r="C437" s="44">
        <v>580</v>
      </c>
      <c r="D437" s="43" t="s">
        <v>66</v>
      </c>
      <c r="E437" s="43" t="s">
        <v>85</v>
      </c>
      <c r="F437" s="44">
        <v>1</v>
      </c>
      <c r="G437" s="44">
        <v>1</v>
      </c>
      <c r="H437" s="44">
        <v>1</v>
      </c>
      <c r="I437" s="44">
        <v>1</v>
      </c>
      <c r="J437" s="44">
        <v>1</v>
      </c>
      <c r="K437" s="23" t="s">
        <v>28</v>
      </c>
      <c r="L437" t="s">
        <v>374</v>
      </c>
      <c r="M437" s="17">
        <f t="shared" si="232"/>
        <v>0.41760000000000003</v>
      </c>
      <c r="N437" s="18">
        <f t="shared" si="233"/>
        <v>2.6</v>
      </c>
      <c r="O437" s="19">
        <f>IF(E437="HERRAJE",IFERROR(_xlfn.XLOOKUP(D437,'⚙️ Configuración Costos'!$A$11:$A$20,'⚙️ Configuración Costos'!$B$11:$B$20),""),IFERROR(_xlfn.XLOOKUP(E437,'⚙️ Configuración Costos'!$A$5:$A$6,'⚙️ Configuración Costos'!$B$5:$B$6),""))</f>
        <v>332.85245901639348</v>
      </c>
      <c r="P437" s="19">
        <f t="shared" si="234"/>
        <v>138.99918688524593</v>
      </c>
      <c r="Q437" s="19">
        <f>IF(E437="HERRAJE",0,IFERROR(_xlfn.XLOOKUP(E437,'⚙️ Configuración Costos'!$E$5:$E$6,'⚙️ Configuración Costos'!$F$5:$F$6),""))</f>
        <v>9.5</v>
      </c>
      <c r="R437" s="19">
        <f t="shared" si="235"/>
        <v>24.7</v>
      </c>
      <c r="S437" s="37">
        <f t="shared" si="236"/>
        <v>163.69918688524592</v>
      </c>
      <c r="T437" s="94" t="str">
        <f t="shared" si="237"/>
        <v>OK</v>
      </c>
      <c r="U437" s="95" t="str">
        <f t="shared" si="238"/>
        <v/>
      </c>
      <c r="V437" s="96">
        <f t="shared" si="239"/>
        <v>0</v>
      </c>
    </row>
    <row r="438" spans="1:22" x14ac:dyDescent="0.2">
      <c r="A438" s="35">
        <v>1</v>
      </c>
      <c r="B438" s="44">
        <v>689</v>
      </c>
      <c r="C438" s="44">
        <v>169</v>
      </c>
      <c r="D438" s="43" t="s">
        <v>169</v>
      </c>
      <c r="E438" s="43" t="s">
        <v>85</v>
      </c>
      <c r="F438" s="44">
        <v>1</v>
      </c>
      <c r="G438" s="44">
        <v>0</v>
      </c>
      <c r="H438" s="44">
        <v>0</v>
      </c>
      <c r="I438" s="44">
        <v>0</v>
      </c>
      <c r="J438" s="44">
        <v>0</v>
      </c>
      <c r="K438" s="23" t="s">
        <v>28</v>
      </c>
      <c r="L438" t="s">
        <v>279</v>
      </c>
      <c r="M438" s="17">
        <f t="shared" si="232"/>
        <v>0.116441</v>
      </c>
      <c r="N438" s="18">
        <f t="shared" si="233"/>
        <v>0</v>
      </c>
      <c r="O438" s="19">
        <f>IF(E438="HERRAJE",IFERROR(_xlfn.XLOOKUP(D438,'⚙️ Configuración Costos'!$A$11:$A$20,'⚙️ Configuración Costos'!$B$11:$B$20),""),IFERROR(_xlfn.XLOOKUP(E438,'⚙️ Configuración Costos'!$A$5:$A$6,'⚙️ Configuración Costos'!$B$5:$B$6),""))</f>
        <v>332.85245901639348</v>
      </c>
      <c r="P438" s="19">
        <f t="shared" si="234"/>
        <v>38.757673180327878</v>
      </c>
      <c r="Q438" s="19">
        <f>IF(E438="HERRAJE",0,IFERROR(_xlfn.XLOOKUP(E438,'⚙️ Configuración Costos'!$E$5:$E$6,'⚙️ Configuración Costos'!$F$5:$F$6),""))</f>
        <v>9.5</v>
      </c>
      <c r="R438" s="19">
        <f t="shared" si="235"/>
        <v>0</v>
      </c>
      <c r="S438" s="37">
        <f t="shared" si="236"/>
        <v>38.757673180327878</v>
      </c>
      <c r="T438" s="94" t="str">
        <f t="shared" si="237"/>
        <v>OK</v>
      </c>
      <c r="U438" s="95" t="str">
        <f t="shared" si="238"/>
        <v/>
      </c>
      <c r="V438" s="96">
        <f t="shared" si="239"/>
        <v>0</v>
      </c>
    </row>
    <row r="439" spans="1:22" x14ac:dyDescent="0.2">
      <c r="A439" s="35">
        <v>1</v>
      </c>
      <c r="B439" s="44">
        <v>169</v>
      </c>
      <c r="C439" s="44">
        <v>580</v>
      </c>
      <c r="D439" s="43" t="s">
        <v>171</v>
      </c>
      <c r="E439" s="43" t="s">
        <v>85</v>
      </c>
      <c r="F439" s="44">
        <v>1</v>
      </c>
      <c r="G439" s="44">
        <v>0</v>
      </c>
      <c r="H439" s="44">
        <v>0</v>
      </c>
      <c r="I439" s="44">
        <v>1</v>
      </c>
      <c r="J439" s="44">
        <v>1</v>
      </c>
      <c r="K439" s="23" t="s">
        <v>28</v>
      </c>
      <c r="L439" t="s">
        <v>375</v>
      </c>
      <c r="M439" s="17">
        <f t="shared" si="232"/>
        <v>9.8019999999999996E-2</v>
      </c>
      <c r="N439" s="18">
        <f t="shared" si="233"/>
        <v>1.1599999999999999</v>
      </c>
      <c r="O439" s="19">
        <f>IF(E439="HERRAJE",IFERROR(_xlfn.XLOOKUP(D439,'⚙️ Configuración Costos'!$A$11:$A$20,'⚙️ Configuración Costos'!$B$11:$B$20),""),IFERROR(_xlfn.XLOOKUP(E439,'⚙️ Configuración Costos'!$A$5:$A$6,'⚙️ Configuración Costos'!$B$5:$B$6),""))</f>
        <v>332.85245901639348</v>
      </c>
      <c r="P439" s="19">
        <f t="shared" si="234"/>
        <v>32.626198032786888</v>
      </c>
      <c r="Q439" s="19">
        <f>IF(E439="HERRAJE",0,IFERROR(_xlfn.XLOOKUP(E439,'⚙️ Configuración Costos'!$E$5:$E$6,'⚙️ Configuración Costos'!$F$5:$F$6),""))</f>
        <v>9.5</v>
      </c>
      <c r="R439" s="19">
        <f t="shared" si="235"/>
        <v>11.02</v>
      </c>
      <c r="S439" s="37">
        <f t="shared" si="236"/>
        <v>43.646198032786884</v>
      </c>
      <c r="T439" s="94" t="str">
        <f t="shared" si="237"/>
        <v>OK</v>
      </c>
      <c r="U439" s="95" t="str">
        <f t="shared" si="238"/>
        <v/>
      </c>
      <c r="V439" s="96">
        <f t="shared" si="239"/>
        <v>0</v>
      </c>
    </row>
    <row r="440" spans="1:22" x14ac:dyDescent="0.2">
      <c r="A440" s="35">
        <v>1</v>
      </c>
      <c r="B440" s="44">
        <v>169</v>
      </c>
      <c r="C440" s="44">
        <v>120</v>
      </c>
      <c r="D440" s="43" t="s">
        <v>173</v>
      </c>
      <c r="E440" s="43" t="s">
        <v>85</v>
      </c>
      <c r="F440" s="44">
        <v>1</v>
      </c>
      <c r="G440" s="44">
        <v>1</v>
      </c>
      <c r="H440" s="44">
        <v>1</v>
      </c>
      <c r="I440" s="44">
        <v>0</v>
      </c>
      <c r="J440" s="44">
        <v>0</v>
      </c>
      <c r="K440" s="23" t="s">
        <v>28</v>
      </c>
      <c r="L440" t="s">
        <v>281</v>
      </c>
      <c r="M440" s="17">
        <f t="shared" si="232"/>
        <v>2.0279999999999999E-2</v>
      </c>
      <c r="N440" s="18">
        <f t="shared" si="233"/>
        <v>0.33800000000000002</v>
      </c>
      <c r="O440" s="19">
        <f>IF(E440="HERRAJE",IFERROR(_xlfn.XLOOKUP(D440,'⚙️ Configuración Costos'!$A$11:$A$20,'⚙️ Configuración Costos'!$B$11:$B$20),""),IFERROR(_xlfn.XLOOKUP(E440,'⚙️ Configuración Costos'!$A$5:$A$6,'⚙️ Configuración Costos'!$B$5:$B$6),""))</f>
        <v>332.85245901639348</v>
      </c>
      <c r="P440" s="19">
        <f t="shared" si="234"/>
        <v>6.7502478688524592</v>
      </c>
      <c r="Q440" s="19">
        <f>IF(E440="HERRAJE",0,IFERROR(_xlfn.XLOOKUP(E440,'⚙️ Configuración Costos'!$E$5:$E$6,'⚙️ Configuración Costos'!$F$5:$F$6),""))</f>
        <v>9.5</v>
      </c>
      <c r="R440" s="19">
        <f t="shared" si="235"/>
        <v>3.2110000000000003</v>
      </c>
      <c r="S440" s="37">
        <f t="shared" si="236"/>
        <v>9.9612478688524604</v>
      </c>
      <c r="T440" s="94" t="str">
        <f t="shared" si="237"/>
        <v>OK</v>
      </c>
      <c r="U440" s="95" t="str">
        <f t="shared" si="238"/>
        <v/>
      </c>
      <c r="V440" s="96">
        <f t="shared" si="239"/>
        <v>0</v>
      </c>
    </row>
    <row r="441" spans="1:22" x14ac:dyDescent="0.2">
      <c r="A441" s="35">
        <v>1</v>
      </c>
      <c r="B441" s="44">
        <v>169</v>
      </c>
      <c r="C441" s="44">
        <v>120</v>
      </c>
      <c r="D441" s="43" t="s">
        <v>175</v>
      </c>
      <c r="E441" s="43" t="s">
        <v>85</v>
      </c>
      <c r="F441" s="44">
        <v>1</v>
      </c>
      <c r="G441" s="44">
        <v>1</v>
      </c>
      <c r="H441" s="44">
        <v>1</v>
      </c>
      <c r="I441" s="44">
        <v>0</v>
      </c>
      <c r="J441" s="44">
        <v>0</v>
      </c>
      <c r="K441" s="23" t="s">
        <v>28</v>
      </c>
      <c r="L441" t="s">
        <v>282</v>
      </c>
      <c r="M441" s="17">
        <f t="shared" si="232"/>
        <v>2.0279999999999999E-2</v>
      </c>
      <c r="N441" s="18">
        <f t="shared" si="233"/>
        <v>0.33800000000000002</v>
      </c>
      <c r="O441" s="19">
        <f>IF(E441="HERRAJE",IFERROR(_xlfn.XLOOKUP(D441,'⚙️ Configuración Costos'!$A$11:$A$20,'⚙️ Configuración Costos'!$B$11:$B$20),""),IFERROR(_xlfn.XLOOKUP(E441,'⚙️ Configuración Costos'!$A$5:$A$6,'⚙️ Configuración Costos'!$B$5:$B$6),""))</f>
        <v>332.85245901639348</v>
      </c>
      <c r="P441" s="19">
        <f t="shared" si="234"/>
        <v>6.7502478688524592</v>
      </c>
      <c r="Q441" s="19">
        <f>IF(E441="HERRAJE",0,IFERROR(_xlfn.XLOOKUP(E441,'⚙️ Configuración Costos'!$E$5:$E$6,'⚙️ Configuración Costos'!$F$5:$F$6),""))</f>
        <v>9.5</v>
      </c>
      <c r="R441" s="19">
        <f t="shared" si="235"/>
        <v>3.2110000000000003</v>
      </c>
      <c r="S441" s="37">
        <f t="shared" si="236"/>
        <v>9.9612478688524604</v>
      </c>
      <c r="T441" s="94" t="str">
        <f t="shared" si="237"/>
        <v>OK</v>
      </c>
      <c r="U441" s="95" t="str">
        <f t="shared" si="238"/>
        <v/>
      </c>
      <c r="V441" s="96">
        <f t="shared" si="239"/>
        <v>0</v>
      </c>
    </row>
    <row r="442" spans="1:22" x14ac:dyDescent="0.2">
      <c r="A442" s="35">
        <v>1</v>
      </c>
      <c r="B442" s="44">
        <v>0</v>
      </c>
      <c r="C442" s="44">
        <v>0</v>
      </c>
      <c r="D442" s="43" t="s">
        <v>285</v>
      </c>
      <c r="E442" s="7" t="s">
        <v>91</v>
      </c>
      <c r="F442" s="44">
        <v>0</v>
      </c>
      <c r="G442" s="44">
        <v>0</v>
      </c>
      <c r="H442" s="44">
        <v>0</v>
      </c>
      <c r="I442" s="44">
        <v>0</v>
      </c>
      <c r="J442" s="44">
        <v>0</v>
      </c>
      <c r="K442" s="23" t="s">
        <v>28</v>
      </c>
      <c r="L442" t="s">
        <v>286</v>
      </c>
      <c r="M442" s="17">
        <f t="shared" si="232"/>
        <v>0</v>
      </c>
      <c r="N442" s="18">
        <f t="shared" si="233"/>
        <v>0</v>
      </c>
      <c r="O442" s="19">
        <f>IF(E442="HERRAJE",IFERROR(_xlfn.XLOOKUP(D442,'⚙️ Configuración Costos'!$A$11:$A$20,'⚙️ Configuración Costos'!$B$11:$B$20),""),IFERROR(_xlfn.XLOOKUP(E442,'⚙️ Configuración Costos'!$A$5:$A$6,'⚙️ Configuración Costos'!$B$5:$B$6),""))</f>
        <v>120</v>
      </c>
      <c r="P442" s="19">
        <f t="shared" si="234"/>
        <v>120</v>
      </c>
      <c r="Q442" s="19">
        <f>IF(E442="HERRAJE",0,IFERROR(_xlfn.XLOOKUP(E442,'⚙️ Configuración Costos'!$E$5:$E$6,'⚙️ Configuración Costos'!$F$5:$F$6),""))</f>
        <v>0</v>
      </c>
      <c r="R442" s="19">
        <f t="shared" si="235"/>
        <v>0</v>
      </c>
      <c r="S442" s="37">
        <f t="shared" si="236"/>
        <v>120</v>
      </c>
      <c r="T442" s="94" t="str">
        <f t="shared" si="237"/>
        <v>OK</v>
      </c>
      <c r="U442" s="95" t="str">
        <f t="shared" si="238"/>
        <v/>
      </c>
      <c r="V442" s="96">
        <f t="shared" si="239"/>
        <v>0</v>
      </c>
    </row>
    <row r="443" spans="1:22" x14ac:dyDescent="0.2">
      <c r="A443" s="35">
        <v>4</v>
      </c>
      <c r="B443" s="6">
        <v>0</v>
      </c>
      <c r="C443" s="6">
        <v>0</v>
      </c>
      <c r="D443" s="7" t="s">
        <v>186</v>
      </c>
      <c r="E443" s="7" t="s">
        <v>91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23" t="s">
        <v>28</v>
      </c>
      <c r="L443" s="47" t="s">
        <v>187</v>
      </c>
      <c r="M443" s="17">
        <f t="shared" si="232"/>
        <v>0</v>
      </c>
      <c r="N443" s="18">
        <f t="shared" si="233"/>
        <v>0</v>
      </c>
      <c r="O443" s="19">
        <f>IF(E443="HERRAJE",IFERROR(_xlfn.XLOOKUP(D443,'⚙️ Configuración Costos'!$A$11:$A$20,'⚙️ Configuración Costos'!$B$11:$B$20),""),IFERROR(_xlfn.XLOOKUP(E443,'⚙️ Configuración Costos'!$A$5:$A$6,'⚙️ Configuración Costos'!$B$5:$B$6),""))</f>
        <v>15</v>
      </c>
      <c r="P443" s="19">
        <f t="shared" si="234"/>
        <v>60</v>
      </c>
      <c r="Q443" s="19">
        <f>IF(E443="HERRAJE",0,IFERROR(_xlfn.XLOOKUP(E443,'⚙️ Configuración Costos'!$E$5:$E$6,'⚙️ Configuración Costos'!$F$5:$F$6),""))</f>
        <v>0</v>
      </c>
      <c r="R443" s="19">
        <f t="shared" si="235"/>
        <v>0</v>
      </c>
      <c r="S443" s="37">
        <f t="shared" si="236"/>
        <v>60</v>
      </c>
      <c r="T443" s="94" t="str">
        <f t="shared" si="237"/>
        <v>OK</v>
      </c>
      <c r="U443" s="95" t="str">
        <f t="shared" si="238"/>
        <v/>
      </c>
      <c r="V443" s="96">
        <f t="shared" si="239"/>
        <v>0</v>
      </c>
    </row>
    <row r="444" spans="1:22" x14ac:dyDescent="0.2">
      <c r="A444" s="36">
        <f>4*(IF(LEFT(D436,4)="Base",A436,0)+IF(LEFT(D436,4)="Piso",A436,0)+IF(LEFT(D436,5)="Techo",A436,0)+IF(LEFT(D437,4)="Base",A437,0)+IF(LEFT(D437,4)="Piso",A437,0)+IF(LEFT(D437,5)="Techo",A437,0)+IF(LEFT(D438,4)="Base",A438,0)+IF(LEFT(D438,4)="Piso",A438,0)+IF(LEFT(D438,5)="Techo",A438,0)+IF(LEFT(D439,4)="Base",A439,0)+IF(LEFT(D439,4)="Piso",A439,0)+IF(LEFT(D439,5)="Techo",A439,0)+IF(LEFT(D440,4)="Base",A440,0)+IF(LEFT(D440,4)="Piso",A440,0)+IF(LEFT(D440,5)="Techo",A440,0)+IF(LEFT(D441,4)="Base",A441,0)+IF(LEFT(D441,4)="Piso",A441,0)+IF(LEFT(D441,5)="Techo",A441,0))+10*(IF(LEFT(D436,8)="Respaldo",A436,0)+IF(LEFT(D437,8)="Respaldo",A437,0)+IF(LEFT(D438,8)="Respaldo",A438,0)+IF(LEFT(D439,8)="Respaldo",A439,0)+IF(LEFT(D440,8)="Respaldo",A440,0)+IF(LEFT(D441,8)="Respaldo",A441,0))+2*(IF(LEFT(D436,8)="Manguete",A436,0)+IF(LEFT(D437,8)="Manguete",A437,0)+IF(LEFT(D438,8)="Manguete",A438,0)+IF(LEFT(D439,8)="Manguete",A439,0)+IF(LEFT(D440,8)="Manguete",A440,0)+IF(LEFT(D441,8)="Manguete",A441,0))</f>
        <v>18</v>
      </c>
      <c r="B444" s="20">
        <v>0</v>
      </c>
      <c r="C444" s="20">
        <v>0</v>
      </c>
      <c r="D444" s="21" t="s">
        <v>400</v>
      </c>
      <c r="E444" s="21" t="s">
        <v>91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23" t="s">
        <v>28</v>
      </c>
      <c r="L444" s="48" t="s">
        <v>360</v>
      </c>
      <c r="M444" s="17">
        <f t="shared" si="232"/>
        <v>0</v>
      </c>
      <c r="N444" s="18">
        <f t="shared" si="233"/>
        <v>0</v>
      </c>
      <c r="O444" s="19">
        <f>IF(E444="HERRAJE",IFERROR(_xlfn.XLOOKUP(D444,'⚙️ Configuración Costos'!$A$11:$A$20,'⚙️ Configuración Costos'!$B$11:$B$20),""),IFERROR(_xlfn.XLOOKUP(E444,'⚙️ Configuración Costos'!$A$5:$A$6,'⚙️ Configuración Costos'!$B$5:$B$6),""))</f>
        <v>3</v>
      </c>
      <c r="P444" s="19">
        <f t="shared" si="234"/>
        <v>54</v>
      </c>
      <c r="Q444" s="19">
        <f>IF(E444="HERRAJE",0,IFERROR(_xlfn.XLOOKUP(E444,'⚙️ Configuración Costos'!$E$5:$E$6,'⚙️ Configuración Costos'!$F$5:$F$6),""))</f>
        <v>0</v>
      </c>
      <c r="R444" s="19">
        <f t="shared" si="235"/>
        <v>0</v>
      </c>
      <c r="S444" s="37">
        <f t="shared" si="236"/>
        <v>54</v>
      </c>
      <c r="T444" s="94" t="str">
        <f t="shared" si="237"/>
        <v>OK</v>
      </c>
      <c r="U444" s="95" t="str">
        <f t="shared" si="238"/>
        <v/>
      </c>
      <c r="V444" s="96">
        <f t="shared" si="239"/>
        <v>0</v>
      </c>
    </row>
    <row r="445" spans="1:22" ht="16" thickBot="1" x14ac:dyDescent="0.25">
      <c r="A445" s="36">
        <f>6*(IF(LEFT(D436,4)="Base",A436,0)+IF(LEFT(D436,4)="Piso",A436,0)+IF(LEFT(D436,5)="Techo",A436,0)+IF(LEFT(D437,4)="Base",A437,0)+IF(LEFT(D437,4)="Piso",A437,0)+IF(LEFT(D437,5)="Techo",A437,0)+IF(LEFT(D438,4)="Base",A438,0)+IF(LEFT(D438,4)="Piso",A438,0)+IF(LEFT(D438,5)="Techo",A438,0)+IF(LEFT(D439,4)="Base",A439,0)+IF(LEFT(D439,4)="Piso",A439,0)+IF(LEFT(D439,5)="Techo",A439,0)+IF(LEFT(D440,4)="Base",A440,0)+IF(LEFT(D440,4)="Piso",A440,0)+IF(LEFT(D440,5)="Techo",A440,0)+IF(LEFT(D441,4)="Base",A441,0)+IF(LEFT(D441,4)="Piso",A441,0)+IF(LEFT(D441,5)="Techo",A441,0))+10*(IF(LEFT(D436,8)="Respaldo",A436,0)+IF(LEFT(D437,8)="Respaldo",A437,0)+IF(LEFT(D438,8)="Respaldo",A438,0)+IF(LEFT(D439,8)="Respaldo",A439,0)+IF(LEFT(D440,8)="Respaldo",A440,0)+IF(LEFT(D441,8)="Respaldo",A441,0))+4*(IF(LEFT(D436,8)="Manguete",A436,0)+IF(LEFT(D437,8)="Manguete",A437,0)+IF(LEFT(D438,8)="Manguete",A438,0)+IF(LEFT(D439,8)="Manguete",A439,0)+IF(LEFT(D440,8)="Manguete",A440,0)+IF(LEFT(D441,8)="Manguete",A441,0))</f>
        <v>24</v>
      </c>
      <c r="B445" s="20">
        <v>0</v>
      </c>
      <c r="C445" s="20">
        <v>0</v>
      </c>
      <c r="D445" s="21" t="s">
        <v>468</v>
      </c>
      <c r="E445" s="21" t="s">
        <v>91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3" t="s">
        <v>28</v>
      </c>
      <c r="L445" s="48" t="s">
        <v>361</v>
      </c>
      <c r="M445" s="17">
        <f t="shared" si="232"/>
        <v>0</v>
      </c>
      <c r="N445" s="18">
        <f t="shared" si="233"/>
        <v>0</v>
      </c>
      <c r="O445" s="19">
        <f>IF(E445="HERRAJE",IFERROR(_xlfn.XLOOKUP(D445,'⚙️ Configuración Costos'!$A$11:$A$20,'⚙️ Configuración Costos'!$B$11:$B$20),""),IFERROR(_xlfn.XLOOKUP(E445,'⚙️ Configuración Costos'!$A$5:$A$6,'⚙️ Configuración Costos'!$B$5:$B$6),""))</f>
        <v>1</v>
      </c>
      <c r="P445" s="19">
        <f t="shared" si="234"/>
        <v>24</v>
      </c>
      <c r="Q445" s="19">
        <f>IF(E445="HERRAJE",0,IFERROR(_xlfn.XLOOKUP(E445,'⚙️ Configuración Costos'!$E$5:$E$6,'⚙️ Configuración Costos'!$F$5:$F$6),""))</f>
        <v>0</v>
      </c>
      <c r="R445" s="19">
        <f t="shared" si="235"/>
        <v>0</v>
      </c>
      <c r="S445" s="37">
        <f t="shared" si="236"/>
        <v>24</v>
      </c>
      <c r="T445" s="94" t="str">
        <f t="shared" si="237"/>
        <v>OK</v>
      </c>
      <c r="U445" s="95" t="str">
        <f t="shared" si="238"/>
        <v/>
      </c>
      <c r="V445" s="96">
        <f t="shared" si="239"/>
        <v>0</v>
      </c>
    </row>
    <row r="446" spans="1:22" ht="16" thickTop="1" x14ac:dyDescent="0.2">
      <c r="A446" s="27" t="s">
        <v>99</v>
      </c>
      <c r="B446" s="27"/>
      <c r="C446" s="27"/>
      <c r="D446" s="28"/>
      <c r="E446" s="28"/>
      <c r="F446" s="29"/>
      <c r="G446" s="29"/>
      <c r="H446" s="29"/>
      <c r="I446" s="29"/>
      <c r="J446" s="29"/>
      <c r="K446" s="30"/>
      <c r="L446" s="49"/>
      <c r="M446" s="33">
        <f>SUM(M436:M445)</f>
        <v>1.0902210000000001</v>
      </c>
      <c r="N446" s="33">
        <f>SUM(N436:N445)</f>
        <v>7.0360000000000005</v>
      </c>
      <c r="O446" s="33"/>
      <c r="P446" s="33">
        <f>SUM(P436:P445)</f>
        <v>620.88274072131151</v>
      </c>
      <c r="Q446" s="33"/>
      <c r="R446" s="33">
        <f>SUM(R436:R445)</f>
        <v>66.841999999999999</v>
      </c>
      <c r="S446" s="33">
        <f>SUM(S436:S445)</f>
        <v>687.72474072131149</v>
      </c>
      <c r="T446" s="97"/>
      <c r="U446" s="98"/>
      <c r="V446" s="99"/>
    </row>
    <row r="447" spans="1:22" x14ac:dyDescent="0.2">
      <c r="A447" s="186" t="s">
        <v>287</v>
      </c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8"/>
      <c r="T447" s="97"/>
      <c r="U447" s="98"/>
      <c r="V447" s="99"/>
    </row>
    <row r="448" spans="1:22" x14ac:dyDescent="0.2">
      <c r="A448" s="34">
        <v>1</v>
      </c>
      <c r="B448" s="13">
        <v>720</v>
      </c>
      <c r="C448" s="13">
        <v>580</v>
      </c>
      <c r="D448" s="14" t="s">
        <v>63</v>
      </c>
      <c r="E448" s="14" t="s">
        <v>85</v>
      </c>
      <c r="F448" s="15">
        <v>1</v>
      </c>
      <c r="G448" s="15">
        <v>1</v>
      </c>
      <c r="H448" s="15">
        <v>1</v>
      </c>
      <c r="I448" s="15">
        <v>1</v>
      </c>
      <c r="J448" s="15">
        <v>1</v>
      </c>
      <c r="K448" s="9" t="s">
        <v>29</v>
      </c>
      <c r="L448" s="46" t="s">
        <v>365</v>
      </c>
      <c r="M448" s="17">
        <f t="shared" ref="M448:M458" si="240">IF(AND(ISNUMBER(B448),ISNUMBER(C448),B448&gt;0,C448&gt;0),A448*(B448*C448/1000000),0)</f>
        <v>0.41760000000000003</v>
      </c>
      <c r="N448" s="18">
        <f t="shared" ref="N448:N458" si="241">IF(AND(ISNUMBER(B448),B448&gt;0),A448*(((G448+H448)*B448+(I448+J448)*C448)/1000),0)</f>
        <v>2.6</v>
      </c>
      <c r="O448" s="19">
        <f>IF(E448="HERRAJE",IFERROR(_xlfn.XLOOKUP(D448,'⚙️ Configuración Costos'!$A$11:$A$20,'⚙️ Configuración Costos'!$B$11:$B$20),""),IFERROR(_xlfn.XLOOKUP(E448,'⚙️ Configuración Costos'!$A$5:$A$6,'⚙️ Configuración Costos'!$B$5:$B$6),""))</f>
        <v>332.85245901639348</v>
      </c>
      <c r="P448" s="19">
        <f t="shared" ref="P448:P458" si="242">IF(E448="HERRAJE",A448*O448,M448*O448)</f>
        <v>138.99918688524593</v>
      </c>
      <c r="Q448" s="19">
        <f>IF(E448="HERRAJE",0,IFERROR(_xlfn.XLOOKUP(E448,'⚙️ Configuración Costos'!$E$5:$E$6,'⚙️ Configuración Costos'!$F$5:$F$6),""))</f>
        <v>9.5</v>
      </c>
      <c r="R448" s="19">
        <f t="shared" ref="R448:R458" si="243">N448*Q448</f>
        <v>24.7</v>
      </c>
      <c r="S448" s="37">
        <f t="shared" ref="S448:S458" si="244">P448+R448</f>
        <v>163.69918688524592</v>
      </c>
      <c r="T448" s="94" t="str">
        <f t="shared" ref="T448:T458" si="245">IF(K448="","SIN ID MÓDULO",IF(E448="HERRAJE",IF(OR(O448="",O448&lt;=0),"SIN PRECIO HERRAJE","OK"),IF(OR(O448="",O448&lt;=0),"SIN PRECIO MATERIAL",IF(AND(N448&gt;0,OR(Q448="",Q448&lt;=0)),"SIN PRECIO CINTILLA","OK"))))</f>
        <v>OK</v>
      </c>
      <c r="U448" s="95" t="str">
        <f t="shared" ref="U448:U458" si="246">IF(T448="OK","",IF(T448="SIN PRECIO HERRAJE","Capturar precio: "&amp;D448,IF(T448="SIN PRECIO MATERIAL","Configurar material: "&amp;E448,IF(T448="SIN PRECIO CINTILLA","Configurar cintilla: "&amp;E448,IF(T448="SIN ID MÓDULO","Revisar ID del módulo","")))))</f>
        <v/>
      </c>
      <c r="V448" s="96">
        <f t="shared" ref="V448:V458" si="247">IF(T448="OK",0,IF(T448="",0,1))</f>
        <v>0</v>
      </c>
    </row>
    <row r="449" spans="1:22" x14ac:dyDescent="0.2">
      <c r="A449" s="35">
        <v>1</v>
      </c>
      <c r="B449" s="6">
        <v>720</v>
      </c>
      <c r="C449" s="6">
        <v>580</v>
      </c>
      <c r="D449" s="7" t="s">
        <v>66</v>
      </c>
      <c r="E449" s="7" t="s">
        <v>85</v>
      </c>
      <c r="F449" s="8">
        <v>1</v>
      </c>
      <c r="G449" s="8">
        <v>1</v>
      </c>
      <c r="H449" s="8">
        <v>1</v>
      </c>
      <c r="I449" s="8">
        <v>1</v>
      </c>
      <c r="J449" s="8">
        <v>1</v>
      </c>
      <c r="K449" s="9" t="s">
        <v>29</v>
      </c>
      <c r="L449" s="47" t="s">
        <v>366</v>
      </c>
      <c r="M449" s="17">
        <f t="shared" si="240"/>
        <v>0.41760000000000003</v>
      </c>
      <c r="N449" s="18">
        <f t="shared" si="241"/>
        <v>2.6</v>
      </c>
      <c r="O449" s="19">
        <f>IF(E449="HERRAJE",IFERROR(_xlfn.XLOOKUP(D449,'⚙️ Configuración Costos'!$A$11:$A$20,'⚙️ Configuración Costos'!$B$11:$B$20),""),IFERROR(_xlfn.XLOOKUP(E449,'⚙️ Configuración Costos'!$A$5:$A$6,'⚙️ Configuración Costos'!$B$5:$B$6),""))</f>
        <v>332.85245901639348</v>
      </c>
      <c r="P449" s="19">
        <f t="shared" si="242"/>
        <v>138.99918688524593</v>
      </c>
      <c r="Q449" s="19">
        <f>IF(E449="HERRAJE",0,IFERROR(_xlfn.XLOOKUP(E449,'⚙️ Configuración Costos'!$E$5:$E$6,'⚙️ Configuración Costos'!$F$5:$F$6),""))</f>
        <v>9.5</v>
      </c>
      <c r="R449" s="19">
        <f t="shared" si="243"/>
        <v>24.7</v>
      </c>
      <c r="S449" s="37">
        <f t="shared" si="244"/>
        <v>163.69918688524592</v>
      </c>
      <c r="T449" s="94" t="str">
        <f t="shared" si="245"/>
        <v>OK</v>
      </c>
      <c r="U449" s="95" t="str">
        <f t="shared" si="246"/>
        <v/>
      </c>
      <c r="V449" s="96">
        <f t="shared" si="247"/>
        <v>0</v>
      </c>
    </row>
    <row r="450" spans="1:22" x14ac:dyDescent="0.2">
      <c r="A450" s="35">
        <v>1</v>
      </c>
      <c r="B450" s="6">
        <v>569</v>
      </c>
      <c r="C450" s="6">
        <v>580</v>
      </c>
      <c r="D450" s="7" t="s">
        <v>171</v>
      </c>
      <c r="E450" s="7" t="s">
        <v>85</v>
      </c>
      <c r="F450" s="8">
        <v>1</v>
      </c>
      <c r="G450" s="8">
        <v>0</v>
      </c>
      <c r="H450" s="8">
        <v>0</v>
      </c>
      <c r="I450" s="8">
        <v>1</v>
      </c>
      <c r="J450" s="8">
        <v>1</v>
      </c>
      <c r="K450" s="9" t="s">
        <v>29</v>
      </c>
      <c r="L450" s="47" t="s">
        <v>370</v>
      </c>
      <c r="M450" s="17">
        <f t="shared" si="240"/>
        <v>0.33001999999999998</v>
      </c>
      <c r="N450" s="18">
        <f t="shared" si="241"/>
        <v>1.1599999999999999</v>
      </c>
      <c r="O450" s="19">
        <f>IF(E450="HERRAJE",IFERROR(_xlfn.XLOOKUP(D450,'⚙️ Configuración Costos'!$A$11:$A$20,'⚙️ Configuración Costos'!$B$11:$B$20),""),IFERROR(_xlfn.XLOOKUP(E450,'⚙️ Configuración Costos'!$A$5:$A$6,'⚙️ Configuración Costos'!$B$5:$B$6),""))</f>
        <v>332.85245901639348</v>
      </c>
      <c r="P450" s="19">
        <f t="shared" si="242"/>
        <v>109.84796852459017</v>
      </c>
      <c r="Q450" s="19">
        <f>IF(E450="HERRAJE",0,IFERROR(_xlfn.XLOOKUP(E450,'⚙️ Configuración Costos'!$E$5:$E$6,'⚙️ Configuración Costos'!$F$5:$F$6),""))</f>
        <v>9.5</v>
      </c>
      <c r="R450" s="19">
        <f t="shared" si="243"/>
        <v>11.02</v>
      </c>
      <c r="S450" s="37">
        <f t="shared" si="244"/>
        <v>120.86796852459017</v>
      </c>
      <c r="T450" s="94" t="str">
        <f t="shared" si="245"/>
        <v>OK</v>
      </c>
      <c r="U450" s="95" t="str">
        <f t="shared" si="246"/>
        <v/>
      </c>
      <c r="V450" s="96">
        <f t="shared" si="247"/>
        <v>0</v>
      </c>
    </row>
    <row r="451" spans="1:22" x14ac:dyDescent="0.2">
      <c r="A451" s="35">
        <v>2</v>
      </c>
      <c r="B451" s="6">
        <v>569</v>
      </c>
      <c r="C451" s="6">
        <v>120</v>
      </c>
      <c r="D451" s="7" t="s">
        <v>240</v>
      </c>
      <c r="E451" s="7" t="s">
        <v>85</v>
      </c>
      <c r="F451" s="8">
        <v>1</v>
      </c>
      <c r="G451" s="8">
        <v>1</v>
      </c>
      <c r="H451" s="8">
        <v>1</v>
      </c>
      <c r="I451" s="8">
        <v>0</v>
      </c>
      <c r="J451" s="8">
        <v>0</v>
      </c>
      <c r="K451" s="9" t="s">
        <v>29</v>
      </c>
      <c r="L451" s="47" t="s">
        <v>268</v>
      </c>
      <c r="M451" s="17">
        <f t="shared" si="240"/>
        <v>0.13655999999999999</v>
      </c>
      <c r="N451" s="18">
        <f t="shared" si="241"/>
        <v>2.2759999999999998</v>
      </c>
      <c r="O451" s="19">
        <f>IF(E451="HERRAJE",IFERROR(_xlfn.XLOOKUP(D451,'⚙️ Configuración Costos'!$A$11:$A$20,'⚙️ Configuración Costos'!$B$11:$B$20),""),IFERROR(_xlfn.XLOOKUP(E451,'⚙️ Configuración Costos'!$A$5:$A$6,'⚙️ Configuración Costos'!$B$5:$B$6),""))</f>
        <v>332.85245901639348</v>
      </c>
      <c r="P451" s="19">
        <f t="shared" si="242"/>
        <v>45.454331803278691</v>
      </c>
      <c r="Q451" s="19">
        <f>IF(E451="HERRAJE",0,IFERROR(_xlfn.XLOOKUP(E451,'⚙️ Configuración Costos'!$E$5:$E$6,'⚙️ Configuración Costos'!$F$5:$F$6),""))</f>
        <v>9.5</v>
      </c>
      <c r="R451" s="19">
        <f t="shared" si="243"/>
        <v>21.622</v>
      </c>
      <c r="S451" s="37">
        <f t="shared" si="244"/>
        <v>67.076331803278691</v>
      </c>
      <c r="T451" s="94" t="str">
        <f t="shared" si="245"/>
        <v>OK</v>
      </c>
      <c r="U451" s="95" t="str">
        <f t="shared" si="246"/>
        <v/>
      </c>
      <c r="V451" s="96">
        <f t="shared" si="247"/>
        <v>0</v>
      </c>
    </row>
    <row r="452" spans="1:22" x14ac:dyDescent="0.2">
      <c r="A452" s="35">
        <v>2</v>
      </c>
      <c r="B452" s="6">
        <v>569</v>
      </c>
      <c r="C452" s="6">
        <v>120</v>
      </c>
      <c r="D452" s="7" t="s">
        <v>194</v>
      </c>
      <c r="E452" s="7" t="s">
        <v>85</v>
      </c>
      <c r="F452" s="8">
        <v>1</v>
      </c>
      <c r="G452" s="8">
        <v>1</v>
      </c>
      <c r="H452" s="8">
        <v>1</v>
      </c>
      <c r="I452" s="8">
        <v>0</v>
      </c>
      <c r="J452" s="8">
        <v>0</v>
      </c>
      <c r="K452" s="9" t="s">
        <v>29</v>
      </c>
      <c r="L452" s="47" t="s">
        <v>214</v>
      </c>
      <c r="M452" s="17">
        <f t="shared" si="240"/>
        <v>0.13655999999999999</v>
      </c>
      <c r="N452" s="18">
        <f t="shared" si="241"/>
        <v>2.2759999999999998</v>
      </c>
      <c r="O452" s="19">
        <f>IF(E452="HERRAJE",IFERROR(_xlfn.XLOOKUP(D452,'⚙️ Configuración Costos'!$A$11:$A$20,'⚙️ Configuración Costos'!$B$11:$B$20),""),IFERROR(_xlfn.XLOOKUP(E452,'⚙️ Configuración Costos'!$A$5:$A$6,'⚙️ Configuración Costos'!$B$5:$B$6),""))</f>
        <v>332.85245901639348</v>
      </c>
      <c r="P452" s="19">
        <f t="shared" si="242"/>
        <v>45.454331803278691</v>
      </c>
      <c r="Q452" s="19">
        <f>IF(E452="HERRAJE",0,IFERROR(_xlfn.XLOOKUP(E452,'⚙️ Configuración Costos'!$E$5:$E$6,'⚙️ Configuración Costos'!$F$5:$F$6),""))</f>
        <v>9.5</v>
      </c>
      <c r="R452" s="19">
        <f t="shared" si="243"/>
        <v>21.622</v>
      </c>
      <c r="S452" s="37">
        <f t="shared" si="244"/>
        <v>67.076331803278691</v>
      </c>
      <c r="T452" s="94" t="str">
        <f t="shared" si="245"/>
        <v>OK</v>
      </c>
      <c r="U452" s="95" t="str">
        <f t="shared" si="246"/>
        <v/>
      </c>
      <c r="V452" s="96">
        <f t="shared" si="247"/>
        <v>0</v>
      </c>
    </row>
    <row r="453" spans="1:22" x14ac:dyDescent="0.2">
      <c r="A453" s="35">
        <v>1</v>
      </c>
      <c r="B453" s="6">
        <v>717</v>
      </c>
      <c r="C453" s="6">
        <v>596</v>
      </c>
      <c r="D453" s="7" t="s">
        <v>197</v>
      </c>
      <c r="E453" s="7" t="s">
        <v>85</v>
      </c>
      <c r="F453" s="8">
        <v>1</v>
      </c>
      <c r="G453" s="8">
        <v>1</v>
      </c>
      <c r="H453" s="8">
        <v>1</v>
      </c>
      <c r="I453" s="8">
        <v>1</v>
      </c>
      <c r="J453" s="8">
        <v>1</v>
      </c>
      <c r="K453" s="9" t="s">
        <v>29</v>
      </c>
      <c r="L453" s="47" t="s">
        <v>216</v>
      </c>
      <c r="M453" s="17">
        <f t="shared" si="240"/>
        <v>0.42733199999999999</v>
      </c>
      <c r="N453" s="18">
        <f t="shared" si="241"/>
        <v>2.6259999999999999</v>
      </c>
      <c r="O453" s="19">
        <f>IF(E453="HERRAJE",IFERROR(_xlfn.XLOOKUP(D453,'⚙️ Configuración Costos'!$A$11:$A$20,'⚙️ Configuración Costos'!$B$11:$B$20),""),IFERROR(_xlfn.XLOOKUP(E453,'⚙️ Configuración Costos'!$A$5:$A$6,'⚙️ Configuración Costos'!$B$5:$B$6),""))</f>
        <v>332.85245901639348</v>
      </c>
      <c r="P453" s="19">
        <f t="shared" si="242"/>
        <v>142.23850701639347</v>
      </c>
      <c r="Q453" s="19">
        <f>IF(E453="HERRAJE",0,IFERROR(_xlfn.XLOOKUP(E453,'⚙️ Configuración Costos'!$E$5:$E$6,'⚙️ Configuración Costos'!$F$5:$F$6),""))</f>
        <v>9.5</v>
      </c>
      <c r="R453" s="19">
        <f t="shared" si="243"/>
        <v>24.946999999999999</v>
      </c>
      <c r="S453" s="37">
        <f t="shared" si="244"/>
        <v>167.18550701639347</v>
      </c>
      <c r="T453" s="94" t="str">
        <f t="shared" si="245"/>
        <v>OK</v>
      </c>
      <c r="U453" s="95" t="str">
        <f t="shared" si="246"/>
        <v/>
      </c>
      <c r="V453" s="96">
        <f t="shared" si="247"/>
        <v>0</v>
      </c>
    </row>
    <row r="454" spans="1:22" x14ac:dyDescent="0.2">
      <c r="A454" s="35">
        <v>2</v>
      </c>
      <c r="B454" s="6">
        <v>0</v>
      </c>
      <c r="C454" s="6">
        <v>0</v>
      </c>
      <c r="D454" s="7" t="s">
        <v>90</v>
      </c>
      <c r="E454" s="7" t="s">
        <v>91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9" t="s">
        <v>29</v>
      </c>
      <c r="L454" s="47" t="s">
        <v>92</v>
      </c>
      <c r="M454" s="17">
        <f t="shared" si="240"/>
        <v>0</v>
      </c>
      <c r="N454" s="18">
        <f t="shared" si="241"/>
        <v>0</v>
      </c>
      <c r="O454" s="19">
        <f>IF(E454="HERRAJE",IFERROR(_xlfn.XLOOKUP(D454,'⚙️ Configuración Costos'!$A$11:$A$20,'⚙️ Configuración Costos'!$B$11:$B$20),""),IFERROR(_xlfn.XLOOKUP(E454,'⚙️ Configuración Costos'!$A$5:$A$6,'⚙️ Configuración Costos'!$B$5:$B$6),""))</f>
        <v>20</v>
      </c>
      <c r="P454" s="19">
        <f t="shared" si="242"/>
        <v>40</v>
      </c>
      <c r="Q454" s="19">
        <f>IF(E454="HERRAJE",0,IFERROR(_xlfn.XLOOKUP(E454,'⚙️ Configuración Costos'!$E$5:$E$6,'⚙️ Configuración Costos'!$F$5:$F$6),""))</f>
        <v>0</v>
      </c>
      <c r="R454" s="19">
        <f t="shared" si="243"/>
        <v>0</v>
      </c>
      <c r="S454" s="37">
        <f t="shared" si="244"/>
        <v>40</v>
      </c>
      <c r="T454" s="94" t="str">
        <f t="shared" si="245"/>
        <v>OK</v>
      </c>
      <c r="U454" s="95" t="str">
        <f t="shared" si="246"/>
        <v/>
      </c>
      <c r="V454" s="96">
        <f t="shared" si="247"/>
        <v>0</v>
      </c>
    </row>
    <row r="455" spans="1:22" x14ac:dyDescent="0.2">
      <c r="A455" s="35">
        <v>1</v>
      </c>
      <c r="B455" s="6">
        <v>0</v>
      </c>
      <c r="C455" s="6">
        <v>0</v>
      </c>
      <c r="D455" s="7" t="s">
        <v>93</v>
      </c>
      <c r="E455" s="7" t="s">
        <v>91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9" t="s">
        <v>29</v>
      </c>
      <c r="L455" s="47" t="s">
        <v>94</v>
      </c>
      <c r="M455" s="17">
        <f t="shared" si="240"/>
        <v>0</v>
      </c>
      <c r="N455" s="18">
        <f t="shared" si="241"/>
        <v>0</v>
      </c>
      <c r="O455" s="19">
        <f>IF(E455="HERRAJE",IFERROR(_xlfn.XLOOKUP(D455,'⚙️ Configuración Costos'!$A$11:$A$20,'⚙️ Configuración Costos'!$B$11:$B$20),""),IFERROR(_xlfn.XLOOKUP(E455,'⚙️ Configuración Costos'!$A$5:$A$6,'⚙️ Configuración Costos'!$B$5:$B$6),""))</f>
        <v>15</v>
      </c>
      <c r="P455" s="19">
        <f t="shared" si="242"/>
        <v>15</v>
      </c>
      <c r="Q455" s="19">
        <f>IF(E455="HERRAJE",0,IFERROR(_xlfn.XLOOKUP(E455,'⚙️ Configuración Costos'!$E$5:$E$6,'⚙️ Configuración Costos'!$F$5:$F$6),""))</f>
        <v>0</v>
      </c>
      <c r="R455" s="19">
        <f t="shared" si="243"/>
        <v>0</v>
      </c>
      <c r="S455" s="37">
        <f t="shared" si="244"/>
        <v>15</v>
      </c>
      <c r="T455" s="94" t="str">
        <f t="shared" si="245"/>
        <v>OK</v>
      </c>
      <c r="U455" s="95" t="str">
        <f t="shared" si="246"/>
        <v/>
      </c>
      <c r="V455" s="96">
        <f t="shared" si="247"/>
        <v>0</v>
      </c>
    </row>
    <row r="456" spans="1:22" x14ac:dyDescent="0.2">
      <c r="A456" s="35">
        <v>4</v>
      </c>
      <c r="B456" s="6">
        <v>0</v>
      </c>
      <c r="C456" s="6">
        <v>0</v>
      </c>
      <c r="D456" s="7" t="s">
        <v>186</v>
      </c>
      <c r="E456" s="7" t="s">
        <v>91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9" t="s">
        <v>29</v>
      </c>
      <c r="L456" s="47" t="s">
        <v>187</v>
      </c>
      <c r="M456" s="17">
        <f t="shared" si="240"/>
        <v>0</v>
      </c>
      <c r="N456" s="18">
        <f t="shared" si="241"/>
        <v>0</v>
      </c>
      <c r="O456" s="19">
        <f>IF(E456="HERRAJE",IFERROR(_xlfn.XLOOKUP(D456,'⚙️ Configuración Costos'!$A$11:$A$20,'⚙️ Configuración Costos'!$B$11:$B$20),""),IFERROR(_xlfn.XLOOKUP(E456,'⚙️ Configuración Costos'!$A$5:$A$6,'⚙️ Configuración Costos'!$B$5:$B$6),""))</f>
        <v>15</v>
      </c>
      <c r="P456" s="19">
        <f t="shared" si="242"/>
        <v>60</v>
      </c>
      <c r="Q456" s="19">
        <f>IF(E456="HERRAJE",0,IFERROR(_xlfn.XLOOKUP(E456,'⚙️ Configuración Costos'!$E$5:$E$6,'⚙️ Configuración Costos'!$F$5:$F$6),""))</f>
        <v>0</v>
      </c>
      <c r="R456" s="19">
        <f t="shared" si="243"/>
        <v>0</v>
      </c>
      <c r="S456" s="37">
        <f t="shared" si="244"/>
        <v>60</v>
      </c>
      <c r="T456" s="94" t="str">
        <f t="shared" si="245"/>
        <v>OK</v>
      </c>
      <c r="U456" s="95" t="str">
        <f t="shared" si="246"/>
        <v/>
      </c>
      <c r="V456" s="96">
        <f t="shared" si="247"/>
        <v>0</v>
      </c>
    </row>
    <row r="457" spans="1:22" x14ac:dyDescent="0.2">
      <c r="A457" s="36">
        <f>4*(IF(LEFT(D448,4)="Base",A448,0)+IF(LEFT(D448,4)="Piso",A448,0)+IF(LEFT(D448,5)="Techo",A448,0)+IF(LEFT(D449,4)="Base",A449,0)+IF(LEFT(D449,4)="Piso",A449,0)+IF(LEFT(D449,5)="Techo",A449,0)+IF(LEFT(D450,4)="Base",A450,0)+IF(LEFT(D450,4)="Piso",A450,0)+IF(LEFT(D450,5)="Techo",A450,0)+IF(LEFT(D451,4)="Base",A451,0)+IF(LEFT(D451,4)="Piso",A451,0)+IF(LEFT(D451,5)="Techo",A451,0)+IF(LEFT(D452,4)="Base",A452,0)+IF(LEFT(D452,4)="Piso",A452,0)+IF(LEFT(D452,5)="Techo",A452,0)+IF(LEFT(D453,4)="Base",A453,0)+IF(LEFT(D453,4)="Piso",A453,0)+IF(LEFT(D453,5)="Techo",A453,0))+10*(IF(LEFT(D448,8)="Respaldo",A448,0)+IF(LEFT(D449,8)="Respaldo",A449,0)+IF(LEFT(D450,8)="Respaldo",A450,0)+IF(LEFT(D451,8)="Respaldo",A451,0)+IF(LEFT(D452,8)="Respaldo",A452,0)+IF(LEFT(D453,8)="Respaldo",A453,0))+2*(IF(LEFT(D448,8)="Manguete",A448,0)+IF(LEFT(D449,8)="Manguete",A449,0)+IF(LEFT(D450,8)="Manguete",A450,0)+IF(LEFT(D451,8)="Manguete",A451,0)+IF(LEFT(D452,8)="Manguete",A452,0)+IF(LEFT(D453,8)="Manguete",A453,0))</f>
        <v>12</v>
      </c>
      <c r="B457" s="20">
        <v>0</v>
      </c>
      <c r="C457" s="20">
        <v>0</v>
      </c>
      <c r="D457" s="21" t="s">
        <v>400</v>
      </c>
      <c r="E457" s="21" t="s">
        <v>91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9" t="s">
        <v>29</v>
      </c>
      <c r="L457" s="48" t="s">
        <v>360</v>
      </c>
      <c r="M457" s="17">
        <f t="shared" si="240"/>
        <v>0</v>
      </c>
      <c r="N457" s="18">
        <f t="shared" si="241"/>
        <v>0</v>
      </c>
      <c r="O457" s="19">
        <f>IF(E457="HERRAJE",IFERROR(_xlfn.XLOOKUP(D457,'⚙️ Configuración Costos'!$A$11:$A$20,'⚙️ Configuración Costos'!$B$11:$B$20),""),IFERROR(_xlfn.XLOOKUP(E457,'⚙️ Configuración Costos'!$A$5:$A$6,'⚙️ Configuración Costos'!$B$5:$B$6),""))</f>
        <v>3</v>
      </c>
      <c r="P457" s="19">
        <f t="shared" si="242"/>
        <v>36</v>
      </c>
      <c r="Q457" s="19">
        <f>IF(E457="HERRAJE",0,IFERROR(_xlfn.XLOOKUP(E457,'⚙️ Configuración Costos'!$E$5:$E$6,'⚙️ Configuración Costos'!$F$5:$F$6),""))</f>
        <v>0</v>
      </c>
      <c r="R457" s="19">
        <f t="shared" si="243"/>
        <v>0</v>
      </c>
      <c r="S457" s="37">
        <f t="shared" si="244"/>
        <v>36</v>
      </c>
      <c r="T457" s="94" t="str">
        <f t="shared" si="245"/>
        <v>OK</v>
      </c>
      <c r="U457" s="95" t="str">
        <f t="shared" si="246"/>
        <v/>
      </c>
      <c r="V457" s="96">
        <f t="shared" si="247"/>
        <v>0</v>
      </c>
    </row>
    <row r="458" spans="1:22" ht="16" thickBot="1" x14ac:dyDescent="0.25">
      <c r="A458" s="36">
        <f>6*(IF(LEFT(D448,4)="Base",A448,0)+IF(LEFT(D448,4)="Piso",A448,0)+IF(LEFT(D448,5)="Techo",A448,0)+IF(LEFT(D449,4)="Base",A449,0)+IF(LEFT(D449,4)="Piso",A449,0)+IF(LEFT(D449,5)="Techo",A449,0)+IF(LEFT(D450,4)="Base",A450,0)+IF(LEFT(D450,4)="Piso",A450,0)+IF(LEFT(D450,5)="Techo",A450,0)+IF(LEFT(D451,4)="Base",A451,0)+IF(LEFT(D451,4)="Piso",A451,0)+IF(LEFT(D451,5)="Techo",A451,0)+IF(LEFT(D452,4)="Base",A452,0)+IF(LEFT(D452,4)="Piso",A452,0)+IF(LEFT(D452,5)="Techo",A452,0)+IF(LEFT(D453,4)="Base",A453,0)+IF(LEFT(D453,4)="Piso",A453,0)+IF(LEFT(D453,5)="Techo",A453,0))+10*(IF(LEFT(D448,8)="Respaldo",A448,0)+IF(LEFT(D449,8)="Respaldo",A449,0)+IF(LEFT(D450,8)="Respaldo",A450,0)+IF(LEFT(D451,8)="Respaldo",A451,0)+IF(LEFT(D452,8)="Respaldo",A452,0)+IF(LEFT(D453,8)="Respaldo",A453,0))+4*(IF(LEFT(D448,8)="Manguete",A448,0)+IF(LEFT(D449,8)="Manguete",A449,0)+IF(LEFT(D450,8)="Manguete",A450,0)+IF(LEFT(D451,8)="Manguete",A451,0)+IF(LEFT(D452,8)="Manguete",A452,0)+IF(LEFT(D453,8)="Manguete",A453,0))</f>
        <v>22</v>
      </c>
      <c r="B458" s="20">
        <v>0</v>
      </c>
      <c r="C458" s="20">
        <v>0</v>
      </c>
      <c r="D458" s="21" t="s">
        <v>468</v>
      </c>
      <c r="E458" s="21" t="s">
        <v>91</v>
      </c>
      <c r="F458" s="22">
        <v>0</v>
      </c>
      <c r="G458" s="22">
        <v>0</v>
      </c>
      <c r="H458" s="22">
        <v>0</v>
      </c>
      <c r="I458" s="22">
        <v>0</v>
      </c>
      <c r="J458" s="22">
        <v>0</v>
      </c>
      <c r="K458" s="9" t="s">
        <v>29</v>
      </c>
      <c r="L458" s="48" t="s">
        <v>361</v>
      </c>
      <c r="M458" s="17">
        <f t="shared" si="240"/>
        <v>0</v>
      </c>
      <c r="N458" s="18">
        <f t="shared" si="241"/>
        <v>0</v>
      </c>
      <c r="O458" s="19">
        <f>IF(E458="HERRAJE",IFERROR(_xlfn.XLOOKUP(D458,'⚙️ Configuración Costos'!$A$11:$A$20,'⚙️ Configuración Costos'!$B$11:$B$20),""),IFERROR(_xlfn.XLOOKUP(E458,'⚙️ Configuración Costos'!$A$5:$A$6,'⚙️ Configuración Costos'!$B$5:$B$6),""))</f>
        <v>1</v>
      </c>
      <c r="P458" s="19">
        <f t="shared" si="242"/>
        <v>22</v>
      </c>
      <c r="Q458" s="19">
        <f>IF(E458="HERRAJE",0,IFERROR(_xlfn.XLOOKUP(E458,'⚙️ Configuración Costos'!$E$5:$E$6,'⚙️ Configuración Costos'!$F$5:$F$6),""))</f>
        <v>0</v>
      </c>
      <c r="R458" s="19">
        <f t="shared" si="243"/>
        <v>0</v>
      </c>
      <c r="S458" s="37">
        <f t="shared" si="244"/>
        <v>22</v>
      </c>
      <c r="T458" s="94" t="str">
        <f t="shared" si="245"/>
        <v>OK</v>
      </c>
      <c r="U458" s="95" t="str">
        <f t="shared" si="246"/>
        <v/>
      </c>
      <c r="V458" s="96">
        <f t="shared" si="247"/>
        <v>0</v>
      </c>
    </row>
    <row r="459" spans="1:22" ht="16" thickTop="1" x14ac:dyDescent="0.2">
      <c r="A459" s="27" t="s">
        <v>99</v>
      </c>
      <c r="B459" s="27"/>
      <c r="C459" s="27"/>
      <c r="D459" s="28"/>
      <c r="E459" s="28"/>
      <c r="F459" s="29"/>
      <c r="G459" s="29"/>
      <c r="H459" s="29"/>
      <c r="I459" s="29"/>
      <c r="J459" s="29"/>
      <c r="K459" s="30"/>
      <c r="L459" s="49"/>
      <c r="M459" s="31">
        <f>SUM(M448:M458)</f>
        <v>1.8656720000000002</v>
      </c>
      <c r="N459" s="32">
        <f>SUM(N448:N458)</f>
        <v>13.537999999999998</v>
      </c>
      <c r="O459" s="33"/>
      <c r="P459" s="33">
        <f>SUM(P448:P458)</f>
        <v>793.99351291803293</v>
      </c>
      <c r="Q459" s="33"/>
      <c r="R459" s="33">
        <f>SUM(R448:R458)</f>
        <v>128.61099999999999</v>
      </c>
      <c r="S459" s="33">
        <f>SUM(S448:S458)</f>
        <v>922.60451291803281</v>
      </c>
      <c r="T459" s="97"/>
      <c r="U459" s="98"/>
      <c r="V459" s="99"/>
    </row>
    <row r="460" spans="1:22" x14ac:dyDescent="0.2">
      <c r="A460" s="186" t="s">
        <v>288</v>
      </c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8"/>
      <c r="T460" s="97"/>
      <c r="U460" s="98"/>
      <c r="V460" s="99"/>
    </row>
    <row r="461" spans="1:22" x14ac:dyDescent="0.2">
      <c r="A461" s="35">
        <v>1</v>
      </c>
      <c r="B461" s="6">
        <v>720</v>
      </c>
      <c r="C461" s="6">
        <v>580</v>
      </c>
      <c r="D461" s="7" t="s">
        <v>63</v>
      </c>
      <c r="E461" s="7" t="s">
        <v>85</v>
      </c>
      <c r="F461" s="8">
        <v>1</v>
      </c>
      <c r="G461" s="8">
        <v>1</v>
      </c>
      <c r="H461" s="8">
        <v>1</v>
      </c>
      <c r="I461" s="8">
        <v>1</v>
      </c>
      <c r="J461" s="8">
        <v>1</v>
      </c>
      <c r="K461" s="9" t="s">
        <v>30</v>
      </c>
      <c r="L461" s="47" t="s">
        <v>365</v>
      </c>
      <c r="M461" s="17">
        <f t="shared" ref="M461:M472" si="248">IF(AND(ISNUMBER(B461),ISNUMBER(C461),B461&gt;0,C461&gt;0),A461*(B461*C461/1000000),0)</f>
        <v>0.41760000000000003</v>
      </c>
      <c r="N461" s="18">
        <f t="shared" ref="N461:N472" si="249">IF(AND(ISNUMBER(B461),B461&gt;0),A461*(((G461+H461)*B461+(I461+J461)*C461)/1000),0)</f>
        <v>2.6</v>
      </c>
      <c r="O461" s="19">
        <f>IF(E461="HERRAJE",IFERROR(_xlfn.XLOOKUP(D461,'⚙️ Configuración Costos'!$A$11:$A$20,'⚙️ Configuración Costos'!$B$11:$B$20),""),IFERROR(_xlfn.XLOOKUP(E461,'⚙️ Configuración Costos'!$A$5:$A$6,'⚙️ Configuración Costos'!$B$5:$B$6),""))</f>
        <v>332.85245901639348</v>
      </c>
      <c r="P461" s="19">
        <f t="shared" ref="P461:P472" si="250">IF(E461="HERRAJE",A461*O461,M461*O461)</f>
        <v>138.99918688524593</v>
      </c>
      <c r="Q461" s="19">
        <f>IF(E461="HERRAJE",0,IFERROR(_xlfn.XLOOKUP(E461,'⚙️ Configuración Costos'!$E$5:$E$6,'⚙️ Configuración Costos'!$F$5:$F$6),""))</f>
        <v>9.5</v>
      </c>
      <c r="R461" s="19">
        <f t="shared" ref="R461:R472" si="251">N461*Q461</f>
        <v>24.7</v>
      </c>
      <c r="S461" s="37">
        <f t="shared" ref="S461:S472" si="252">P461+R461</f>
        <v>163.69918688524592</v>
      </c>
      <c r="T461" s="94" t="str">
        <f t="shared" ref="T461:T472" si="253">IF(K461="","SIN ID MÓDULO",IF(E461="HERRAJE",IF(OR(O461="",O461&lt;=0),"SIN PRECIO HERRAJE","OK"),IF(OR(O461="",O461&lt;=0),"SIN PRECIO MATERIAL",IF(AND(N461&gt;0,OR(Q461="",Q461&lt;=0)),"SIN PRECIO CINTILLA","OK"))))</f>
        <v>OK</v>
      </c>
      <c r="U461" s="95" t="str">
        <f t="shared" ref="U461:U472" si="254">IF(T461="OK","",IF(T461="SIN PRECIO HERRAJE","Capturar precio: "&amp;D461,IF(T461="SIN PRECIO MATERIAL","Configurar material: "&amp;E461,IF(T461="SIN PRECIO CINTILLA","Configurar cintilla: "&amp;E461,IF(T461="SIN ID MÓDULO","Revisar ID del módulo","")))))</f>
        <v/>
      </c>
      <c r="V461" s="96">
        <f t="shared" ref="V461:V472" si="255">IF(T461="OK",0,IF(T461="",0,1))</f>
        <v>0</v>
      </c>
    </row>
    <row r="462" spans="1:22" x14ac:dyDescent="0.2">
      <c r="A462" s="35">
        <v>1</v>
      </c>
      <c r="B462" s="6">
        <v>720</v>
      </c>
      <c r="C462" s="6">
        <v>580</v>
      </c>
      <c r="D462" s="7" t="s">
        <v>66</v>
      </c>
      <c r="E462" s="7" t="s">
        <v>85</v>
      </c>
      <c r="F462" s="8">
        <v>1</v>
      </c>
      <c r="G462" s="8">
        <v>1</v>
      </c>
      <c r="H462" s="8">
        <v>1</v>
      </c>
      <c r="I462" s="8">
        <v>1</v>
      </c>
      <c r="J462" s="8">
        <v>1</v>
      </c>
      <c r="K462" s="9" t="s">
        <v>30</v>
      </c>
      <c r="L462" s="47" t="s">
        <v>366</v>
      </c>
      <c r="M462" s="17">
        <f t="shared" si="248"/>
        <v>0.41760000000000003</v>
      </c>
      <c r="N462" s="18">
        <f t="shared" si="249"/>
        <v>2.6</v>
      </c>
      <c r="O462" s="19">
        <f>IF(E462="HERRAJE",IFERROR(_xlfn.XLOOKUP(D462,'⚙️ Configuración Costos'!$A$11:$A$20,'⚙️ Configuración Costos'!$B$11:$B$20),""),IFERROR(_xlfn.XLOOKUP(E462,'⚙️ Configuración Costos'!$A$5:$A$6,'⚙️ Configuración Costos'!$B$5:$B$6),""))</f>
        <v>332.85245901639348</v>
      </c>
      <c r="P462" s="19">
        <f t="shared" si="250"/>
        <v>138.99918688524593</v>
      </c>
      <c r="Q462" s="19">
        <f>IF(E462="HERRAJE",0,IFERROR(_xlfn.XLOOKUP(E462,'⚙️ Configuración Costos'!$E$5:$E$6,'⚙️ Configuración Costos'!$F$5:$F$6),""))</f>
        <v>9.5</v>
      </c>
      <c r="R462" s="19">
        <f t="shared" si="251"/>
        <v>24.7</v>
      </c>
      <c r="S462" s="37">
        <f t="shared" si="252"/>
        <v>163.69918688524592</v>
      </c>
      <c r="T462" s="94" t="str">
        <f t="shared" si="253"/>
        <v>OK</v>
      </c>
      <c r="U462" s="95" t="str">
        <f t="shared" si="254"/>
        <v/>
      </c>
      <c r="V462" s="96">
        <f t="shared" si="255"/>
        <v>0</v>
      </c>
    </row>
    <row r="463" spans="1:22" x14ac:dyDescent="0.2">
      <c r="A463" s="34">
        <v>1</v>
      </c>
      <c r="B463" s="13">
        <v>669</v>
      </c>
      <c r="C463" s="13">
        <v>580</v>
      </c>
      <c r="D463" s="14" t="s">
        <v>171</v>
      </c>
      <c r="E463" s="14" t="s">
        <v>85</v>
      </c>
      <c r="F463" s="15">
        <v>1</v>
      </c>
      <c r="G463" s="15">
        <v>1</v>
      </c>
      <c r="H463" s="15">
        <v>1</v>
      </c>
      <c r="I463" s="15">
        <v>0</v>
      </c>
      <c r="J463" s="15">
        <v>0</v>
      </c>
      <c r="K463" s="9" t="s">
        <v>30</v>
      </c>
      <c r="L463" s="46" t="s">
        <v>289</v>
      </c>
      <c r="M463" s="17">
        <f t="shared" si="248"/>
        <v>0.38801999999999998</v>
      </c>
      <c r="N463" s="18">
        <f t="shared" si="249"/>
        <v>1.3380000000000001</v>
      </c>
      <c r="O463" s="19">
        <f>IF(E463="HERRAJE",IFERROR(_xlfn.XLOOKUP(D463,'⚙️ Configuración Costos'!$A$11:$A$20,'⚙️ Configuración Costos'!$B$11:$B$20),""),IFERROR(_xlfn.XLOOKUP(E463,'⚙️ Configuración Costos'!$A$5:$A$6,'⚙️ Configuración Costos'!$B$5:$B$6),""))</f>
        <v>332.85245901639348</v>
      </c>
      <c r="P463" s="19">
        <f t="shared" si="250"/>
        <v>129.15341114754099</v>
      </c>
      <c r="Q463" s="19">
        <f>IF(E463="HERRAJE",0,IFERROR(_xlfn.XLOOKUP(E463,'⚙️ Configuración Costos'!$E$5:$E$6,'⚙️ Configuración Costos'!$F$5:$F$6),""))</f>
        <v>9.5</v>
      </c>
      <c r="R463" s="19">
        <f t="shared" si="251"/>
        <v>12.711</v>
      </c>
      <c r="S463" s="37">
        <f t="shared" si="252"/>
        <v>141.86441114754101</v>
      </c>
      <c r="T463" s="94" t="str">
        <f t="shared" si="253"/>
        <v>OK</v>
      </c>
      <c r="U463" s="95" t="str">
        <f t="shared" si="254"/>
        <v/>
      </c>
      <c r="V463" s="96">
        <f t="shared" si="255"/>
        <v>0</v>
      </c>
    </row>
    <row r="464" spans="1:22" x14ac:dyDescent="0.2">
      <c r="A464" s="35">
        <v>2</v>
      </c>
      <c r="B464" s="6">
        <v>669</v>
      </c>
      <c r="C464" s="6">
        <v>120</v>
      </c>
      <c r="D464" s="7" t="s">
        <v>194</v>
      </c>
      <c r="E464" s="7" t="s">
        <v>85</v>
      </c>
      <c r="F464" s="8">
        <v>1</v>
      </c>
      <c r="G464" s="8">
        <v>1</v>
      </c>
      <c r="H464" s="8">
        <v>1</v>
      </c>
      <c r="I464" s="8">
        <v>0</v>
      </c>
      <c r="J464" s="8">
        <v>0</v>
      </c>
      <c r="K464" s="9" t="s">
        <v>30</v>
      </c>
      <c r="L464" s="47" t="s">
        <v>290</v>
      </c>
      <c r="M464" s="17">
        <f t="shared" si="248"/>
        <v>0.16056000000000001</v>
      </c>
      <c r="N464" s="18">
        <f t="shared" si="249"/>
        <v>2.6760000000000002</v>
      </c>
      <c r="O464" s="19">
        <f>IF(E464="HERRAJE",IFERROR(_xlfn.XLOOKUP(D464,'⚙️ Configuración Costos'!$A$11:$A$20,'⚙️ Configuración Costos'!$B$11:$B$20),""),IFERROR(_xlfn.XLOOKUP(E464,'⚙️ Configuración Costos'!$A$5:$A$6,'⚙️ Configuración Costos'!$B$5:$B$6),""))</f>
        <v>332.85245901639348</v>
      </c>
      <c r="P464" s="19">
        <f t="shared" si="250"/>
        <v>53.44279081967214</v>
      </c>
      <c r="Q464" s="19">
        <f>IF(E464="HERRAJE",0,IFERROR(_xlfn.XLOOKUP(E464,'⚙️ Configuración Costos'!$E$5:$E$6,'⚙️ Configuración Costos'!$F$5:$F$6),""))</f>
        <v>9.5</v>
      </c>
      <c r="R464" s="19">
        <f t="shared" si="251"/>
        <v>25.422000000000001</v>
      </c>
      <c r="S464" s="37">
        <f t="shared" si="252"/>
        <v>78.864790819672137</v>
      </c>
      <c r="T464" s="94" t="str">
        <f t="shared" si="253"/>
        <v>OK</v>
      </c>
      <c r="U464" s="95" t="str">
        <f t="shared" si="254"/>
        <v/>
      </c>
      <c r="V464" s="96">
        <f t="shared" si="255"/>
        <v>0</v>
      </c>
    </row>
    <row r="465" spans="1:22" x14ac:dyDescent="0.2">
      <c r="A465" s="35">
        <v>2</v>
      </c>
      <c r="B465" s="6">
        <v>669</v>
      </c>
      <c r="C465" s="6">
        <v>120</v>
      </c>
      <c r="D465" s="7" t="s">
        <v>240</v>
      </c>
      <c r="E465" s="7" t="s">
        <v>85</v>
      </c>
      <c r="F465" s="8">
        <v>1</v>
      </c>
      <c r="G465" s="8">
        <v>1</v>
      </c>
      <c r="H465" s="8">
        <v>1</v>
      </c>
      <c r="I465" s="8">
        <v>0</v>
      </c>
      <c r="J465" s="8">
        <v>0</v>
      </c>
      <c r="K465" s="9" t="s">
        <v>30</v>
      </c>
      <c r="L465" s="47" t="s">
        <v>291</v>
      </c>
      <c r="M465" s="17">
        <f t="shared" si="248"/>
        <v>0.16056000000000001</v>
      </c>
      <c r="N465" s="18">
        <f t="shared" si="249"/>
        <v>2.6760000000000002</v>
      </c>
      <c r="O465" s="19">
        <f>IF(E465="HERRAJE",IFERROR(_xlfn.XLOOKUP(D465,'⚙️ Configuración Costos'!$A$11:$A$20,'⚙️ Configuración Costos'!$B$11:$B$20),""),IFERROR(_xlfn.XLOOKUP(E465,'⚙️ Configuración Costos'!$A$5:$A$6,'⚙️ Configuración Costos'!$B$5:$B$6),""))</f>
        <v>332.85245901639348</v>
      </c>
      <c r="P465" s="19">
        <f t="shared" si="250"/>
        <v>53.44279081967214</v>
      </c>
      <c r="Q465" s="19">
        <f>IF(E465="HERRAJE",0,IFERROR(_xlfn.XLOOKUP(E465,'⚙️ Configuración Costos'!$E$5:$E$6,'⚙️ Configuración Costos'!$F$5:$F$6),""))</f>
        <v>9.5</v>
      </c>
      <c r="R465" s="19">
        <f t="shared" si="251"/>
        <v>25.422000000000001</v>
      </c>
      <c r="S465" s="37">
        <f t="shared" si="252"/>
        <v>78.864790819672137</v>
      </c>
      <c r="T465" s="94" t="str">
        <f t="shared" si="253"/>
        <v>OK</v>
      </c>
      <c r="U465" s="95" t="str">
        <f t="shared" si="254"/>
        <v/>
      </c>
      <c r="V465" s="96">
        <f t="shared" si="255"/>
        <v>0</v>
      </c>
    </row>
    <row r="466" spans="1:22" x14ac:dyDescent="0.2">
      <c r="A466" s="35">
        <v>1</v>
      </c>
      <c r="B466" s="6">
        <v>717</v>
      </c>
      <c r="C466" s="6">
        <v>347</v>
      </c>
      <c r="D466" s="7" t="s">
        <v>480</v>
      </c>
      <c r="E466" s="7" t="s">
        <v>85</v>
      </c>
      <c r="F466" s="8">
        <v>1</v>
      </c>
      <c r="G466" s="8">
        <v>1</v>
      </c>
      <c r="H466" s="8">
        <v>1</v>
      </c>
      <c r="I466" s="8">
        <v>1</v>
      </c>
      <c r="J466" s="8">
        <v>1</v>
      </c>
      <c r="K466" s="9" t="s">
        <v>30</v>
      </c>
      <c r="L466" s="47" t="s">
        <v>230</v>
      </c>
      <c r="M466" s="17">
        <f t="shared" si="248"/>
        <v>0.24879899999999999</v>
      </c>
      <c r="N466" s="18">
        <f t="shared" si="249"/>
        <v>2.1280000000000001</v>
      </c>
      <c r="O466" s="19">
        <f>IF(E466="HERRAJE",IFERROR(_xlfn.XLOOKUP(D466,'⚙️ Configuración Costos'!$A$11:$A$20,'⚙️ Configuración Costos'!$B$11:$B$20),""),IFERROR(_xlfn.XLOOKUP(E466,'⚙️ Configuración Costos'!$A$5:$A$6,'⚙️ Configuración Costos'!$B$5:$B$6),""))</f>
        <v>332.85245901639348</v>
      </c>
      <c r="P466" s="19">
        <f t="shared" si="250"/>
        <v>82.813358950819676</v>
      </c>
      <c r="Q466" s="19">
        <f>IF(E466="HERRAJE",0,IFERROR(_xlfn.XLOOKUP(E466,'⚙️ Configuración Costos'!$E$5:$E$6,'⚙️ Configuración Costos'!$F$5:$F$6),""))</f>
        <v>9.5</v>
      </c>
      <c r="R466" s="19">
        <f t="shared" si="251"/>
        <v>20.216000000000001</v>
      </c>
      <c r="S466" s="37">
        <f t="shared" si="252"/>
        <v>103.02935895081967</v>
      </c>
      <c r="T466" s="94" t="str">
        <f t="shared" si="253"/>
        <v>OK</v>
      </c>
      <c r="U466" s="95" t="str">
        <f t="shared" si="254"/>
        <v/>
      </c>
      <c r="V466" s="96">
        <f t="shared" si="255"/>
        <v>0</v>
      </c>
    </row>
    <row r="467" spans="1:22" x14ac:dyDescent="0.2">
      <c r="A467" s="35">
        <v>1</v>
      </c>
      <c r="B467" s="6">
        <v>717</v>
      </c>
      <c r="C467" s="6">
        <v>347</v>
      </c>
      <c r="D467" s="7" t="s">
        <v>483</v>
      </c>
      <c r="E467" s="7" t="s">
        <v>85</v>
      </c>
      <c r="F467" s="8">
        <v>1</v>
      </c>
      <c r="G467" s="8">
        <v>1</v>
      </c>
      <c r="H467" s="8">
        <v>1</v>
      </c>
      <c r="I467" s="8">
        <v>1</v>
      </c>
      <c r="J467" s="8">
        <v>1</v>
      </c>
      <c r="K467" s="9" t="s">
        <v>30</v>
      </c>
      <c r="L467" s="47" t="s">
        <v>231</v>
      </c>
      <c r="M467" s="17">
        <f t="shared" si="248"/>
        <v>0.24879899999999999</v>
      </c>
      <c r="N467" s="18">
        <f t="shared" si="249"/>
        <v>2.1280000000000001</v>
      </c>
      <c r="O467" s="19">
        <f>IF(E467="HERRAJE",IFERROR(_xlfn.XLOOKUP(D467,'⚙️ Configuración Costos'!$A$11:$A$20,'⚙️ Configuración Costos'!$B$11:$B$20),""),IFERROR(_xlfn.XLOOKUP(E467,'⚙️ Configuración Costos'!$A$5:$A$6,'⚙️ Configuración Costos'!$B$5:$B$6),""))</f>
        <v>332.85245901639348</v>
      </c>
      <c r="P467" s="19">
        <f t="shared" si="250"/>
        <v>82.813358950819676</v>
      </c>
      <c r="Q467" s="19">
        <f>IF(E467="HERRAJE",0,IFERROR(_xlfn.XLOOKUP(E467,'⚙️ Configuración Costos'!$E$5:$E$6,'⚙️ Configuración Costos'!$F$5:$F$6),""))</f>
        <v>9.5</v>
      </c>
      <c r="R467" s="19">
        <f t="shared" si="251"/>
        <v>20.216000000000001</v>
      </c>
      <c r="S467" s="37">
        <f t="shared" si="252"/>
        <v>103.02935895081967</v>
      </c>
      <c r="T467" s="94" t="str">
        <f t="shared" si="253"/>
        <v>OK</v>
      </c>
      <c r="U467" s="95" t="str">
        <f t="shared" si="254"/>
        <v/>
      </c>
      <c r="V467" s="96">
        <f t="shared" si="255"/>
        <v>0</v>
      </c>
    </row>
    <row r="468" spans="1:22" x14ac:dyDescent="0.2">
      <c r="A468" s="35">
        <v>4</v>
      </c>
      <c r="B468" s="6">
        <v>0</v>
      </c>
      <c r="C468" s="6">
        <v>0</v>
      </c>
      <c r="D468" s="7" t="s">
        <v>90</v>
      </c>
      <c r="E468" s="7" t="s">
        <v>91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9" t="s">
        <v>30</v>
      </c>
      <c r="L468" s="47" t="s">
        <v>92</v>
      </c>
      <c r="M468" s="17">
        <f t="shared" si="248"/>
        <v>0</v>
      </c>
      <c r="N468" s="18">
        <f t="shared" si="249"/>
        <v>0</v>
      </c>
      <c r="O468" s="19">
        <f>IF(E468="HERRAJE",IFERROR(_xlfn.XLOOKUP(D468,'⚙️ Configuración Costos'!$A$11:$A$20,'⚙️ Configuración Costos'!$B$11:$B$20),""),IFERROR(_xlfn.XLOOKUP(E468,'⚙️ Configuración Costos'!$A$5:$A$6,'⚙️ Configuración Costos'!$B$5:$B$6),""))</f>
        <v>20</v>
      </c>
      <c r="P468" s="19">
        <f t="shared" si="250"/>
        <v>80</v>
      </c>
      <c r="Q468" s="19">
        <f>IF(E468="HERRAJE",0,IFERROR(_xlfn.XLOOKUP(E468,'⚙️ Configuración Costos'!$E$5:$E$6,'⚙️ Configuración Costos'!$F$5:$F$6),""))</f>
        <v>0</v>
      </c>
      <c r="R468" s="19">
        <f t="shared" si="251"/>
        <v>0</v>
      </c>
      <c r="S468" s="37">
        <f t="shared" si="252"/>
        <v>80</v>
      </c>
      <c r="T468" s="94" t="str">
        <f t="shared" si="253"/>
        <v>OK</v>
      </c>
      <c r="U468" s="95" t="str">
        <f t="shared" si="254"/>
        <v/>
      </c>
      <c r="V468" s="96">
        <f t="shared" si="255"/>
        <v>0</v>
      </c>
    </row>
    <row r="469" spans="1:22" x14ac:dyDescent="0.2">
      <c r="A469" s="35">
        <v>2</v>
      </c>
      <c r="B469" s="6">
        <v>0</v>
      </c>
      <c r="C469" s="6">
        <v>0</v>
      </c>
      <c r="D469" s="7" t="s">
        <v>93</v>
      </c>
      <c r="E469" s="7" t="s">
        <v>91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9" t="s">
        <v>30</v>
      </c>
      <c r="L469" s="47" t="s">
        <v>94</v>
      </c>
      <c r="M469" s="17">
        <f t="shared" si="248"/>
        <v>0</v>
      </c>
      <c r="N469" s="18">
        <f t="shared" si="249"/>
        <v>0</v>
      </c>
      <c r="O469" s="19">
        <f>IF(E469="HERRAJE",IFERROR(_xlfn.XLOOKUP(D469,'⚙️ Configuración Costos'!$A$11:$A$20,'⚙️ Configuración Costos'!$B$11:$B$20),""),IFERROR(_xlfn.XLOOKUP(E469,'⚙️ Configuración Costos'!$A$5:$A$6,'⚙️ Configuración Costos'!$B$5:$B$6),""))</f>
        <v>15</v>
      </c>
      <c r="P469" s="19">
        <f t="shared" si="250"/>
        <v>30</v>
      </c>
      <c r="Q469" s="19">
        <f>IF(E469="HERRAJE",0,IFERROR(_xlfn.XLOOKUP(E469,'⚙️ Configuración Costos'!$E$5:$E$6,'⚙️ Configuración Costos'!$F$5:$F$6),""))</f>
        <v>0</v>
      </c>
      <c r="R469" s="19">
        <f t="shared" si="251"/>
        <v>0</v>
      </c>
      <c r="S469" s="37">
        <f t="shared" si="252"/>
        <v>30</v>
      </c>
      <c r="T469" s="94" t="str">
        <f t="shared" si="253"/>
        <v>OK</v>
      </c>
      <c r="U469" s="95" t="str">
        <f t="shared" si="254"/>
        <v/>
      </c>
      <c r="V469" s="96">
        <f t="shared" si="255"/>
        <v>0</v>
      </c>
    </row>
    <row r="470" spans="1:22" x14ac:dyDescent="0.2">
      <c r="A470" s="35">
        <v>4</v>
      </c>
      <c r="B470" s="6">
        <v>0</v>
      </c>
      <c r="C470" s="6">
        <v>0</v>
      </c>
      <c r="D470" s="7" t="s">
        <v>186</v>
      </c>
      <c r="E470" s="7" t="s">
        <v>91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9" t="s">
        <v>30</v>
      </c>
      <c r="L470" s="47" t="s">
        <v>187</v>
      </c>
      <c r="M470" s="17">
        <f t="shared" si="248"/>
        <v>0</v>
      </c>
      <c r="N470" s="18">
        <f t="shared" si="249"/>
        <v>0</v>
      </c>
      <c r="O470" s="19">
        <f>IF(E470="HERRAJE",IFERROR(_xlfn.XLOOKUP(D470,'⚙️ Configuración Costos'!$A$11:$A$20,'⚙️ Configuración Costos'!$B$11:$B$20),""),IFERROR(_xlfn.XLOOKUP(E470,'⚙️ Configuración Costos'!$A$5:$A$6,'⚙️ Configuración Costos'!$B$5:$B$6),""))</f>
        <v>15</v>
      </c>
      <c r="P470" s="19">
        <f t="shared" si="250"/>
        <v>60</v>
      </c>
      <c r="Q470" s="19">
        <f>IF(E470="HERRAJE",0,IFERROR(_xlfn.XLOOKUP(E470,'⚙️ Configuración Costos'!$E$5:$E$6,'⚙️ Configuración Costos'!$F$5:$F$6),""))</f>
        <v>0</v>
      </c>
      <c r="R470" s="19">
        <f t="shared" si="251"/>
        <v>0</v>
      </c>
      <c r="S470" s="37">
        <f t="shared" si="252"/>
        <v>60</v>
      </c>
      <c r="T470" s="94" t="str">
        <f t="shared" si="253"/>
        <v>OK</v>
      </c>
      <c r="U470" s="95" t="str">
        <f t="shared" si="254"/>
        <v/>
      </c>
      <c r="V470" s="96">
        <f t="shared" si="255"/>
        <v>0</v>
      </c>
    </row>
    <row r="471" spans="1:22" x14ac:dyDescent="0.2">
      <c r="A471" s="36">
        <f>4*(IF(LEFT(D461,4)="Base",A461,0)+IF(LEFT(D461,4)="Piso",A461,0)+IF(LEFT(D461,5)="Techo",A461,0)+IF(LEFT(D462,4)="Base",A462,0)+IF(LEFT(D462,4)="Piso",A462,0)+IF(LEFT(D462,5)="Techo",A462,0)+IF(LEFT(D463,4)="Base",A463,0)+IF(LEFT(D463,4)="Piso",A463,0)+IF(LEFT(D463,5)="Techo",A463,0)+IF(LEFT(D464,4)="Base",A464,0)+IF(LEFT(D464,4)="Piso",A464,0)+IF(LEFT(D464,5)="Techo",A464,0)+IF(LEFT(D465,4)="Base",A465,0)+IF(LEFT(D465,4)="Piso",A465,0)+IF(LEFT(D465,5)="Techo",A465,0)+IF(LEFT(D466,4)="Base",A466,0)+IF(LEFT(D466,4)="Piso",A466,0)+IF(LEFT(D466,5)="Techo",A466,0)+IF(LEFT(D467,4)="Base",A467,0)+IF(LEFT(D467,4)="Piso",A467,0)+IF(LEFT(D467,5)="Techo",A467,0))+10*(IF(LEFT(D461,8)="Respaldo",A461,0)+IF(LEFT(D462,8)="Respaldo",A462,0)+IF(LEFT(D463,8)="Respaldo",A463,0)+IF(LEFT(D464,8)="Respaldo",A464,0)+IF(LEFT(D465,8)="Respaldo",A465,0)+IF(LEFT(D466,8)="Respaldo",A466,0)+IF(LEFT(D467,8)="Respaldo",A467,0))+2*(IF(LEFT(D461,8)="Manguete",A461,0)+IF(LEFT(D462,8)="Manguete",A462,0)+IF(LEFT(D463,8)="Manguete",A463,0)+IF(LEFT(D464,8)="Manguete",A464,0)+IF(LEFT(D465,8)="Manguete",A465,0)+IF(LEFT(D466,8)="Manguete",A466,0)+IF(LEFT(D467,8)="Manguete",A467,0))</f>
        <v>12</v>
      </c>
      <c r="B471" s="20">
        <v>0</v>
      </c>
      <c r="C471" s="20">
        <v>0</v>
      </c>
      <c r="D471" s="21" t="s">
        <v>400</v>
      </c>
      <c r="E471" s="21" t="s">
        <v>91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9" t="s">
        <v>30</v>
      </c>
      <c r="L471" s="48" t="s">
        <v>360</v>
      </c>
      <c r="M471" s="17">
        <f t="shared" si="248"/>
        <v>0</v>
      </c>
      <c r="N471" s="18">
        <f t="shared" si="249"/>
        <v>0</v>
      </c>
      <c r="O471" s="19">
        <f>IF(E471="HERRAJE",IFERROR(_xlfn.XLOOKUP(D471,'⚙️ Configuración Costos'!$A$11:$A$20,'⚙️ Configuración Costos'!$B$11:$B$20),""),IFERROR(_xlfn.XLOOKUP(E471,'⚙️ Configuración Costos'!$A$5:$A$6,'⚙️ Configuración Costos'!$B$5:$B$6),""))</f>
        <v>3</v>
      </c>
      <c r="P471" s="19">
        <f t="shared" si="250"/>
        <v>36</v>
      </c>
      <c r="Q471" s="19">
        <f>IF(E471="HERRAJE",0,IFERROR(_xlfn.XLOOKUP(E471,'⚙️ Configuración Costos'!$E$5:$E$6,'⚙️ Configuración Costos'!$F$5:$F$6),""))</f>
        <v>0</v>
      </c>
      <c r="R471" s="19">
        <f t="shared" si="251"/>
        <v>0</v>
      </c>
      <c r="S471" s="37">
        <f t="shared" si="252"/>
        <v>36</v>
      </c>
      <c r="T471" s="94" t="str">
        <f t="shared" si="253"/>
        <v>OK</v>
      </c>
      <c r="U471" s="95" t="str">
        <f t="shared" si="254"/>
        <v/>
      </c>
      <c r="V471" s="96">
        <f t="shared" si="255"/>
        <v>0</v>
      </c>
    </row>
    <row r="472" spans="1:22" ht="16" thickBot="1" x14ac:dyDescent="0.25">
      <c r="A472" s="36">
        <f>6*(IF(LEFT(D461,4)="Base",A461,0)+IF(LEFT(D461,4)="Piso",A461,0)+IF(LEFT(D461,5)="Techo",A461,0)+IF(LEFT(D462,4)="Base",A462,0)+IF(LEFT(D462,4)="Piso",A462,0)+IF(LEFT(D462,5)="Techo",A462,0)+IF(LEFT(D463,4)="Base",A463,0)+IF(LEFT(D463,4)="Piso",A463,0)+IF(LEFT(D463,5)="Techo",A463,0)+IF(LEFT(D464,4)="Base",A464,0)+IF(LEFT(D464,4)="Piso",A464,0)+IF(LEFT(D464,5)="Techo",A464,0)+IF(LEFT(D465,4)="Base",A465,0)+IF(LEFT(D465,4)="Piso",A465,0)+IF(LEFT(D465,5)="Techo",A465,0)+IF(LEFT(D466,4)="Base",A466,0)+IF(LEFT(D466,4)="Piso",A466,0)+IF(LEFT(D466,5)="Techo",A466,0)+IF(LEFT(D467,4)="Base",A467,0)+IF(LEFT(D467,4)="Piso",A467,0)+IF(LEFT(D467,5)="Techo",A467,0))+10*(IF(LEFT(D461,8)="Respaldo",A461,0)+IF(LEFT(D462,8)="Respaldo",A462,0)+IF(LEFT(D463,8)="Respaldo",A463,0)+IF(LEFT(D464,8)="Respaldo",A464,0)+IF(LEFT(D465,8)="Respaldo",A465,0)+IF(LEFT(D466,8)="Respaldo",A466,0)+IF(LEFT(D467,8)="Respaldo",A467,0))+4*(IF(LEFT(D461,8)="Manguete",A461,0)+IF(LEFT(D462,8)="Manguete",A462,0)+IF(LEFT(D463,8)="Manguete",A463,0)+IF(LEFT(D464,8)="Manguete",A464,0)+IF(LEFT(D465,8)="Manguete",A465,0)+IF(LEFT(D466,8)="Manguete",A466,0)+IF(LEFT(D467,8)="Manguete",A467,0))</f>
        <v>22</v>
      </c>
      <c r="B472" s="20">
        <v>0</v>
      </c>
      <c r="C472" s="20">
        <v>0</v>
      </c>
      <c r="D472" s="21" t="s">
        <v>468</v>
      </c>
      <c r="E472" s="21" t="s">
        <v>91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9" t="s">
        <v>30</v>
      </c>
      <c r="L472" s="48" t="s">
        <v>361</v>
      </c>
      <c r="M472" s="17">
        <f t="shared" si="248"/>
        <v>0</v>
      </c>
      <c r="N472" s="18">
        <f t="shared" si="249"/>
        <v>0</v>
      </c>
      <c r="O472" s="19">
        <f>IF(E472="HERRAJE",IFERROR(_xlfn.XLOOKUP(D472,'⚙️ Configuración Costos'!$A$11:$A$20,'⚙️ Configuración Costos'!$B$11:$B$20),""),IFERROR(_xlfn.XLOOKUP(E472,'⚙️ Configuración Costos'!$A$5:$A$6,'⚙️ Configuración Costos'!$B$5:$B$6),""))</f>
        <v>1</v>
      </c>
      <c r="P472" s="19">
        <f t="shared" si="250"/>
        <v>22</v>
      </c>
      <c r="Q472" s="19">
        <f>IF(E472="HERRAJE",0,IFERROR(_xlfn.XLOOKUP(E472,'⚙️ Configuración Costos'!$E$5:$E$6,'⚙️ Configuración Costos'!$F$5:$F$6),""))</f>
        <v>0</v>
      </c>
      <c r="R472" s="19">
        <f t="shared" si="251"/>
        <v>0</v>
      </c>
      <c r="S472" s="37">
        <f t="shared" si="252"/>
        <v>22</v>
      </c>
      <c r="T472" s="94" t="str">
        <f t="shared" si="253"/>
        <v>OK</v>
      </c>
      <c r="U472" s="95" t="str">
        <f t="shared" si="254"/>
        <v/>
      </c>
      <c r="V472" s="96">
        <f t="shared" si="255"/>
        <v>0</v>
      </c>
    </row>
    <row r="473" spans="1:22" ht="16" thickTop="1" x14ac:dyDescent="0.2">
      <c r="A473" s="27" t="s">
        <v>99</v>
      </c>
      <c r="B473" s="27"/>
      <c r="C473" s="27"/>
      <c r="D473" s="28"/>
      <c r="E473" s="28"/>
      <c r="F473" s="29"/>
      <c r="G473" s="29"/>
      <c r="H473" s="29"/>
      <c r="I473" s="29"/>
      <c r="J473" s="29"/>
      <c r="K473" s="30"/>
      <c r="L473" s="49"/>
      <c r="M473" s="31">
        <f>SUM(M461:M472)</f>
        <v>2.041938</v>
      </c>
      <c r="N473" s="32">
        <f>SUM(N461:N472)</f>
        <v>16.146000000000001</v>
      </c>
      <c r="O473" s="33"/>
      <c r="P473" s="33">
        <f>SUM(P461:P472)</f>
        <v>907.66408445901641</v>
      </c>
      <c r="Q473" s="33"/>
      <c r="R473" s="33">
        <f>SUM(R461:R472)</f>
        <v>153.387</v>
      </c>
      <c r="S473" s="33">
        <f>SUM(S461:S472)</f>
        <v>1061.0510844590165</v>
      </c>
      <c r="T473" s="97"/>
      <c r="U473" s="98"/>
      <c r="V473" s="99"/>
    </row>
    <row r="474" spans="1:22" x14ac:dyDescent="0.2">
      <c r="A474" s="186" t="s">
        <v>292</v>
      </c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8"/>
      <c r="T474" s="97"/>
      <c r="U474" s="98"/>
      <c r="V474" s="99"/>
    </row>
    <row r="475" spans="1:22" x14ac:dyDescent="0.2">
      <c r="A475" s="35">
        <v>1</v>
      </c>
      <c r="B475" s="6">
        <v>720</v>
      </c>
      <c r="C475" s="6">
        <v>580</v>
      </c>
      <c r="D475" s="7" t="s">
        <v>63</v>
      </c>
      <c r="E475" s="7" t="s">
        <v>85</v>
      </c>
      <c r="F475" s="8">
        <v>1</v>
      </c>
      <c r="G475" s="8">
        <v>1</v>
      </c>
      <c r="H475" s="8">
        <v>1</v>
      </c>
      <c r="I475" s="8">
        <v>1</v>
      </c>
      <c r="J475" s="8">
        <v>1</v>
      </c>
      <c r="K475" s="9" t="s">
        <v>31</v>
      </c>
      <c r="L475" s="47" t="s">
        <v>365</v>
      </c>
      <c r="M475" s="17">
        <f t="shared" ref="M475:M486" si="256">IF(AND(ISNUMBER(B475),ISNUMBER(C475),B475&gt;0,C475&gt;0),A475*(B475*C475/1000000),0)</f>
        <v>0.41760000000000003</v>
      </c>
      <c r="N475" s="18">
        <f t="shared" ref="N475:N486" si="257">IF(AND(ISNUMBER(B475),B475&gt;0),A475*(((G475+H475)*B475+(I475+J475)*C475)/1000),0)</f>
        <v>2.6</v>
      </c>
      <c r="O475" s="19">
        <f>IF(E475="HERRAJE",IFERROR(_xlfn.XLOOKUP(D475,'⚙️ Configuración Costos'!$A$11:$A$20,'⚙️ Configuración Costos'!$B$11:$B$20),""),IFERROR(_xlfn.XLOOKUP(E475,'⚙️ Configuración Costos'!$A$5:$A$6,'⚙️ Configuración Costos'!$B$5:$B$6),""))</f>
        <v>332.85245901639348</v>
      </c>
      <c r="P475" s="19">
        <f t="shared" ref="P475:P486" si="258">IF(E475="HERRAJE",A475*O475,M475*O475)</f>
        <v>138.99918688524593</v>
      </c>
      <c r="Q475" s="19">
        <f>IF(E475="HERRAJE",0,IFERROR(_xlfn.XLOOKUP(E475,'⚙️ Configuración Costos'!$E$5:$E$6,'⚙️ Configuración Costos'!$F$5:$F$6),""))</f>
        <v>9.5</v>
      </c>
      <c r="R475" s="19">
        <f t="shared" ref="R475:R486" si="259">N475*Q475</f>
        <v>24.7</v>
      </c>
      <c r="S475" s="37">
        <f t="shared" ref="S475:S486" si="260">P475+R475</f>
        <v>163.69918688524592</v>
      </c>
      <c r="T475" s="94" t="str">
        <f t="shared" ref="T475:T486" si="261">IF(K475="","SIN ID MÓDULO",IF(E475="HERRAJE",IF(OR(O475="",O475&lt;=0),"SIN PRECIO HERRAJE","OK"),IF(OR(O475="",O475&lt;=0),"SIN PRECIO MATERIAL",IF(AND(N475&gt;0,OR(Q475="",Q475&lt;=0)),"SIN PRECIO CINTILLA","OK"))))</f>
        <v>OK</v>
      </c>
      <c r="U475" s="95" t="str">
        <f t="shared" ref="U475:U486" si="262">IF(T475="OK","",IF(T475="SIN PRECIO HERRAJE","Capturar precio: "&amp;D475,IF(T475="SIN PRECIO MATERIAL","Configurar material: "&amp;E475,IF(T475="SIN PRECIO CINTILLA","Configurar cintilla: "&amp;E475,IF(T475="SIN ID MÓDULO","Revisar ID del módulo","")))))</f>
        <v/>
      </c>
      <c r="V475" s="96">
        <f t="shared" ref="V475:V486" si="263">IF(T475="OK",0,IF(T475="",0,1))</f>
        <v>0</v>
      </c>
    </row>
    <row r="476" spans="1:22" x14ac:dyDescent="0.2">
      <c r="A476" s="35">
        <v>1</v>
      </c>
      <c r="B476" s="6">
        <v>720</v>
      </c>
      <c r="C476" s="6">
        <v>580</v>
      </c>
      <c r="D476" s="7" t="s">
        <v>66</v>
      </c>
      <c r="E476" s="7" t="s">
        <v>85</v>
      </c>
      <c r="F476" s="8">
        <v>1</v>
      </c>
      <c r="G476" s="8">
        <v>1</v>
      </c>
      <c r="H476" s="8">
        <v>1</v>
      </c>
      <c r="I476" s="8">
        <v>1</v>
      </c>
      <c r="J476" s="8">
        <v>1</v>
      </c>
      <c r="K476" s="9" t="s">
        <v>31</v>
      </c>
      <c r="L476" s="47" t="s">
        <v>366</v>
      </c>
      <c r="M476" s="17">
        <f t="shared" si="256"/>
        <v>0.41760000000000003</v>
      </c>
      <c r="N476" s="18">
        <f t="shared" si="257"/>
        <v>2.6</v>
      </c>
      <c r="O476" s="19">
        <f>IF(E476="HERRAJE",IFERROR(_xlfn.XLOOKUP(D476,'⚙️ Configuración Costos'!$A$11:$A$20,'⚙️ Configuración Costos'!$B$11:$B$20),""),IFERROR(_xlfn.XLOOKUP(E476,'⚙️ Configuración Costos'!$A$5:$A$6,'⚙️ Configuración Costos'!$B$5:$B$6),""))</f>
        <v>332.85245901639348</v>
      </c>
      <c r="P476" s="19">
        <f t="shared" si="258"/>
        <v>138.99918688524593</v>
      </c>
      <c r="Q476" s="19">
        <f>IF(E476="HERRAJE",0,IFERROR(_xlfn.XLOOKUP(E476,'⚙️ Configuración Costos'!$E$5:$E$6,'⚙️ Configuración Costos'!$F$5:$F$6),""))</f>
        <v>9.5</v>
      </c>
      <c r="R476" s="19">
        <f t="shared" si="259"/>
        <v>24.7</v>
      </c>
      <c r="S476" s="37">
        <f t="shared" si="260"/>
        <v>163.69918688524592</v>
      </c>
      <c r="T476" s="94" t="str">
        <f t="shared" si="261"/>
        <v>OK</v>
      </c>
      <c r="U476" s="95" t="str">
        <f t="shared" si="262"/>
        <v/>
      </c>
      <c r="V476" s="96">
        <f t="shared" si="263"/>
        <v>0</v>
      </c>
    </row>
    <row r="477" spans="1:22" x14ac:dyDescent="0.2">
      <c r="A477" s="34">
        <v>1</v>
      </c>
      <c r="B477" s="13">
        <v>769</v>
      </c>
      <c r="C477" s="13">
        <v>580</v>
      </c>
      <c r="D477" s="14" t="s">
        <v>171</v>
      </c>
      <c r="E477" s="14" t="s">
        <v>85</v>
      </c>
      <c r="F477" s="15">
        <v>1</v>
      </c>
      <c r="G477" s="15">
        <v>1</v>
      </c>
      <c r="H477" s="15">
        <v>1</v>
      </c>
      <c r="I477" s="15">
        <v>0</v>
      </c>
      <c r="J477" s="15">
        <v>0</v>
      </c>
      <c r="K477" s="9" t="s">
        <v>31</v>
      </c>
      <c r="L477" s="46" t="s">
        <v>289</v>
      </c>
      <c r="M477" s="17">
        <f t="shared" si="256"/>
        <v>0.44602000000000003</v>
      </c>
      <c r="N477" s="18">
        <f t="shared" si="257"/>
        <v>1.538</v>
      </c>
      <c r="O477" s="19">
        <f>IF(E477="HERRAJE",IFERROR(_xlfn.XLOOKUP(D477,'⚙️ Configuración Costos'!$A$11:$A$20,'⚙️ Configuración Costos'!$B$11:$B$20),""),IFERROR(_xlfn.XLOOKUP(E477,'⚙️ Configuración Costos'!$A$5:$A$6,'⚙️ Configuración Costos'!$B$5:$B$6),""))</f>
        <v>332.85245901639348</v>
      </c>
      <c r="P477" s="19">
        <f t="shared" si="258"/>
        <v>148.45885377049183</v>
      </c>
      <c r="Q477" s="19">
        <f>IF(E477="HERRAJE",0,IFERROR(_xlfn.XLOOKUP(E477,'⚙️ Configuración Costos'!$E$5:$E$6,'⚙️ Configuración Costos'!$F$5:$F$6),""))</f>
        <v>9.5</v>
      </c>
      <c r="R477" s="19">
        <f t="shared" si="259"/>
        <v>14.611000000000001</v>
      </c>
      <c r="S477" s="37">
        <f t="shared" si="260"/>
        <v>163.06985377049182</v>
      </c>
      <c r="T477" s="94" t="str">
        <f t="shared" si="261"/>
        <v>OK</v>
      </c>
      <c r="U477" s="95" t="str">
        <f t="shared" si="262"/>
        <v/>
      </c>
      <c r="V477" s="96">
        <f t="shared" si="263"/>
        <v>0</v>
      </c>
    </row>
    <row r="478" spans="1:22" x14ac:dyDescent="0.2">
      <c r="A478" s="35">
        <v>2</v>
      </c>
      <c r="B478" s="6">
        <v>769</v>
      </c>
      <c r="C478" s="6">
        <v>120</v>
      </c>
      <c r="D478" s="7" t="s">
        <v>194</v>
      </c>
      <c r="E478" s="7" t="s">
        <v>85</v>
      </c>
      <c r="F478" s="8">
        <v>1</v>
      </c>
      <c r="G478" s="8">
        <v>1</v>
      </c>
      <c r="H478" s="8">
        <v>1</v>
      </c>
      <c r="I478" s="8">
        <v>0</v>
      </c>
      <c r="J478" s="8">
        <v>0</v>
      </c>
      <c r="K478" s="9" t="s">
        <v>31</v>
      </c>
      <c r="L478" s="47" t="s">
        <v>290</v>
      </c>
      <c r="M478" s="17">
        <f t="shared" si="256"/>
        <v>0.18456</v>
      </c>
      <c r="N478" s="18">
        <f t="shared" si="257"/>
        <v>3.0760000000000001</v>
      </c>
      <c r="O478" s="19">
        <f>IF(E478="HERRAJE",IFERROR(_xlfn.XLOOKUP(D478,'⚙️ Configuración Costos'!$A$11:$A$20,'⚙️ Configuración Costos'!$B$11:$B$20),""),IFERROR(_xlfn.XLOOKUP(E478,'⚙️ Configuración Costos'!$A$5:$A$6,'⚙️ Configuración Costos'!$B$5:$B$6),""))</f>
        <v>332.85245901639348</v>
      </c>
      <c r="P478" s="19">
        <f t="shared" si="258"/>
        <v>61.431249836065582</v>
      </c>
      <c r="Q478" s="19">
        <f>IF(E478="HERRAJE",0,IFERROR(_xlfn.XLOOKUP(E478,'⚙️ Configuración Costos'!$E$5:$E$6,'⚙️ Configuración Costos'!$F$5:$F$6),""))</f>
        <v>9.5</v>
      </c>
      <c r="R478" s="19">
        <f t="shared" si="259"/>
        <v>29.222000000000001</v>
      </c>
      <c r="S478" s="37">
        <f t="shared" si="260"/>
        <v>90.653249836065584</v>
      </c>
      <c r="T478" s="94" t="str">
        <f t="shared" si="261"/>
        <v>OK</v>
      </c>
      <c r="U478" s="95" t="str">
        <f t="shared" si="262"/>
        <v/>
      </c>
      <c r="V478" s="96">
        <f t="shared" si="263"/>
        <v>0</v>
      </c>
    </row>
    <row r="479" spans="1:22" x14ac:dyDescent="0.2">
      <c r="A479" s="35">
        <v>2</v>
      </c>
      <c r="B479" s="6">
        <v>769</v>
      </c>
      <c r="C479" s="6">
        <v>120</v>
      </c>
      <c r="D479" s="7" t="s">
        <v>240</v>
      </c>
      <c r="E479" s="7" t="s">
        <v>85</v>
      </c>
      <c r="F479" s="8">
        <v>1</v>
      </c>
      <c r="G479" s="8">
        <v>1</v>
      </c>
      <c r="H479" s="8">
        <v>1</v>
      </c>
      <c r="I479" s="8">
        <v>0</v>
      </c>
      <c r="J479" s="8">
        <v>0</v>
      </c>
      <c r="K479" s="9" t="s">
        <v>31</v>
      </c>
      <c r="L479" s="47" t="s">
        <v>291</v>
      </c>
      <c r="M479" s="17">
        <f t="shared" si="256"/>
        <v>0.18456</v>
      </c>
      <c r="N479" s="18">
        <f t="shared" si="257"/>
        <v>3.0760000000000001</v>
      </c>
      <c r="O479" s="19">
        <f>IF(E479="HERRAJE",IFERROR(_xlfn.XLOOKUP(D479,'⚙️ Configuración Costos'!$A$11:$A$20,'⚙️ Configuración Costos'!$B$11:$B$20),""),IFERROR(_xlfn.XLOOKUP(E479,'⚙️ Configuración Costos'!$A$5:$A$6,'⚙️ Configuración Costos'!$B$5:$B$6),""))</f>
        <v>332.85245901639348</v>
      </c>
      <c r="P479" s="19">
        <f t="shared" si="258"/>
        <v>61.431249836065582</v>
      </c>
      <c r="Q479" s="19">
        <f>IF(E479="HERRAJE",0,IFERROR(_xlfn.XLOOKUP(E479,'⚙️ Configuración Costos'!$E$5:$E$6,'⚙️ Configuración Costos'!$F$5:$F$6),""))</f>
        <v>9.5</v>
      </c>
      <c r="R479" s="19">
        <f t="shared" si="259"/>
        <v>29.222000000000001</v>
      </c>
      <c r="S479" s="37">
        <f t="shared" si="260"/>
        <v>90.653249836065584</v>
      </c>
      <c r="T479" s="94" t="str">
        <f t="shared" si="261"/>
        <v>OK</v>
      </c>
      <c r="U479" s="95" t="str">
        <f t="shared" si="262"/>
        <v/>
      </c>
      <c r="V479" s="96">
        <f t="shared" si="263"/>
        <v>0</v>
      </c>
    </row>
    <row r="480" spans="1:22" x14ac:dyDescent="0.2">
      <c r="A480" s="35">
        <v>1</v>
      </c>
      <c r="B480" s="6">
        <v>717</v>
      </c>
      <c r="C480" s="6">
        <v>397</v>
      </c>
      <c r="D480" s="7" t="s">
        <v>480</v>
      </c>
      <c r="E480" s="7" t="s">
        <v>85</v>
      </c>
      <c r="F480" s="8">
        <v>1</v>
      </c>
      <c r="G480" s="8">
        <v>1</v>
      </c>
      <c r="H480" s="8">
        <v>1</v>
      </c>
      <c r="I480" s="8">
        <v>1</v>
      </c>
      <c r="J480" s="8">
        <v>1</v>
      </c>
      <c r="K480" s="9" t="s">
        <v>31</v>
      </c>
      <c r="L480" s="47" t="s">
        <v>230</v>
      </c>
      <c r="M480" s="17">
        <f t="shared" si="256"/>
        <v>0.28464899999999999</v>
      </c>
      <c r="N480" s="18">
        <f t="shared" si="257"/>
        <v>2.2280000000000002</v>
      </c>
      <c r="O480" s="19">
        <f>IF(E480="HERRAJE",IFERROR(_xlfn.XLOOKUP(D480,'⚙️ Configuración Costos'!$A$11:$A$20,'⚙️ Configuración Costos'!$B$11:$B$20),""),IFERROR(_xlfn.XLOOKUP(E480,'⚙️ Configuración Costos'!$A$5:$A$6,'⚙️ Configuración Costos'!$B$5:$B$6),""))</f>
        <v>332.85245901639348</v>
      </c>
      <c r="P480" s="19">
        <f t="shared" si="258"/>
        <v>94.746119606557386</v>
      </c>
      <c r="Q480" s="19">
        <f>IF(E480="HERRAJE",0,IFERROR(_xlfn.XLOOKUP(E480,'⚙️ Configuración Costos'!$E$5:$E$6,'⚙️ Configuración Costos'!$F$5:$F$6),""))</f>
        <v>9.5</v>
      </c>
      <c r="R480" s="19">
        <f t="shared" si="259"/>
        <v>21.166</v>
      </c>
      <c r="S480" s="37">
        <f t="shared" si="260"/>
        <v>115.91211960655738</v>
      </c>
      <c r="T480" s="94" t="str">
        <f t="shared" si="261"/>
        <v>OK</v>
      </c>
      <c r="U480" s="95" t="str">
        <f t="shared" si="262"/>
        <v/>
      </c>
      <c r="V480" s="96">
        <f t="shared" si="263"/>
        <v>0</v>
      </c>
    </row>
    <row r="481" spans="1:22" x14ac:dyDescent="0.2">
      <c r="A481" s="35">
        <v>1</v>
      </c>
      <c r="B481" s="6">
        <v>717</v>
      </c>
      <c r="C481" s="6">
        <v>397</v>
      </c>
      <c r="D481" s="7" t="s">
        <v>483</v>
      </c>
      <c r="E481" s="7" t="s">
        <v>85</v>
      </c>
      <c r="F481" s="8">
        <v>1</v>
      </c>
      <c r="G481" s="8">
        <v>1</v>
      </c>
      <c r="H481" s="8">
        <v>1</v>
      </c>
      <c r="I481" s="8">
        <v>1</v>
      </c>
      <c r="J481" s="8">
        <v>1</v>
      </c>
      <c r="K481" s="9" t="s">
        <v>31</v>
      </c>
      <c r="L481" s="47" t="s">
        <v>231</v>
      </c>
      <c r="M481" s="17">
        <f t="shared" si="256"/>
        <v>0.28464899999999999</v>
      </c>
      <c r="N481" s="18">
        <f t="shared" si="257"/>
        <v>2.2280000000000002</v>
      </c>
      <c r="O481" s="19">
        <f>IF(E481="HERRAJE",IFERROR(_xlfn.XLOOKUP(D481,'⚙️ Configuración Costos'!$A$11:$A$20,'⚙️ Configuración Costos'!$B$11:$B$20),""),IFERROR(_xlfn.XLOOKUP(E481,'⚙️ Configuración Costos'!$A$5:$A$6,'⚙️ Configuración Costos'!$B$5:$B$6),""))</f>
        <v>332.85245901639348</v>
      </c>
      <c r="P481" s="19">
        <f t="shared" si="258"/>
        <v>94.746119606557386</v>
      </c>
      <c r="Q481" s="19">
        <f>IF(E481="HERRAJE",0,IFERROR(_xlfn.XLOOKUP(E481,'⚙️ Configuración Costos'!$E$5:$E$6,'⚙️ Configuración Costos'!$F$5:$F$6),""))</f>
        <v>9.5</v>
      </c>
      <c r="R481" s="19">
        <f t="shared" si="259"/>
        <v>21.166</v>
      </c>
      <c r="S481" s="37">
        <f t="shared" si="260"/>
        <v>115.91211960655738</v>
      </c>
      <c r="T481" s="94" t="str">
        <f t="shared" si="261"/>
        <v>OK</v>
      </c>
      <c r="U481" s="95" t="str">
        <f t="shared" si="262"/>
        <v/>
      </c>
      <c r="V481" s="96">
        <f t="shared" si="263"/>
        <v>0</v>
      </c>
    </row>
    <row r="482" spans="1:22" x14ac:dyDescent="0.2">
      <c r="A482" s="35">
        <v>4</v>
      </c>
      <c r="B482" s="6">
        <v>0</v>
      </c>
      <c r="C482" s="6">
        <v>0</v>
      </c>
      <c r="D482" s="7" t="s">
        <v>90</v>
      </c>
      <c r="E482" s="7" t="s">
        <v>91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9" t="s">
        <v>31</v>
      </c>
      <c r="L482" s="47" t="s">
        <v>92</v>
      </c>
      <c r="M482" s="17">
        <f t="shared" si="256"/>
        <v>0</v>
      </c>
      <c r="N482" s="18">
        <f t="shared" si="257"/>
        <v>0</v>
      </c>
      <c r="O482" s="19">
        <f>IF(E482="HERRAJE",IFERROR(_xlfn.XLOOKUP(D482,'⚙️ Configuración Costos'!$A$11:$A$20,'⚙️ Configuración Costos'!$B$11:$B$20),""),IFERROR(_xlfn.XLOOKUP(E482,'⚙️ Configuración Costos'!$A$5:$A$6,'⚙️ Configuración Costos'!$B$5:$B$6),""))</f>
        <v>20</v>
      </c>
      <c r="P482" s="19">
        <f t="shared" si="258"/>
        <v>80</v>
      </c>
      <c r="Q482" s="19">
        <f>IF(E482="HERRAJE",0,IFERROR(_xlfn.XLOOKUP(E482,'⚙️ Configuración Costos'!$E$5:$E$6,'⚙️ Configuración Costos'!$F$5:$F$6),""))</f>
        <v>0</v>
      </c>
      <c r="R482" s="19">
        <f t="shared" si="259"/>
        <v>0</v>
      </c>
      <c r="S482" s="37">
        <f t="shared" si="260"/>
        <v>80</v>
      </c>
      <c r="T482" s="94" t="str">
        <f t="shared" si="261"/>
        <v>OK</v>
      </c>
      <c r="U482" s="95" t="str">
        <f t="shared" si="262"/>
        <v/>
      </c>
      <c r="V482" s="96">
        <f t="shared" si="263"/>
        <v>0</v>
      </c>
    </row>
    <row r="483" spans="1:22" x14ac:dyDescent="0.2">
      <c r="A483" s="35">
        <v>2</v>
      </c>
      <c r="B483" s="6">
        <v>0</v>
      </c>
      <c r="C483" s="6">
        <v>0</v>
      </c>
      <c r="D483" s="7" t="s">
        <v>93</v>
      </c>
      <c r="E483" s="7" t="s">
        <v>91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9" t="s">
        <v>31</v>
      </c>
      <c r="L483" s="47" t="s">
        <v>94</v>
      </c>
      <c r="M483" s="17">
        <f t="shared" si="256"/>
        <v>0</v>
      </c>
      <c r="N483" s="18">
        <f t="shared" si="257"/>
        <v>0</v>
      </c>
      <c r="O483" s="19">
        <f>IF(E483="HERRAJE",IFERROR(_xlfn.XLOOKUP(D483,'⚙️ Configuración Costos'!$A$11:$A$20,'⚙️ Configuración Costos'!$B$11:$B$20),""),IFERROR(_xlfn.XLOOKUP(E483,'⚙️ Configuración Costos'!$A$5:$A$6,'⚙️ Configuración Costos'!$B$5:$B$6),""))</f>
        <v>15</v>
      </c>
      <c r="P483" s="19">
        <f t="shared" si="258"/>
        <v>30</v>
      </c>
      <c r="Q483" s="19">
        <f>IF(E483="HERRAJE",0,IFERROR(_xlfn.XLOOKUP(E483,'⚙️ Configuración Costos'!$E$5:$E$6,'⚙️ Configuración Costos'!$F$5:$F$6),""))</f>
        <v>0</v>
      </c>
      <c r="R483" s="19">
        <f t="shared" si="259"/>
        <v>0</v>
      </c>
      <c r="S483" s="37">
        <f t="shared" si="260"/>
        <v>30</v>
      </c>
      <c r="T483" s="94" t="str">
        <f t="shared" si="261"/>
        <v>OK</v>
      </c>
      <c r="U483" s="95" t="str">
        <f t="shared" si="262"/>
        <v/>
      </c>
      <c r="V483" s="96">
        <f t="shared" si="263"/>
        <v>0</v>
      </c>
    </row>
    <row r="484" spans="1:22" x14ac:dyDescent="0.2">
      <c r="A484" s="35">
        <v>4</v>
      </c>
      <c r="B484" s="6">
        <v>0</v>
      </c>
      <c r="C484" s="6">
        <v>0</v>
      </c>
      <c r="D484" s="7" t="s">
        <v>186</v>
      </c>
      <c r="E484" s="7" t="s">
        <v>91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9" t="s">
        <v>31</v>
      </c>
      <c r="L484" s="47" t="s">
        <v>187</v>
      </c>
      <c r="M484" s="17">
        <f t="shared" si="256"/>
        <v>0</v>
      </c>
      <c r="N484" s="18">
        <f t="shared" si="257"/>
        <v>0</v>
      </c>
      <c r="O484" s="19">
        <f>IF(E484="HERRAJE",IFERROR(_xlfn.XLOOKUP(D484,'⚙️ Configuración Costos'!$A$11:$A$20,'⚙️ Configuración Costos'!$B$11:$B$20),""),IFERROR(_xlfn.XLOOKUP(E484,'⚙️ Configuración Costos'!$A$5:$A$6,'⚙️ Configuración Costos'!$B$5:$B$6),""))</f>
        <v>15</v>
      </c>
      <c r="P484" s="19">
        <f t="shared" si="258"/>
        <v>60</v>
      </c>
      <c r="Q484" s="19">
        <f>IF(E484="HERRAJE",0,IFERROR(_xlfn.XLOOKUP(E484,'⚙️ Configuración Costos'!$E$5:$E$6,'⚙️ Configuración Costos'!$F$5:$F$6),""))</f>
        <v>0</v>
      </c>
      <c r="R484" s="19">
        <f t="shared" si="259"/>
        <v>0</v>
      </c>
      <c r="S484" s="37">
        <f t="shared" si="260"/>
        <v>60</v>
      </c>
      <c r="T484" s="94" t="str">
        <f t="shared" si="261"/>
        <v>OK</v>
      </c>
      <c r="U484" s="95" t="str">
        <f t="shared" si="262"/>
        <v/>
      </c>
      <c r="V484" s="96">
        <f t="shared" si="263"/>
        <v>0</v>
      </c>
    </row>
    <row r="485" spans="1:22" x14ac:dyDescent="0.2">
      <c r="A485" s="36">
        <f>4*(IF(LEFT(D475,4)="Base",A475,0)+IF(LEFT(D475,4)="Piso",A475,0)+IF(LEFT(D475,5)="Techo",A475,0)+IF(LEFT(D476,4)="Base",A476,0)+IF(LEFT(D476,4)="Piso",A476,0)+IF(LEFT(D476,5)="Techo",A476,0)+IF(LEFT(D477,4)="Base",A477,0)+IF(LEFT(D477,4)="Piso",A477,0)+IF(LEFT(D477,5)="Techo",A477,0)+IF(LEFT(D478,4)="Base",A478,0)+IF(LEFT(D478,4)="Piso",A478,0)+IF(LEFT(D478,5)="Techo",A478,0)+IF(LEFT(D479,4)="Base",A479,0)+IF(LEFT(D479,4)="Piso",A479,0)+IF(LEFT(D479,5)="Techo",A479,0)+IF(LEFT(D480,4)="Base",A480,0)+IF(LEFT(D480,4)="Piso",A480,0)+IF(LEFT(D480,5)="Techo",A480,0)+IF(LEFT(D481,4)="Base",A481,0)+IF(LEFT(D481,4)="Piso",A481,0)+IF(LEFT(D481,5)="Techo",A481,0))+10*(IF(LEFT(D475,8)="Respaldo",A475,0)+IF(LEFT(D476,8)="Respaldo",A476,0)+IF(LEFT(D477,8)="Respaldo",A477,0)+IF(LEFT(D478,8)="Respaldo",A478,0)+IF(LEFT(D479,8)="Respaldo",A479,0)+IF(LEFT(D480,8)="Respaldo",A480,0)+IF(LEFT(D481,8)="Respaldo",A481,0))+2*(IF(LEFT(D475,8)="Manguete",A475,0)+IF(LEFT(D476,8)="Manguete",A476,0)+IF(LEFT(D477,8)="Manguete",A477,0)+IF(LEFT(D478,8)="Manguete",A478,0)+IF(LEFT(D479,8)="Manguete",A479,0)+IF(LEFT(D480,8)="Manguete",A480,0)+IF(LEFT(D481,8)="Manguete",A481,0))</f>
        <v>12</v>
      </c>
      <c r="B485" s="20">
        <v>0</v>
      </c>
      <c r="C485" s="20">
        <v>0</v>
      </c>
      <c r="D485" s="21" t="s">
        <v>400</v>
      </c>
      <c r="E485" s="21" t="s">
        <v>91</v>
      </c>
      <c r="F485" s="22">
        <v>0</v>
      </c>
      <c r="G485" s="22">
        <v>0</v>
      </c>
      <c r="H485" s="22">
        <v>0</v>
      </c>
      <c r="I485" s="22">
        <v>0</v>
      </c>
      <c r="J485" s="22">
        <v>0</v>
      </c>
      <c r="K485" s="9" t="s">
        <v>31</v>
      </c>
      <c r="L485" s="48" t="s">
        <v>360</v>
      </c>
      <c r="M485" s="17">
        <f t="shared" si="256"/>
        <v>0</v>
      </c>
      <c r="N485" s="18">
        <f t="shared" si="257"/>
        <v>0</v>
      </c>
      <c r="O485" s="19">
        <f>IF(E485="HERRAJE",IFERROR(_xlfn.XLOOKUP(D485,'⚙️ Configuración Costos'!$A$11:$A$20,'⚙️ Configuración Costos'!$B$11:$B$20),""),IFERROR(_xlfn.XLOOKUP(E485,'⚙️ Configuración Costos'!$A$5:$A$6,'⚙️ Configuración Costos'!$B$5:$B$6),""))</f>
        <v>3</v>
      </c>
      <c r="P485" s="19">
        <f t="shared" si="258"/>
        <v>36</v>
      </c>
      <c r="Q485" s="19">
        <f>IF(E485="HERRAJE",0,IFERROR(_xlfn.XLOOKUP(E485,'⚙️ Configuración Costos'!$E$5:$E$6,'⚙️ Configuración Costos'!$F$5:$F$6),""))</f>
        <v>0</v>
      </c>
      <c r="R485" s="19">
        <f t="shared" si="259"/>
        <v>0</v>
      </c>
      <c r="S485" s="37">
        <f t="shared" si="260"/>
        <v>36</v>
      </c>
      <c r="T485" s="94" t="str">
        <f t="shared" si="261"/>
        <v>OK</v>
      </c>
      <c r="U485" s="95" t="str">
        <f t="shared" si="262"/>
        <v/>
      </c>
      <c r="V485" s="96">
        <f t="shared" si="263"/>
        <v>0</v>
      </c>
    </row>
    <row r="486" spans="1:22" ht="16" thickBot="1" x14ac:dyDescent="0.25">
      <c r="A486" s="36">
        <f>6*(IF(LEFT(D475,4)="Base",A475,0)+IF(LEFT(D475,4)="Piso",A475,0)+IF(LEFT(D475,5)="Techo",A475,0)+IF(LEFT(D476,4)="Base",A476,0)+IF(LEFT(D476,4)="Piso",A476,0)+IF(LEFT(D476,5)="Techo",A476,0)+IF(LEFT(D477,4)="Base",A477,0)+IF(LEFT(D477,4)="Piso",A477,0)+IF(LEFT(D477,5)="Techo",A477,0)+IF(LEFT(D478,4)="Base",A478,0)+IF(LEFT(D478,4)="Piso",A478,0)+IF(LEFT(D478,5)="Techo",A478,0)+IF(LEFT(D479,4)="Base",A479,0)+IF(LEFT(D479,4)="Piso",A479,0)+IF(LEFT(D479,5)="Techo",A479,0)+IF(LEFT(D480,4)="Base",A480,0)+IF(LEFT(D480,4)="Piso",A480,0)+IF(LEFT(D480,5)="Techo",A480,0)+IF(LEFT(D481,4)="Base",A481,0)+IF(LEFT(D481,4)="Piso",A481,0)+IF(LEFT(D481,5)="Techo",A481,0))+10*(IF(LEFT(D475,8)="Respaldo",A475,0)+IF(LEFT(D476,8)="Respaldo",A476,0)+IF(LEFT(D477,8)="Respaldo",A477,0)+IF(LEFT(D478,8)="Respaldo",A478,0)+IF(LEFT(D479,8)="Respaldo",A479,0)+IF(LEFT(D480,8)="Respaldo",A480,0)+IF(LEFT(D481,8)="Respaldo",A481,0))+4*(IF(LEFT(D475,8)="Manguete",A475,0)+IF(LEFT(D476,8)="Manguete",A476,0)+IF(LEFT(D477,8)="Manguete",A477,0)+IF(LEFT(D478,8)="Manguete",A478,0)+IF(LEFT(D479,8)="Manguete",A479,0)+IF(LEFT(D480,8)="Manguete",A480,0)+IF(LEFT(D481,8)="Manguete",A481,0))</f>
        <v>22</v>
      </c>
      <c r="B486" s="20">
        <v>0</v>
      </c>
      <c r="C486" s="20">
        <v>0</v>
      </c>
      <c r="D486" s="21" t="s">
        <v>468</v>
      </c>
      <c r="E486" s="21" t="s">
        <v>91</v>
      </c>
      <c r="F486" s="22">
        <v>0</v>
      </c>
      <c r="G486" s="22">
        <v>0</v>
      </c>
      <c r="H486" s="22">
        <v>0</v>
      </c>
      <c r="I486" s="22">
        <v>0</v>
      </c>
      <c r="J486" s="22">
        <v>0</v>
      </c>
      <c r="K486" s="9" t="s">
        <v>31</v>
      </c>
      <c r="L486" s="48" t="s">
        <v>361</v>
      </c>
      <c r="M486" s="17">
        <f t="shared" si="256"/>
        <v>0</v>
      </c>
      <c r="N486" s="18">
        <f t="shared" si="257"/>
        <v>0</v>
      </c>
      <c r="O486" s="19">
        <f>IF(E486="HERRAJE",IFERROR(_xlfn.XLOOKUP(D486,'⚙️ Configuración Costos'!$A$11:$A$20,'⚙️ Configuración Costos'!$B$11:$B$20),""),IFERROR(_xlfn.XLOOKUP(E486,'⚙️ Configuración Costos'!$A$5:$A$6,'⚙️ Configuración Costos'!$B$5:$B$6),""))</f>
        <v>1</v>
      </c>
      <c r="P486" s="19">
        <f t="shared" si="258"/>
        <v>22</v>
      </c>
      <c r="Q486" s="19">
        <f>IF(E486="HERRAJE",0,IFERROR(_xlfn.XLOOKUP(E486,'⚙️ Configuración Costos'!$E$5:$E$6,'⚙️ Configuración Costos'!$F$5:$F$6),""))</f>
        <v>0</v>
      </c>
      <c r="R486" s="19">
        <f t="shared" si="259"/>
        <v>0</v>
      </c>
      <c r="S486" s="37">
        <f t="shared" si="260"/>
        <v>22</v>
      </c>
      <c r="T486" s="94" t="str">
        <f t="shared" si="261"/>
        <v>OK</v>
      </c>
      <c r="U486" s="95" t="str">
        <f t="shared" si="262"/>
        <v/>
      </c>
      <c r="V486" s="96">
        <f t="shared" si="263"/>
        <v>0</v>
      </c>
    </row>
    <row r="487" spans="1:22" ht="16" thickTop="1" x14ac:dyDescent="0.2">
      <c r="A487" s="27" t="s">
        <v>99</v>
      </c>
      <c r="B487" s="27"/>
      <c r="C487" s="27"/>
      <c r="D487" s="28"/>
      <c r="E487" s="28"/>
      <c r="F487" s="29"/>
      <c r="G487" s="29"/>
      <c r="H487" s="29"/>
      <c r="I487" s="29"/>
      <c r="J487" s="29"/>
      <c r="K487" s="30"/>
      <c r="L487" s="49"/>
      <c r="M487" s="31">
        <f>SUM(M475:M486)</f>
        <v>2.2196380000000002</v>
      </c>
      <c r="N487" s="32">
        <f>SUM(N475:N486)</f>
        <v>17.346</v>
      </c>
      <c r="O487" s="33"/>
      <c r="P487" s="33">
        <f>SUM(P475:P486)</f>
        <v>966.81196642622967</v>
      </c>
      <c r="Q487" s="33"/>
      <c r="R487" s="33">
        <f>SUM(R475:R486)</f>
        <v>164.78700000000001</v>
      </c>
      <c r="S487" s="33">
        <f>SUM(S475:S486)</f>
        <v>1131.5989664262295</v>
      </c>
      <c r="T487" s="97"/>
      <c r="U487" s="98"/>
      <c r="V487" s="99"/>
    </row>
    <row r="488" spans="1:22" x14ac:dyDescent="0.2">
      <c r="A488" s="186" t="s">
        <v>293</v>
      </c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8"/>
      <c r="T488" s="97"/>
      <c r="U488" s="98"/>
      <c r="V488" s="99"/>
    </row>
    <row r="489" spans="1:22" x14ac:dyDescent="0.2">
      <c r="A489" s="35">
        <v>1</v>
      </c>
      <c r="B489" s="6">
        <v>720</v>
      </c>
      <c r="C489" s="6">
        <v>580</v>
      </c>
      <c r="D489" s="7" t="s">
        <v>63</v>
      </c>
      <c r="E489" s="7" t="s">
        <v>85</v>
      </c>
      <c r="F489" s="8">
        <v>1</v>
      </c>
      <c r="G489" s="8">
        <v>1</v>
      </c>
      <c r="H489" s="8">
        <v>1</v>
      </c>
      <c r="I489" s="8">
        <v>1</v>
      </c>
      <c r="J489" s="8">
        <v>1</v>
      </c>
      <c r="K489" s="9" t="s">
        <v>32</v>
      </c>
      <c r="L489" s="47" t="s">
        <v>365</v>
      </c>
      <c r="M489" s="17">
        <f t="shared" ref="M489:M500" si="264">IF(AND(ISNUMBER(B489),ISNUMBER(C489),B489&gt;0,C489&gt;0),A489*(B489*C489/1000000),0)</f>
        <v>0.41760000000000003</v>
      </c>
      <c r="N489" s="18">
        <f t="shared" ref="N489:N500" si="265">IF(AND(ISNUMBER(B489),B489&gt;0),A489*(((G489+H489)*B489+(I489+J489)*C489)/1000),0)</f>
        <v>2.6</v>
      </c>
      <c r="O489" s="19">
        <f>IF(E489="HERRAJE",IFERROR(_xlfn.XLOOKUP(D489,'⚙️ Configuración Costos'!$A$11:$A$20,'⚙️ Configuración Costos'!$B$11:$B$20),""),IFERROR(_xlfn.XLOOKUP(E489,'⚙️ Configuración Costos'!$A$5:$A$6,'⚙️ Configuración Costos'!$B$5:$B$6),""))</f>
        <v>332.85245901639348</v>
      </c>
      <c r="P489" s="19">
        <f t="shared" ref="P489:P500" si="266">IF(E489="HERRAJE",A489*O489,M489*O489)</f>
        <v>138.99918688524593</v>
      </c>
      <c r="Q489" s="19">
        <f>IF(E489="HERRAJE",0,IFERROR(_xlfn.XLOOKUP(E489,'⚙️ Configuración Costos'!$E$5:$E$6,'⚙️ Configuración Costos'!$F$5:$F$6),""))</f>
        <v>9.5</v>
      </c>
      <c r="R489" s="19">
        <f t="shared" ref="R489:R500" si="267">N489*Q489</f>
        <v>24.7</v>
      </c>
      <c r="S489" s="37">
        <f t="shared" ref="S489:S500" si="268">P489+R489</f>
        <v>163.69918688524592</v>
      </c>
      <c r="T489" s="94" t="str">
        <f t="shared" ref="T489:T500" si="269">IF(K489="","SIN ID MÓDULO",IF(E489="HERRAJE",IF(OR(O489="",O489&lt;=0),"SIN PRECIO HERRAJE","OK"),IF(OR(O489="",O489&lt;=0),"SIN PRECIO MATERIAL",IF(AND(N489&gt;0,OR(Q489="",Q489&lt;=0)),"SIN PRECIO CINTILLA","OK"))))</f>
        <v>OK</v>
      </c>
      <c r="U489" s="95" t="str">
        <f t="shared" ref="U489:U500" si="270">IF(T489="OK","",IF(T489="SIN PRECIO HERRAJE","Capturar precio: "&amp;D489,IF(T489="SIN PRECIO MATERIAL","Configurar material: "&amp;E489,IF(T489="SIN PRECIO CINTILLA","Configurar cintilla: "&amp;E489,IF(T489="SIN ID MÓDULO","Revisar ID del módulo","")))))</f>
        <v/>
      </c>
      <c r="V489" s="96">
        <f t="shared" ref="V489:V500" si="271">IF(T489="OK",0,IF(T489="",0,1))</f>
        <v>0</v>
      </c>
    </row>
    <row r="490" spans="1:22" x14ac:dyDescent="0.2">
      <c r="A490" s="35">
        <v>1</v>
      </c>
      <c r="B490" s="6">
        <v>720</v>
      </c>
      <c r="C490" s="6">
        <v>580</v>
      </c>
      <c r="D490" s="7" t="s">
        <v>66</v>
      </c>
      <c r="E490" s="7" t="s">
        <v>85</v>
      </c>
      <c r="F490" s="8">
        <v>1</v>
      </c>
      <c r="G490" s="8">
        <v>1</v>
      </c>
      <c r="H490" s="8">
        <v>1</v>
      </c>
      <c r="I490" s="8">
        <v>1</v>
      </c>
      <c r="J490" s="8">
        <v>1</v>
      </c>
      <c r="K490" s="9" t="s">
        <v>32</v>
      </c>
      <c r="L490" s="47" t="s">
        <v>366</v>
      </c>
      <c r="M490" s="17">
        <f t="shared" si="264"/>
        <v>0.41760000000000003</v>
      </c>
      <c r="N490" s="18">
        <f t="shared" si="265"/>
        <v>2.6</v>
      </c>
      <c r="O490" s="19">
        <f>IF(E490="HERRAJE",IFERROR(_xlfn.XLOOKUP(D490,'⚙️ Configuración Costos'!$A$11:$A$20,'⚙️ Configuración Costos'!$B$11:$B$20),""),IFERROR(_xlfn.XLOOKUP(E490,'⚙️ Configuración Costos'!$A$5:$A$6,'⚙️ Configuración Costos'!$B$5:$B$6),""))</f>
        <v>332.85245901639348</v>
      </c>
      <c r="P490" s="19">
        <f t="shared" si="266"/>
        <v>138.99918688524593</v>
      </c>
      <c r="Q490" s="19">
        <f>IF(E490="HERRAJE",0,IFERROR(_xlfn.XLOOKUP(E490,'⚙️ Configuración Costos'!$E$5:$E$6,'⚙️ Configuración Costos'!$F$5:$F$6),""))</f>
        <v>9.5</v>
      </c>
      <c r="R490" s="19">
        <f t="shared" si="267"/>
        <v>24.7</v>
      </c>
      <c r="S490" s="37">
        <f t="shared" si="268"/>
        <v>163.69918688524592</v>
      </c>
      <c r="T490" s="94" t="str">
        <f t="shared" si="269"/>
        <v>OK</v>
      </c>
      <c r="U490" s="95" t="str">
        <f t="shared" si="270"/>
        <v/>
      </c>
      <c r="V490" s="96">
        <f t="shared" si="271"/>
        <v>0</v>
      </c>
    </row>
    <row r="491" spans="1:22" x14ac:dyDescent="0.2">
      <c r="A491" s="34">
        <v>1</v>
      </c>
      <c r="B491" s="13">
        <v>869</v>
      </c>
      <c r="C491" s="13">
        <v>580</v>
      </c>
      <c r="D491" s="14" t="s">
        <v>171</v>
      </c>
      <c r="E491" s="14" t="s">
        <v>85</v>
      </c>
      <c r="F491" s="15">
        <v>1</v>
      </c>
      <c r="G491" s="15">
        <v>1</v>
      </c>
      <c r="H491" s="15">
        <v>1</v>
      </c>
      <c r="I491" s="15">
        <v>0</v>
      </c>
      <c r="J491" s="15">
        <v>0</v>
      </c>
      <c r="K491" s="9" t="s">
        <v>32</v>
      </c>
      <c r="L491" s="46" t="s">
        <v>234</v>
      </c>
      <c r="M491" s="17">
        <f t="shared" si="264"/>
        <v>0.50402000000000002</v>
      </c>
      <c r="N491" s="18">
        <f t="shared" si="265"/>
        <v>1.738</v>
      </c>
      <c r="O491" s="19">
        <f>IF(E491="HERRAJE",IFERROR(_xlfn.XLOOKUP(D491,'⚙️ Configuración Costos'!$A$11:$A$20,'⚙️ Configuración Costos'!$B$11:$B$20),""),IFERROR(_xlfn.XLOOKUP(E491,'⚙️ Configuración Costos'!$A$5:$A$6,'⚙️ Configuración Costos'!$B$5:$B$6),""))</f>
        <v>332.85245901639348</v>
      </c>
      <c r="P491" s="19">
        <f t="shared" si="266"/>
        <v>167.76429639344266</v>
      </c>
      <c r="Q491" s="19">
        <f>IF(E491="HERRAJE",0,IFERROR(_xlfn.XLOOKUP(E491,'⚙️ Configuración Costos'!$E$5:$E$6,'⚙️ Configuración Costos'!$F$5:$F$6),""))</f>
        <v>9.5</v>
      </c>
      <c r="R491" s="19">
        <f t="shared" si="267"/>
        <v>16.510999999999999</v>
      </c>
      <c r="S491" s="37">
        <f t="shared" si="268"/>
        <v>184.27529639344266</v>
      </c>
      <c r="T491" s="94" t="str">
        <f t="shared" si="269"/>
        <v>OK</v>
      </c>
      <c r="U491" s="95" t="str">
        <f t="shared" si="270"/>
        <v/>
      </c>
      <c r="V491" s="96">
        <f t="shared" si="271"/>
        <v>0</v>
      </c>
    </row>
    <row r="492" spans="1:22" x14ac:dyDescent="0.2">
      <c r="A492" s="35">
        <v>2</v>
      </c>
      <c r="B492" s="6">
        <v>869</v>
      </c>
      <c r="C492" s="6">
        <v>120</v>
      </c>
      <c r="D492" s="7" t="s">
        <v>240</v>
      </c>
      <c r="E492" s="7" t="s">
        <v>85</v>
      </c>
      <c r="F492" s="8">
        <v>1</v>
      </c>
      <c r="G492" s="8">
        <v>1</v>
      </c>
      <c r="H492" s="8">
        <v>1</v>
      </c>
      <c r="I492" s="8">
        <v>0</v>
      </c>
      <c r="J492" s="8">
        <v>0</v>
      </c>
      <c r="K492" s="9" t="s">
        <v>32</v>
      </c>
      <c r="L492" s="47" t="s">
        <v>294</v>
      </c>
      <c r="M492" s="17">
        <f t="shared" si="264"/>
        <v>0.20856</v>
      </c>
      <c r="N492" s="18">
        <f t="shared" si="265"/>
        <v>3.476</v>
      </c>
      <c r="O492" s="19">
        <f>IF(E492="HERRAJE",IFERROR(_xlfn.XLOOKUP(D492,'⚙️ Configuración Costos'!$A$11:$A$20,'⚙️ Configuración Costos'!$B$11:$B$20),""),IFERROR(_xlfn.XLOOKUP(E492,'⚙️ Configuración Costos'!$A$5:$A$6,'⚙️ Configuración Costos'!$B$5:$B$6),""))</f>
        <v>332.85245901639348</v>
      </c>
      <c r="P492" s="19">
        <f t="shared" si="266"/>
        <v>69.419708852459024</v>
      </c>
      <c r="Q492" s="19">
        <f>IF(E492="HERRAJE",0,IFERROR(_xlfn.XLOOKUP(E492,'⚙️ Configuración Costos'!$E$5:$E$6,'⚙️ Configuración Costos'!$F$5:$F$6),""))</f>
        <v>9.5</v>
      </c>
      <c r="R492" s="19">
        <f t="shared" si="267"/>
        <v>33.021999999999998</v>
      </c>
      <c r="S492" s="37">
        <f t="shared" si="268"/>
        <v>102.44170885245902</v>
      </c>
      <c r="T492" s="94" t="str">
        <f t="shared" si="269"/>
        <v>OK</v>
      </c>
      <c r="U492" s="95" t="str">
        <f t="shared" si="270"/>
        <v/>
      </c>
      <c r="V492" s="96">
        <f t="shared" si="271"/>
        <v>0</v>
      </c>
    </row>
    <row r="493" spans="1:22" x14ac:dyDescent="0.2">
      <c r="A493" s="35">
        <v>2</v>
      </c>
      <c r="B493" s="6">
        <v>869</v>
      </c>
      <c r="C493" s="6">
        <v>120</v>
      </c>
      <c r="D493" s="7" t="s">
        <v>194</v>
      </c>
      <c r="E493" s="7" t="s">
        <v>85</v>
      </c>
      <c r="F493" s="8">
        <v>1</v>
      </c>
      <c r="G493" s="8">
        <v>1</v>
      </c>
      <c r="H493" s="8">
        <v>1</v>
      </c>
      <c r="I493" s="8">
        <v>0</v>
      </c>
      <c r="J493" s="8">
        <v>0</v>
      </c>
      <c r="K493" s="9" t="s">
        <v>32</v>
      </c>
      <c r="L493" s="47" t="s">
        <v>235</v>
      </c>
      <c r="M493" s="17">
        <f t="shared" si="264"/>
        <v>0.20856</v>
      </c>
      <c r="N493" s="18">
        <f t="shared" si="265"/>
        <v>3.476</v>
      </c>
      <c r="O493" s="19">
        <f>IF(E493="HERRAJE",IFERROR(_xlfn.XLOOKUP(D493,'⚙️ Configuración Costos'!$A$11:$A$20,'⚙️ Configuración Costos'!$B$11:$B$20),""),IFERROR(_xlfn.XLOOKUP(E493,'⚙️ Configuración Costos'!$A$5:$A$6,'⚙️ Configuración Costos'!$B$5:$B$6),""))</f>
        <v>332.85245901639348</v>
      </c>
      <c r="P493" s="19">
        <f t="shared" si="266"/>
        <v>69.419708852459024</v>
      </c>
      <c r="Q493" s="19">
        <f>IF(E493="HERRAJE",0,IFERROR(_xlfn.XLOOKUP(E493,'⚙️ Configuración Costos'!$E$5:$E$6,'⚙️ Configuración Costos'!$F$5:$F$6),""))</f>
        <v>9.5</v>
      </c>
      <c r="R493" s="19">
        <f t="shared" si="267"/>
        <v>33.021999999999998</v>
      </c>
      <c r="S493" s="37">
        <f t="shared" si="268"/>
        <v>102.44170885245902</v>
      </c>
      <c r="T493" s="94" t="str">
        <f t="shared" si="269"/>
        <v>OK</v>
      </c>
      <c r="U493" s="95" t="str">
        <f t="shared" si="270"/>
        <v/>
      </c>
      <c r="V493" s="96">
        <f t="shared" si="271"/>
        <v>0</v>
      </c>
    </row>
    <row r="494" spans="1:22" x14ac:dyDescent="0.2">
      <c r="A494" s="35">
        <v>1</v>
      </c>
      <c r="B494" s="6">
        <v>717</v>
      </c>
      <c r="C494" s="6">
        <v>447</v>
      </c>
      <c r="D494" s="7" t="s">
        <v>480</v>
      </c>
      <c r="E494" s="7" t="s">
        <v>85</v>
      </c>
      <c r="F494" s="8">
        <v>1</v>
      </c>
      <c r="G494" s="8">
        <v>1</v>
      </c>
      <c r="H494" s="8">
        <v>1</v>
      </c>
      <c r="I494" s="8">
        <v>1</v>
      </c>
      <c r="J494" s="8">
        <v>1</v>
      </c>
      <c r="K494" s="9" t="s">
        <v>32</v>
      </c>
      <c r="L494" s="47" t="s">
        <v>237</v>
      </c>
      <c r="M494" s="17">
        <f t="shared" si="264"/>
        <v>0.32049899999999998</v>
      </c>
      <c r="N494" s="18">
        <f t="shared" si="265"/>
        <v>2.3279999999999998</v>
      </c>
      <c r="O494" s="19">
        <f>IF(E494="HERRAJE",IFERROR(_xlfn.XLOOKUP(D494,'⚙️ Configuración Costos'!$A$11:$A$20,'⚙️ Configuración Costos'!$B$11:$B$20),""),IFERROR(_xlfn.XLOOKUP(E494,'⚙️ Configuración Costos'!$A$5:$A$6,'⚙️ Configuración Costos'!$B$5:$B$6),""))</f>
        <v>332.85245901639348</v>
      </c>
      <c r="P494" s="19">
        <f t="shared" si="266"/>
        <v>106.67888026229508</v>
      </c>
      <c r="Q494" s="19">
        <f>IF(E494="HERRAJE",0,IFERROR(_xlfn.XLOOKUP(E494,'⚙️ Configuración Costos'!$E$5:$E$6,'⚙️ Configuración Costos'!$F$5:$F$6),""))</f>
        <v>9.5</v>
      </c>
      <c r="R494" s="19">
        <f t="shared" si="267"/>
        <v>22.116</v>
      </c>
      <c r="S494" s="37">
        <f t="shared" si="268"/>
        <v>128.79488026229507</v>
      </c>
      <c r="T494" s="94" t="str">
        <f t="shared" si="269"/>
        <v>OK</v>
      </c>
      <c r="U494" s="95" t="str">
        <f t="shared" si="270"/>
        <v/>
      </c>
      <c r="V494" s="96">
        <f t="shared" si="271"/>
        <v>0</v>
      </c>
    </row>
    <row r="495" spans="1:22" x14ac:dyDescent="0.2">
      <c r="A495" s="35">
        <v>1</v>
      </c>
      <c r="B495" s="6">
        <v>717</v>
      </c>
      <c r="C495" s="6">
        <v>447</v>
      </c>
      <c r="D495" s="7" t="s">
        <v>483</v>
      </c>
      <c r="E495" s="7" t="s">
        <v>85</v>
      </c>
      <c r="F495" s="8">
        <v>1</v>
      </c>
      <c r="G495" s="8">
        <v>1</v>
      </c>
      <c r="H495" s="8">
        <v>1</v>
      </c>
      <c r="I495" s="8">
        <v>1</v>
      </c>
      <c r="J495" s="8">
        <v>1</v>
      </c>
      <c r="K495" s="9" t="s">
        <v>32</v>
      </c>
      <c r="L495" s="47" t="s">
        <v>238</v>
      </c>
      <c r="M495" s="17">
        <f t="shared" si="264"/>
        <v>0.32049899999999998</v>
      </c>
      <c r="N495" s="18">
        <f t="shared" si="265"/>
        <v>2.3279999999999998</v>
      </c>
      <c r="O495" s="19">
        <f>IF(E495="HERRAJE",IFERROR(_xlfn.XLOOKUP(D495,'⚙️ Configuración Costos'!$A$11:$A$20,'⚙️ Configuración Costos'!$B$11:$B$20),""),IFERROR(_xlfn.XLOOKUP(E495,'⚙️ Configuración Costos'!$A$5:$A$6,'⚙️ Configuración Costos'!$B$5:$B$6),""))</f>
        <v>332.85245901639348</v>
      </c>
      <c r="P495" s="19">
        <f t="shared" si="266"/>
        <v>106.67888026229508</v>
      </c>
      <c r="Q495" s="19">
        <f>IF(E495="HERRAJE",0,IFERROR(_xlfn.XLOOKUP(E495,'⚙️ Configuración Costos'!$E$5:$E$6,'⚙️ Configuración Costos'!$F$5:$F$6),""))</f>
        <v>9.5</v>
      </c>
      <c r="R495" s="19">
        <f t="shared" si="267"/>
        <v>22.116</v>
      </c>
      <c r="S495" s="37">
        <f t="shared" si="268"/>
        <v>128.79488026229507</v>
      </c>
      <c r="T495" s="94" t="str">
        <f t="shared" si="269"/>
        <v>OK</v>
      </c>
      <c r="U495" s="95" t="str">
        <f t="shared" si="270"/>
        <v/>
      </c>
      <c r="V495" s="96">
        <f t="shared" si="271"/>
        <v>0</v>
      </c>
    </row>
    <row r="496" spans="1:22" x14ac:dyDescent="0.2">
      <c r="A496" s="35">
        <v>4</v>
      </c>
      <c r="B496" s="6">
        <v>0</v>
      </c>
      <c r="C496" s="6">
        <v>0</v>
      </c>
      <c r="D496" s="7" t="s">
        <v>90</v>
      </c>
      <c r="E496" s="7" t="s">
        <v>91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9" t="s">
        <v>32</v>
      </c>
      <c r="L496" s="47" t="s">
        <v>92</v>
      </c>
      <c r="M496" s="17">
        <f t="shared" si="264"/>
        <v>0</v>
      </c>
      <c r="N496" s="18">
        <f t="shared" si="265"/>
        <v>0</v>
      </c>
      <c r="O496" s="19">
        <f>IF(E496="HERRAJE",IFERROR(_xlfn.XLOOKUP(D496,'⚙️ Configuración Costos'!$A$11:$A$20,'⚙️ Configuración Costos'!$B$11:$B$20),""),IFERROR(_xlfn.XLOOKUP(E496,'⚙️ Configuración Costos'!$A$5:$A$6,'⚙️ Configuración Costos'!$B$5:$B$6),""))</f>
        <v>20</v>
      </c>
      <c r="P496" s="19">
        <f t="shared" si="266"/>
        <v>80</v>
      </c>
      <c r="Q496" s="19">
        <f>IF(E496="HERRAJE",0,IFERROR(_xlfn.XLOOKUP(E496,'⚙️ Configuración Costos'!$E$5:$E$6,'⚙️ Configuración Costos'!$F$5:$F$6),""))</f>
        <v>0</v>
      </c>
      <c r="R496" s="19">
        <f t="shared" si="267"/>
        <v>0</v>
      </c>
      <c r="S496" s="37">
        <f t="shared" si="268"/>
        <v>80</v>
      </c>
      <c r="T496" s="94" t="str">
        <f t="shared" si="269"/>
        <v>OK</v>
      </c>
      <c r="U496" s="95" t="str">
        <f t="shared" si="270"/>
        <v/>
      </c>
      <c r="V496" s="96">
        <f t="shared" si="271"/>
        <v>0</v>
      </c>
    </row>
    <row r="497" spans="1:22" x14ac:dyDescent="0.2">
      <c r="A497" s="35">
        <v>2</v>
      </c>
      <c r="B497" s="6">
        <v>0</v>
      </c>
      <c r="C497" s="6">
        <v>0</v>
      </c>
      <c r="D497" s="7" t="s">
        <v>93</v>
      </c>
      <c r="E497" s="7" t="s">
        <v>91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9" t="s">
        <v>32</v>
      </c>
      <c r="L497" s="47" t="s">
        <v>94</v>
      </c>
      <c r="M497" s="17">
        <f t="shared" si="264"/>
        <v>0</v>
      </c>
      <c r="N497" s="18">
        <f t="shared" si="265"/>
        <v>0</v>
      </c>
      <c r="O497" s="19">
        <f>IF(E497="HERRAJE",IFERROR(_xlfn.XLOOKUP(D497,'⚙️ Configuración Costos'!$A$11:$A$20,'⚙️ Configuración Costos'!$B$11:$B$20),""),IFERROR(_xlfn.XLOOKUP(E497,'⚙️ Configuración Costos'!$A$5:$A$6,'⚙️ Configuración Costos'!$B$5:$B$6),""))</f>
        <v>15</v>
      </c>
      <c r="P497" s="19">
        <f t="shared" si="266"/>
        <v>30</v>
      </c>
      <c r="Q497" s="19">
        <f>IF(E497="HERRAJE",0,IFERROR(_xlfn.XLOOKUP(E497,'⚙️ Configuración Costos'!$E$5:$E$6,'⚙️ Configuración Costos'!$F$5:$F$6),""))</f>
        <v>0</v>
      </c>
      <c r="R497" s="19">
        <f t="shared" si="267"/>
        <v>0</v>
      </c>
      <c r="S497" s="37">
        <f t="shared" si="268"/>
        <v>30</v>
      </c>
      <c r="T497" s="94" t="str">
        <f t="shared" si="269"/>
        <v>OK</v>
      </c>
      <c r="U497" s="95" t="str">
        <f t="shared" si="270"/>
        <v/>
      </c>
      <c r="V497" s="96">
        <f t="shared" si="271"/>
        <v>0</v>
      </c>
    </row>
    <row r="498" spans="1:22" x14ac:dyDescent="0.2">
      <c r="A498" s="35">
        <v>4</v>
      </c>
      <c r="B498" s="6">
        <v>0</v>
      </c>
      <c r="C498" s="6">
        <v>0</v>
      </c>
      <c r="D498" s="7" t="s">
        <v>186</v>
      </c>
      <c r="E498" s="7" t="s">
        <v>91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9" t="s">
        <v>32</v>
      </c>
      <c r="L498" s="47" t="s">
        <v>187</v>
      </c>
      <c r="M498" s="17">
        <f t="shared" si="264"/>
        <v>0</v>
      </c>
      <c r="N498" s="18">
        <f t="shared" si="265"/>
        <v>0</v>
      </c>
      <c r="O498" s="19">
        <f>IF(E498="HERRAJE",IFERROR(_xlfn.XLOOKUP(D498,'⚙️ Configuración Costos'!$A$11:$A$20,'⚙️ Configuración Costos'!$B$11:$B$20),""),IFERROR(_xlfn.XLOOKUP(E498,'⚙️ Configuración Costos'!$A$5:$A$6,'⚙️ Configuración Costos'!$B$5:$B$6),""))</f>
        <v>15</v>
      </c>
      <c r="P498" s="19">
        <f t="shared" si="266"/>
        <v>60</v>
      </c>
      <c r="Q498" s="19">
        <f>IF(E498="HERRAJE",0,IFERROR(_xlfn.XLOOKUP(E498,'⚙️ Configuración Costos'!$E$5:$E$6,'⚙️ Configuración Costos'!$F$5:$F$6),""))</f>
        <v>0</v>
      </c>
      <c r="R498" s="19">
        <f t="shared" si="267"/>
        <v>0</v>
      </c>
      <c r="S498" s="37">
        <f t="shared" si="268"/>
        <v>60</v>
      </c>
      <c r="T498" s="94" t="str">
        <f t="shared" si="269"/>
        <v>OK</v>
      </c>
      <c r="U498" s="95" t="str">
        <f t="shared" si="270"/>
        <v/>
      </c>
      <c r="V498" s="96">
        <f t="shared" si="271"/>
        <v>0</v>
      </c>
    </row>
    <row r="499" spans="1:22" x14ac:dyDescent="0.2">
      <c r="A499" s="36">
        <f>4*(IF(LEFT(D489,4)="Base",A489,0)+IF(LEFT(D489,4)="Piso",A489,0)+IF(LEFT(D489,5)="Techo",A489,0)+IF(LEFT(D490,4)="Base",A490,0)+IF(LEFT(D490,4)="Piso",A490,0)+IF(LEFT(D490,5)="Techo",A490,0)+IF(LEFT(D491,4)="Base",A491,0)+IF(LEFT(D491,4)="Piso",A491,0)+IF(LEFT(D491,5)="Techo",A491,0)+IF(LEFT(D492,4)="Base",A492,0)+IF(LEFT(D492,4)="Piso",A492,0)+IF(LEFT(D492,5)="Techo",A492,0)+IF(LEFT(D493,4)="Base",A493,0)+IF(LEFT(D493,4)="Piso",A493,0)+IF(LEFT(D493,5)="Techo",A493,0)+IF(LEFT(D494,4)="Base",A494,0)+IF(LEFT(D494,4)="Piso",A494,0)+IF(LEFT(D494,5)="Techo",A494,0)+IF(LEFT(D495,4)="Base",A495,0)+IF(LEFT(D495,4)="Piso",A495,0)+IF(LEFT(D495,5)="Techo",A495,0))+10*(IF(LEFT(D489,8)="Respaldo",A489,0)+IF(LEFT(D490,8)="Respaldo",A490,0)+IF(LEFT(D491,8)="Respaldo",A491,0)+IF(LEFT(D492,8)="Respaldo",A492,0)+IF(LEFT(D493,8)="Respaldo",A493,0)+IF(LEFT(D494,8)="Respaldo",A494,0)+IF(LEFT(D495,8)="Respaldo",A495,0))+2*(IF(LEFT(D489,8)="Manguete",A489,0)+IF(LEFT(D490,8)="Manguete",A490,0)+IF(LEFT(D491,8)="Manguete",A491,0)+IF(LEFT(D492,8)="Manguete",A492,0)+IF(LEFT(D493,8)="Manguete",A493,0)+IF(LEFT(D494,8)="Manguete",A494,0)+IF(LEFT(D495,8)="Manguete",A495,0))</f>
        <v>12</v>
      </c>
      <c r="B499" s="20">
        <v>0</v>
      </c>
      <c r="C499" s="20">
        <v>0</v>
      </c>
      <c r="D499" s="21" t="s">
        <v>400</v>
      </c>
      <c r="E499" s="21" t="s">
        <v>91</v>
      </c>
      <c r="F499" s="22">
        <v>0</v>
      </c>
      <c r="G499" s="22">
        <v>0</v>
      </c>
      <c r="H499" s="22">
        <v>0</v>
      </c>
      <c r="I499" s="22">
        <v>0</v>
      </c>
      <c r="J499" s="22">
        <v>0</v>
      </c>
      <c r="K499" s="9" t="s">
        <v>32</v>
      </c>
      <c r="L499" s="48" t="s">
        <v>360</v>
      </c>
      <c r="M499" s="17">
        <f t="shared" si="264"/>
        <v>0</v>
      </c>
      <c r="N499" s="18">
        <f t="shared" si="265"/>
        <v>0</v>
      </c>
      <c r="O499" s="19">
        <f>IF(E499="HERRAJE",IFERROR(_xlfn.XLOOKUP(D499,'⚙️ Configuración Costos'!$A$11:$A$20,'⚙️ Configuración Costos'!$B$11:$B$20),""),IFERROR(_xlfn.XLOOKUP(E499,'⚙️ Configuración Costos'!$A$5:$A$6,'⚙️ Configuración Costos'!$B$5:$B$6),""))</f>
        <v>3</v>
      </c>
      <c r="P499" s="19">
        <f t="shared" si="266"/>
        <v>36</v>
      </c>
      <c r="Q499" s="19">
        <f>IF(E499="HERRAJE",0,IFERROR(_xlfn.XLOOKUP(E499,'⚙️ Configuración Costos'!$E$5:$E$6,'⚙️ Configuración Costos'!$F$5:$F$6),""))</f>
        <v>0</v>
      </c>
      <c r="R499" s="19">
        <f t="shared" si="267"/>
        <v>0</v>
      </c>
      <c r="S499" s="37">
        <f t="shared" si="268"/>
        <v>36</v>
      </c>
      <c r="T499" s="94" t="str">
        <f t="shared" si="269"/>
        <v>OK</v>
      </c>
      <c r="U499" s="95" t="str">
        <f t="shared" si="270"/>
        <v/>
      </c>
      <c r="V499" s="96">
        <f t="shared" si="271"/>
        <v>0</v>
      </c>
    </row>
    <row r="500" spans="1:22" ht="16" thickBot="1" x14ac:dyDescent="0.25">
      <c r="A500" s="36">
        <f>6*(IF(LEFT(D489,4)="Base",A489,0)+IF(LEFT(D489,4)="Piso",A489,0)+IF(LEFT(D489,5)="Techo",A489,0)+IF(LEFT(D490,4)="Base",A490,0)+IF(LEFT(D490,4)="Piso",A490,0)+IF(LEFT(D490,5)="Techo",A490,0)+IF(LEFT(D491,4)="Base",A491,0)+IF(LEFT(D491,4)="Piso",A491,0)+IF(LEFT(D491,5)="Techo",A491,0)+IF(LEFT(D492,4)="Base",A492,0)+IF(LEFT(D492,4)="Piso",A492,0)+IF(LEFT(D492,5)="Techo",A492,0)+IF(LEFT(D493,4)="Base",A493,0)+IF(LEFT(D493,4)="Piso",A493,0)+IF(LEFT(D493,5)="Techo",A493,0)+IF(LEFT(D494,4)="Base",A494,0)+IF(LEFT(D494,4)="Piso",A494,0)+IF(LEFT(D494,5)="Techo",A494,0)+IF(LEFT(D495,4)="Base",A495,0)+IF(LEFT(D495,4)="Piso",A495,0)+IF(LEFT(D495,5)="Techo",A495,0))+10*(IF(LEFT(D489,8)="Respaldo",A489,0)+IF(LEFT(D490,8)="Respaldo",A490,0)+IF(LEFT(D491,8)="Respaldo",A491,0)+IF(LEFT(D492,8)="Respaldo",A492,0)+IF(LEFT(D493,8)="Respaldo",A493,0)+IF(LEFT(D494,8)="Respaldo",A494,0)+IF(LEFT(D495,8)="Respaldo",A495,0))+4*(IF(LEFT(D489,8)="Manguete",A489,0)+IF(LEFT(D490,8)="Manguete",A490,0)+IF(LEFT(D491,8)="Manguete",A491,0)+IF(LEFT(D492,8)="Manguete",A492,0)+IF(LEFT(D493,8)="Manguete",A493,0)+IF(LEFT(D494,8)="Manguete",A494,0)+IF(LEFT(D495,8)="Manguete",A495,0))</f>
        <v>22</v>
      </c>
      <c r="B500" s="20">
        <v>0</v>
      </c>
      <c r="C500" s="20">
        <v>0</v>
      </c>
      <c r="D500" s="21" t="s">
        <v>468</v>
      </c>
      <c r="E500" s="21" t="s">
        <v>91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9" t="s">
        <v>32</v>
      </c>
      <c r="L500" s="48" t="s">
        <v>361</v>
      </c>
      <c r="M500" s="17">
        <f t="shared" si="264"/>
        <v>0</v>
      </c>
      <c r="N500" s="18">
        <f t="shared" si="265"/>
        <v>0</v>
      </c>
      <c r="O500" s="19">
        <f>IF(E500="HERRAJE",IFERROR(_xlfn.XLOOKUP(D500,'⚙️ Configuración Costos'!$A$11:$A$20,'⚙️ Configuración Costos'!$B$11:$B$20),""),IFERROR(_xlfn.XLOOKUP(E500,'⚙️ Configuración Costos'!$A$5:$A$6,'⚙️ Configuración Costos'!$B$5:$B$6),""))</f>
        <v>1</v>
      </c>
      <c r="P500" s="19">
        <f t="shared" si="266"/>
        <v>22</v>
      </c>
      <c r="Q500" s="19">
        <f>IF(E500="HERRAJE",0,IFERROR(_xlfn.XLOOKUP(E500,'⚙️ Configuración Costos'!$E$5:$E$6,'⚙️ Configuración Costos'!$F$5:$F$6),""))</f>
        <v>0</v>
      </c>
      <c r="R500" s="19">
        <f t="shared" si="267"/>
        <v>0</v>
      </c>
      <c r="S500" s="37">
        <f t="shared" si="268"/>
        <v>22</v>
      </c>
      <c r="T500" s="94" t="str">
        <f t="shared" si="269"/>
        <v>OK</v>
      </c>
      <c r="U500" s="95" t="str">
        <f t="shared" si="270"/>
        <v/>
      </c>
      <c r="V500" s="96">
        <f t="shared" si="271"/>
        <v>0</v>
      </c>
    </row>
    <row r="501" spans="1:22" ht="16" thickTop="1" x14ac:dyDescent="0.2">
      <c r="A501" s="27" t="s">
        <v>99</v>
      </c>
      <c r="B501" s="27"/>
      <c r="C501" s="27"/>
      <c r="D501" s="28"/>
      <c r="E501" s="28"/>
      <c r="F501" s="29"/>
      <c r="G501" s="29"/>
      <c r="H501" s="29"/>
      <c r="I501" s="29"/>
      <c r="J501" s="29"/>
      <c r="K501" s="30"/>
      <c r="L501" s="49"/>
      <c r="M501" s="31">
        <f>SUM(M489:M500)</f>
        <v>2.397338</v>
      </c>
      <c r="N501" s="32">
        <f>SUM(N489:N500)</f>
        <v>18.545999999999999</v>
      </c>
      <c r="O501" s="33"/>
      <c r="P501" s="33">
        <f>SUM(P489:P500)</f>
        <v>1025.9598483934428</v>
      </c>
      <c r="Q501" s="33"/>
      <c r="R501" s="33">
        <f>SUM(R489:R500)</f>
        <v>176.18699999999995</v>
      </c>
      <c r="S501" s="33">
        <f>SUM(S489:S500)</f>
        <v>1202.1468483934425</v>
      </c>
      <c r="T501" s="97"/>
      <c r="U501" s="98"/>
      <c r="V501" s="99"/>
    </row>
    <row r="502" spans="1:22" x14ac:dyDescent="0.2">
      <c r="A502" s="186" t="s">
        <v>295</v>
      </c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8"/>
      <c r="T502" s="97"/>
      <c r="U502" s="98"/>
      <c r="V502" s="99"/>
    </row>
    <row r="503" spans="1:22" x14ac:dyDescent="0.2">
      <c r="A503" s="34">
        <v>1</v>
      </c>
      <c r="B503" s="13">
        <v>2100</v>
      </c>
      <c r="C503" s="13">
        <v>580</v>
      </c>
      <c r="D503" s="14" t="s">
        <v>63</v>
      </c>
      <c r="E503" s="14" t="s">
        <v>85</v>
      </c>
      <c r="F503" s="15">
        <v>1</v>
      </c>
      <c r="G503" s="15">
        <v>1</v>
      </c>
      <c r="H503" s="15">
        <v>1</v>
      </c>
      <c r="I503" s="15">
        <v>1</v>
      </c>
      <c r="J503" s="15">
        <v>1</v>
      </c>
      <c r="K503" s="16" t="s">
        <v>33</v>
      </c>
      <c r="L503" s="46" t="s">
        <v>346</v>
      </c>
      <c r="M503" s="17">
        <f t="shared" ref="M503:M517" si="272">IF(AND(ISNUMBER(B503),ISNUMBER(C503),B503&gt;0,C503&gt;0),A503*(B503*C503/1000000),0)</f>
        <v>1.218</v>
      </c>
      <c r="N503" s="18">
        <f t="shared" ref="N503:N517" si="273">IF(AND(ISNUMBER(B503),B503&gt;0),A503*(((G503+H503)*B503+(I503+J503)*C503)/1000),0)</f>
        <v>5.36</v>
      </c>
      <c r="O503" s="19">
        <f>IF(E503="HERRAJE",IFERROR(_xlfn.XLOOKUP(D503,'⚙️ Configuración Costos'!$A$11:$A$20,'⚙️ Configuración Costos'!$B$11:$B$20),""),IFERROR(_xlfn.XLOOKUP(E503,'⚙️ Configuración Costos'!$A$5:$A$6,'⚙️ Configuración Costos'!$B$5:$B$6),""))</f>
        <v>332.85245901639348</v>
      </c>
      <c r="P503" s="19">
        <f t="shared" ref="P503:P517" si="274">IF(E503="HERRAJE",A503*O503,M503*O503)</f>
        <v>405.41429508196723</v>
      </c>
      <c r="Q503" s="19">
        <f>IF(E503="HERRAJE",0,IFERROR(_xlfn.XLOOKUP(E503,'⚙️ Configuración Costos'!$E$5:$E$6,'⚙️ Configuración Costos'!$F$5:$F$6),""))</f>
        <v>9.5</v>
      </c>
      <c r="R503" s="19">
        <f t="shared" ref="R503:R517" si="275">N503*Q503</f>
        <v>50.92</v>
      </c>
      <c r="S503" s="37">
        <f t="shared" ref="S503:S517" si="276">P503+R503</f>
        <v>456.33429508196724</v>
      </c>
      <c r="T503" s="94" t="str">
        <f t="shared" ref="T503:T517" si="277">IF(K503="","SIN ID MÓDULO",IF(E503="HERRAJE",IF(OR(O503="",O503&lt;=0),"SIN PRECIO HERRAJE","OK"),IF(OR(O503="",O503&lt;=0),"SIN PRECIO MATERIAL",IF(AND(N503&gt;0,OR(Q503="",Q503&lt;=0)),"SIN PRECIO CINTILLA","OK"))))</f>
        <v>OK</v>
      </c>
      <c r="U503" s="95" t="str">
        <f t="shared" ref="U503:U517" si="278">IF(T503="OK","",IF(T503="SIN PRECIO HERRAJE","Capturar precio: "&amp;D503,IF(T503="SIN PRECIO MATERIAL","Configurar material: "&amp;E503,IF(T503="SIN PRECIO CINTILLA","Configurar cintilla: "&amp;E503,IF(T503="SIN ID MÓDULO","Revisar ID del módulo","")))))</f>
        <v/>
      </c>
      <c r="V503" s="96">
        <f t="shared" ref="V503:V517" si="279">IF(T503="OK",0,IF(T503="",0,1))</f>
        <v>0</v>
      </c>
    </row>
    <row r="504" spans="1:22" x14ac:dyDescent="0.2">
      <c r="A504" s="35">
        <v>1</v>
      </c>
      <c r="B504" s="6">
        <v>2100</v>
      </c>
      <c r="C504" s="6">
        <v>580</v>
      </c>
      <c r="D504" s="7" t="s">
        <v>66</v>
      </c>
      <c r="E504" s="7" t="s">
        <v>85</v>
      </c>
      <c r="F504" s="8">
        <v>1</v>
      </c>
      <c r="G504" s="8">
        <v>1</v>
      </c>
      <c r="H504" s="8">
        <v>1</v>
      </c>
      <c r="I504" s="8">
        <v>1</v>
      </c>
      <c r="J504" s="8">
        <v>1</v>
      </c>
      <c r="K504" s="16" t="s">
        <v>33</v>
      </c>
      <c r="L504" s="47" t="s">
        <v>348</v>
      </c>
      <c r="M504" s="17">
        <f t="shared" si="272"/>
        <v>1.218</v>
      </c>
      <c r="N504" s="18">
        <f t="shared" si="273"/>
        <v>5.36</v>
      </c>
      <c r="O504" s="19">
        <f>IF(E504="HERRAJE",IFERROR(_xlfn.XLOOKUP(D504,'⚙️ Configuración Costos'!$A$11:$A$20,'⚙️ Configuración Costos'!$B$11:$B$20),""),IFERROR(_xlfn.XLOOKUP(E504,'⚙️ Configuración Costos'!$A$5:$A$6,'⚙️ Configuración Costos'!$B$5:$B$6),""))</f>
        <v>332.85245901639348</v>
      </c>
      <c r="P504" s="19">
        <f t="shared" si="274"/>
        <v>405.41429508196723</v>
      </c>
      <c r="Q504" s="19">
        <f>IF(E504="HERRAJE",0,IFERROR(_xlfn.XLOOKUP(E504,'⚙️ Configuración Costos'!$E$5:$E$6,'⚙️ Configuración Costos'!$F$5:$F$6),""))</f>
        <v>9.5</v>
      </c>
      <c r="R504" s="19">
        <f t="shared" si="275"/>
        <v>50.92</v>
      </c>
      <c r="S504" s="37">
        <f t="shared" si="276"/>
        <v>456.33429508196724</v>
      </c>
      <c r="T504" s="94" t="str">
        <f t="shared" si="277"/>
        <v>OK</v>
      </c>
      <c r="U504" s="95" t="str">
        <f t="shared" si="278"/>
        <v/>
      </c>
      <c r="V504" s="96">
        <f t="shared" si="279"/>
        <v>0</v>
      </c>
    </row>
    <row r="505" spans="1:22" x14ac:dyDescent="0.2">
      <c r="A505" s="35">
        <v>1</v>
      </c>
      <c r="B505" s="6">
        <v>2069</v>
      </c>
      <c r="C505" s="6">
        <v>369</v>
      </c>
      <c r="D505" s="7" t="s">
        <v>298</v>
      </c>
      <c r="E505" s="7" t="s">
        <v>85</v>
      </c>
      <c r="F505" s="8">
        <v>1</v>
      </c>
      <c r="G505" s="8">
        <v>0</v>
      </c>
      <c r="H505" s="8">
        <v>0</v>
      </c>
      <c r="I505" s="8">
        <v>0</v>
      </c>
      <c r="J505" s="8">
        <v>0</v>
      </c>
      <c r="K505" s="16" t="s">
        <v>33</v>
      </c>
      <c r="L505" s="47" t="s">
        <v>299</v>
      </c>
      <c r="M505" s="17">
        <f t="shared" si="272"/>
        <v>0.76346099999999995</v>
      </c>
      <c r="N505" s="18">
        <f t="shared" si="273"/>
        <v>0</v>
      </c>
      <c r="O505" s="19">
        <f>IF(E505="HERRAJE",IFERROR(_xlfn.XLOOKUP(D505,'⚙️ Configuración Costos'!$A$11:$A$20,'⚙️ Configuración Costos'!$B$11:$B$20),""),IFERROR(_xlfn.XLOOKUP(E505,'⚙️ Configuración Costos'!$A$5:$A$6,'⚙️ Configuración Costos'!$B$5:$B$6),""))</f>
        <v>332.85245901639348</v>
      </c>
      <c r="P505" s="19">
        <f t="shared" si="274"/>
        <v>254.11987121311478</v>
      </c>
      <c r="Q505" s="19">
        <f>IF(E505="HERRAJE",0,IFERROR(_xlfn.XLOOKUP(E505,'⚙️ Configuración Costos'!$E$5:$E$6,'⚙️ Configuración Costos'!$F$5:$F$6),""))</f>
        <v>9.5</v>
      </c>
      <c r="R505" s="19">
        <f t="shared" si="275"/>
        <v>0</v>
      </c>
      <c r="S505" s="37">
        <f t="shared" si="276"/>
        <v>254.11987121311478</v>
      </c>
      <c r="T505" s="94" t="str">
        <f t="shared" si="277"/>
        <v>OK</v>
      </c>
      <c r="U505" s="95" t="str">
        <f t="shared" si="278"/>
        <v/>
      </c>
      <c r="V505" s="96">
        <f t="shared" si="279"/>
        <v>0</v>
      </c>
    </row>
    <row r="506" spans="1:22" x14ac:dyDescent="0.2">
      <c r="A506" s="35">
        <v>1</v>
      </c>
      <c r="B506" s="6">
        <v>369</v>
      </c>
      <c r="C506" s="6">
        <v>580</v>
      </c>
      <c r="D506" s="7" t="s">
        <v>300</v>
      </c>
      <c r="E506" s="7" t="s">
        <v>85</v>
      </c>
      <c r="F506" s="8">
        <v>1</v>
      </c>
      <c r="G506" s="8">
        <v>0</v>
      </c>
      <c r="H506" s="8">
        <v>0</v>
      </c>
      <c r="I506" s="8">
        <v>1</v>
      </c>
      <c r="J506" s="8">
        <v>1</v>
      </c>
      <c r="K506" s="16" t="s">
        <v>33</v>
      </c>
      <c r="L506" s="47" t="s">
        <v>376</v>
      </c>
      <c r="M506" s="17">
        <f t="shared" si="272"/>
        <v>0.21401999999999999</v>
      </c>
      <c r="N506" s="18">
        <f t="shared" si="273"/>
        <v>1.1599999999999999</v>
      </c>
      <c r="O506" s="19">
        <f>IF(E506="HERRAJE",IFERROR(_xlfn.XLOOKUP(D506,'⚙️ Configuración Costos'!$A$11:$A$20,'⚙️ Configuración Costos'!$B$11:$B$20),""),IFERROR(_xlfn.XLOOKUP(E506,'⚙️ Configuración Costos'!$A$5:$A$6,'⚙️ Configuración Costos'!$B$5:$B$6),""))</f>
        <v>332.85245901639348</v>
      </c>
      <c r="P506" s="19">
        <f t="shared" si="274"/>
        <v>71.23708327868853</v>
      </c>
      <c r="Q506" s="19">
        <f>IF(E506="HERRAJE",0,IFERROR(_xlfn.XLOOKUP(E506,'⚙️ Configuración Costos'!$E$5:$E$6,'⚙️ Configuración Costos'!$F$5:$F$6),""))</f>
        <v>9.5</v>
      </c>
      <c r="R506" s="19">
        <f t="shared" si="275"/>
        <v>11.02</v>
      </c>
      <c r="S506" s="37">
        <f t="shared" si="276"/>
        <v>82.257083278688526</v>
      </c>
      <c r="T506" s="94" t="str">
        <f t="shared" si="277"/>
        <v>OK</v>
      </c>
      <c r="U506" s="95" t="str">
        <f t="shared" si="278"/>
        <v/>
      </c>
      <c r="V506" s="96">
        <f t="shared" si="279"/>
        <v>0</v>
      </c>
    </row>
    <row r="507" spans="1:22" x14ac:dyDescent="0.2">
      <c r="A507" s="35">
        <v>1</v>
      </c>
      <c r="B507" s="6">
        <v>369</v>
      </c>
      <c r="C507" s="6">
        <v>580</v>
      </c>
      <c r="D507" s="7" t="s">
        <v>302</v>
      </c>
      <c r="E507" s="7" t="s">
        <v>85</v>
      </c>
      <c r="F507" s="8">
        <v>1</v>
      </c>
      <c r="G507" s="8">
        <v>0</v>
      </c>
      <c r="H507" s="8">
        <v>0</v>
      </c>
      <c r="I507" s="8">
        <v>1</v>
      </c>
      <c r="J507" s="8">
        <v>1</v>
      </c>
      <c r="K507" s="16" t="s">
        <v>33</v>
      </c>
      <c r="L507" s="47" t="s">
        <v>377</v>
      </c>
      <c r="M507" s="17">
        <f t="shared" si="272"/>
        <v>0.21401999999999999</v>
      </c>
      <c r="N507" s="18">
        <f t="shared" si="273"/>
        <v>1.1599999999999999</v>
      </c>
      <c r="O507" s="19">
        <f>IF(E507="HERRAJE",IFERROR(_xlfn.XLOOKUP(D507,'⚙️ Configuración Costos'!$A$11:$A$20,'⚙️ Configuración Costos'!$B$11:$B$20),""),IFERROR(_xlfn.XLOOKUP(E507,'⚙️ Configuración Costos'!$A$5:$A$6,'⚙️ Configuración Costos'!$B$5:$B$6),""))</f>
        <v>332.85245901639348</v>
      </c>
      <c r="P507" s="19">
        <f t="shared" si="274"/>
        <v>71.23708327868853</v>
      </c>
      <c r="Q507" s="19">
        <f>IF(E507="HERRAJE",0,IFERROR(_xlfn.XLOOKUP(E507,'⚙️ Configuración Costos'!$E$5:$E$6,'⚙️ Configuración Costos'!$F$5:$F$6),""))</f>
        <v>9.5</v>
      </c>
      <c r="R507" s="19">
        <f t="shared" si="275"/>
        <v>11.02</v>
      </c>
      <c r="S507" s="37">
        <f t="shared" si="276"/>
        <v>82.257083278688526</v>
      </c>
      <c r="T507" s="94" t="str">
        <f t="shared" si="277"/>
        <v>OK</v>
      </c>
      <c r="U507" s="95" t="str">
        <f t="shared" si="278"/>
        <v/>
      </c>
      <c r="V507" s="96">
        <f t="shared" si="279"/>
        <v>0</v>
      </c>
    </row>
    <row r="508" spans="1:22" x14ac:dyDescent="0.2">
      <c r="A508" s="35">
        <v>4</v>
      </c>
      <c r="B508" s="6">
        <v>369</v>
      </c>
      <c r="C508" s="6">
        <v>490</v>
      </c>
      <c r="D508" s="7" t="s">
        <v>488</v>
      </c>
      <c r="E508" s="7" t="s">
        <v>85</v>
      </c>
      <c r="F508" s="8">
        <v>1</v>
      </c>
      <c r="G508" s="8">
        <v>1</v>
      </c>
      <c r="H508" s="8">
        <v>0</v>
      </c>
      <c r="I508" s="8">
        <v>0</v>
      </c>
      <c r="J508" s="8">
        <v>0</v>
      </c>
      <c r="K508" s="16" t="s">
        <v>33</v>
      </c>
      <c r="L508" s="47" t="s">
        <v>305</v>
      </c>
      <c r="M508" s="17">
        <f t="shared" si="272"/>
        <v>0.72323999999999999</v>
      </c>
      <c r="N508" s="18">
        <f t="shared" si="273"/>
        <v>1.476</v>
      </c>
      <c r="O508" s="19">
        <f>IF(E508="HERRAJE",IFERROR(_xlfn.XLOOKUP(D508,'⚙️ Configuración Costos'!$A$11:$A$20,'⚙️ Configuración Costos'!$B$11:$B$20),""),IFERROR(_xlfn.XLOOKUP(E508,'⚙️ Configuración Costos'!$A$5:$A$6,'⚙️ Configuración Costos'!$B$5:$B$6),""))</f>
        <v>332.85245901639348</v>
      </c>
      <c r="P508" s="19">
        <f t="shared" si="274"/>
        <v>240.73221245901641</v>
      </c>
      <c r="Q508" s="19">
        <f>IF(E508="HERRAJE",0,IFERROR(_xlfn.XLOOKUP(E508,'⚙️ Configuración Costos'!$E$5:$E$6,'⚙️ Configuración Costos'!$F$5:$F$6),""))</f>
        <v>9.5</v>
      </c>
      <c r="R508" s="19">
        <f t="shared" si="275"/>
        <v>14.022</v>
      </c>
      <c r="S508" s="37">
        <f t="shared" si="276"/>
        <v>254.7542124590164</v>
      </c>
      <c r="T508" s="94" t="str">
        <f t="shared" si="277"/>
        <v>OK</v>
      </c>
      <c r="U508" s="95" t="str">
        <f t="shared" si="278"/>
        <v/>
      </c>
      <c r="V508" s="96">
        <f t="shared" si="279"/>
        <v>0</v>
      </c>
    </row>
    <row r="509" spans="1:22" x14ac:dyDescent="0.2">
      <c r="A509" s="35">
        <v>1</v>
      </c>
      <c r="B509" s="6">
        <v>2096</v>
      </c>
      <c r="C509" s="6">
        <v>396</v>
      </c>
      <c r="D509" s="7" t="s">
        <v>306</v>
      </c>
      <c r="E509" s="7" t="s">
        <v>85</v>
      </c>
      <c r="F509" s="8">
        <v>1</v>
      </c>
      <c r="G509" s="8">
        <v>1</v>
      </c>
      <c r="H509" s="8">
        <v>1</v>
      </c>
      <c r="I509" s="8">
        <v>1</v>
      </c>
      <c r="J509" s="8">
        <v>1</v>
      </c>
      <c r="K509" s="16" t="s">
        <v>33</v>
      </c>
      <c r="L509" s="47" t="s">
        <v>307</v>
      </c>
      <c r="M509" s="17">
        <f t="shared" si="272"/>
        <v>0.83001599999999998</v>
      </c>
      <c r="N509" s="18">
        <f t="shared" si="273"/>
        <v>4.984</v>
      </c>
      <c r="O509" s="19">
        <f>IF(E509="HERRAJE",IFERROR(_xlfn.XLOOKUP(D509,'⚙️ Configuración Costos'!$A$11:$A$20,'⚙️ Configuración Costos'!$B$11:$B$20),""),IFERROR(_xlfn.XLOOKUP(E509,'⚙️ Configuración Costos'!$A$5:$A$6,'⚙️ Configuración Costos'!$B$5:$B$6),""))</f>
        <v>332.85245901639348</v>
      </c>
      <c r="P509" s="19">
        <f t="shared" si="274"/>
        <v>276.27286662295086</v>
      </c>
      <c r="Q509" s="19">
        <f>IF(E509="HERRAJE",0,IFERROR(_xlfn.XLOOKUP(E509,'⚙️ Configuración Costos'!$E$5:$E$6,'⚙️ Configuración Costos'!$F$5:$F$6),""))</f>
        <v>9.5</v>
      </c>
      <c r="R509" s="19">
        <f t="shared" si="275"/>
        <v>47.347999999999999</v>
      </c>
      <c r="S509" s="37">
        <f t="shared" si="276"/>
        <v>323.62086662295087</v>
      </c>
      <c r="T509" s="94" t="str">
        <f t="shared" si="277"/>
        <v>OK</v>
      </c>
      <c r="U509" s="95" t="str">
        <f t="shared" si="278"/>
        <v/>
      </c>
      <c r="V509" s="96">
        <f t="shared" si="279"/>
        <v>0</v>
      </c>
    </row>
    <row r="510" spans="1:22" x14ac:dyDescent="0.2">
      <c r="A510" s="35">
        <v>2</v>
      </c>
      <c r="B510" s="6">
        <v>0</v>
      </c>
      <c r="C510" s="6">
        <v>0</v>
      </c>
      <c r="D510" s="7" t="s">
        <v>90</v>
      </c>
      <c r="E510" s="7" t="s">
        <v>91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16" t="s">
        <v>33</v>
      </c>
      <c r="L510" s="47" t="s">
        <v>92</v>
      </c>
      <c r="M510" s="17">
        <f t="shared" si="272"/>
        <v>0</v>
      </c>
      <c r="N510" s="18">
        <f t="shared" si="273"/>
        <v>0</v>
      </c>
      <c r="O510" s="19">
        <f>IF(E510="HERRAJE",IFERROR(_xlfn.XLOOKUP(D510,'⚙️ Configuración Costos'!$A$11:$A$20,'⚙️ Configuración Costos'!$B$11:$B$20),""),IFERROR(_xlfn.XLOOKUP(E510,'⚙️ Configuración Costos'!$A$5:$A$6,'⚙️ Configuración Costos'!$B$5:$B$6),""))</f>
        <v>20</v>
      </c>
      <c r="P510" s="19">
        <f t="shared" si="274"/>
        <v>40</v>
      </c>
      <c r="Q510" s="19">
        <f>IF(E510="HERRAJE",0,IFERROR(_xlfn.XLOOKUP(E510,'⚙️ Configuración Costos'!$E$5:$E$6,'⚙️ Configuración Costos'!$F$5:$F$6),""))</f>
        <v>0</v>
      </c>
      <c r="R510" s="19">
        <f t="shared" si="275"/>
        <v>0</v>
      </c>
      <c r="S510" s="37">
        <f t="shared" si="276"/>
        <v>40</v>
      </c>
      <c r="T510" s="94" t="str">
        <f t="shared" si="277"/>
        <v>OK</v>
      </c>
      <c r="U510" s="95" t="str">
        <f t="shared" si="278"/>
        <v/>
      </c>
      <c r="V510" s="96">
        <f t="shared" si="279"/>
        <v>0</v>
      </c>
    </row>
    <row r="511" spans="1:22" x14ac:dyDescent="0.2">
      <c r="A511" s="35">
        <v>1</v>
      </c>
      <c r="B511" s="6">
        <v>0</v>
      </c>
      <c r="C511" s="6">
        <v>0</v>
      </c>
      <c r="D511" s="7" t="s">
        <v>93</v>
      </c>
      <c r="E511" s="7" t="s">
        <v>91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16" t="s">
        <v>33</v>
      </c>
      <c r="L511" s="47" t="s">
        <v>94</v>
      </c>
      <c r="M511" s="17">
        <f t="shared" si="272"/>
        <v>0</v>
      </c>
      <c r="N511" s="18">
        <f t="shared" si="273"/>
        <v>0</v>
      </c>
      <c r="O511" s="19">
        <f>IF(E511="HERRAJE",IFERROR(_xlfn.XLOOKUP(D511,'⚙️ Configuración Costos'!$A$11:$A$20,'⚙️ Configuración Costos'!$B$11:$B$20),""),IFERROR(_xlfn.XLOOKUP(E511,'⚙️ Configuración Costos'!$A$5:$A$6,'⚙️ Configuración Costos'!$B$5:$B$6),""))</f>
        <v>15</v>
      </c>
      <c r="P511" s="19">
        <f t="shared" si="274"/>
        <v>15</v>
      </c>
      <c r="Q511" s="19">
        <f>IF(E511="HERRAJE",0,IFERROR(_xlfn.XLOOKUP(E511,'⚙️ Configuración Costos'!$E$5:$E$6,'⚙️ Configuración Costos'!$F$5:$F$6),""))</f>
        <v>0</v>
      </c>
      <c r="R511" s="19">
        <f t="shared" si="275"/>
        <v>0</v>
      </c>
      <c r="S511" s="37">
        <f t="shared" si="276"/>
        <v>15</v>
      </c>
      <c r="T511" s="94" t="str">
        <f t="shared" si="277"/>
        <v>OK</v>
      </c>
      <c r="U511" s="95" t="str">
        <f t="shared" si="278"/>
        <v/>
      </c>
      <c r="V511" s="96">
        <f t="shared" si="279"/>
        <v>0</v>
      </c>
    </row>
    <row r="512" spans="1:22" x14ac:dyDescent="0.2">
      <c r="A512" s="35">
        <v>4</v>
      </c>
      <c r="B512" s="6">
        <v>0</v>
      </c>
      <c r="C512" s="6">
        <v>0</v>
      </c>
      <c r="D512" s="7" t="s">
        <v>90</v>
      </c>
      <c r="E512" s="7" t="s">
        <v>91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16" t="s">
        <v>33</v>
      </c>
      <c r="L512" s="47" t="s">
        <v>92</v>
      </c>
      <c r="M512" s="17">
        <f t="shared" si="272"/>
        <v>0</v>
      </c>
      <c r="N512" s="18">
        <f t="shared" si="273"/>
        <v>0</v>
      </c>
      <c r="O512" s="19">
        <f>IF(E512="HERRAJE",IFERROR(_xlfn.XLOOKUP(D512,'⚙️ Configuración Costos'!$A$11:$A$20,'⚙️ Configuración Costos'!$B$11:$B$20),""),IFERROR(_xlfn.XLOOKUP(E512,'⚙️ Configuración Costos'!$A$5:$A$6,'⚙️ Configuración Costos'!$B$5:$B$6),""))</f>
        <v>20</v>
      </c>
      <c r="P512" s="19">
        <f t="shared" si="274"/>
        <v>80</v>
      </c>
      <c r="Q512" s="19">
        <f>IF(E512="HERRAJE",0,IFERROR(_xlfn.XLOOKUP(E512,'⚙️ Configuración Costos'!$E$5:$E$6,'⚙️ Configuración Costos'!$F$5:$F$6),""))</f>
        <v>0</v>
      </c>
      <c r="R512" s="19">
        <f t="shared" si="275"/>
        <v>0</v>
      </c>
      <c r="S512" s="37">
        <f t="shared" si="276"/>
        <v>80</v>
      </c>
      <c r="T512" s="94" t="str">
        <f t="shared" si="277"/>
        <v>OK</v>
      </c>
      <c r="U512" s="95" t="str">
        <f t="shared" si="278"/>
        <v/>
      </c>
      <c r="V512" s="96">
        <f t="shared" si="279"/>
        <v>0</v>
      </c>
    </row>
    <row r="513" spans="1:22" x14ac:dyDescent="0.2">
      <c r="A513" s="35">
        <v>1</v>
      </c>
      <c r="B513" s="6">
        <v>0</v>
      </c>
      <c r="C513" s="6">
        <v>0</v>
      </c>
      <c r="D513" s="7" t="s">
        <v>93</v>
      </c>
      <c r="E513" s="7" t="s">
        <v>91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16" t="s">
        <v>33</v>
      </c>
      <c r="L513" s="47" t="s">
        <v>94</v>
      </c>
      <c r="M513" s="17">
        <f t="shared" si="272"/>
        <v>0</v>
      </c>
      <c r="N513" s="18">
        <f t="shared" si="273"/>
        <v>0</v>
      </c>
      <c r="O513" s="19">
        <f>IF(E513="HERRAJE",IFERROR(_xlfn.XLOOKUP(D513,'⚙️ Configuración Costos'!$A$11:$A$20,'⚙️ Configuración Costos'!$B$11:$B$20),""),IFERROR(_xlfn.XLOOKUP(E513,'⚙️ Configuración Costos'!$A$5:$A$6,'⚙️ Configuración Costos'!$B$5:$B$6),""))</f>
        <v>15</v>
      </c>
      <c r="P513" s="19">
        <f t="shared" si="274"/>
        <v>15</v>
      </c>
      <c r="Q513" s="19">
        <f>IF(E513="HERRAJE",0,IFERROR(_xlfn.XLOOKUP(E513,'⚙️ Configuración Costos'!$E$5:$E$6,'⚙️ Configuración Costos'!$F$5:$F$6),""))</f>
        <v>0</v>
      </c>
      <c r="R513" s="19">
        <f t="shared" si="275"/>
        <v>0</v>
      </c>
      <c r="S513" s="37">
        <f t="shared" si="276"/>
        <v>15</v>
      </c>
      <c r="T513" s="94" t="str">
        <f t="shared" si="277"/>
        <v>OK</v>
      </c>
      <c r="U513" s="95" t="str">
        <f t="shared" si="278"/>
        <v/>
      </c>
      <c r="V513" s="96">
        <f t="shared" si="279"/>
        <v>0</v>
      </c>
    </row>
    <row r="514" spans="1:22" x14ac:dyDescent="0.2">
      <c r="A514" s="35">
        <v>4</v>
      </c>
      <c r="B514" s="6">
        <v>0</v>
      </c>
      <c r="C514" s="6">
        <v>0</v>
      </c>
      <c r="D514" s="7" t="s">
        <v>186</v>
      </c>
      <c r="E514" s="7" t="s">
        <v>91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16" t="s">
        <v>33</v>
      </c>
      <c r="L514" s="47" t="s">
        <v>187</v>
      </c>
      <c r="M514" s="17">
        <f t="shared" si="272"/>
        <v>0</v>
      </c>
      <c r="N514" s="18">
        <f t="shared" si="273"/>
        <v>0</v>
      </c>
      <c r="O514" s="19">
        <f>IF(E514="HERRAJE",IFERROR(_xlfn.XLOOKUP(D514,'⚙️ Configuración Costos'!$A$11:$A$20,'⚙️ Configuración Costos'!$B$11:$B$20),""),IFERROR(_xlfn.XLOOKUP(E514,'⚙️ Configuración Costos'!$A$5:$A$6,'⚙️ Configuración Costos'!$B$5:$B$6),""))</f>
        <v>15</v>
      </c>
      <c r="P514" s="19">
        <f t="shared" si="274"/>
        <v>60</v>
      </c>
      <c r="Q514" s="19">
        <f>IF(E514="HERRAJE",0,IFERROR(_xlfn.XLOOKUP(E514,'⚙️ Configuración Costos'!$E$5:$E$6,'⚙️ Configuración Costos'!$F$5:$F$6),""))</f>
        <v>0</v>
      </c>
      <c r="R514" s="19">
        <f t="shared" si="275"/>
        <v>0</v>
      </c>
      <c r="S514" s="37">
        <f t="shared" si="276"/>
        <v>60</v>
      </c>
      <c r="T514" s="94" t="str">
        <f t="shared" si="277"/>
        <v>OK</v>
      </c>
      <c r="U514" s="95" t="str">
        <f t="shared" si="278"/>
        <v/>
      </c>
      <c r="V514" s="96">
        <f t="shared" si="279"/>
        <v>0</v>
      </c>
    </row>
    <row r="515" spans="1:22" x14ac:dyDescent="0.2">
      <c r="A515" s="35">
        <v>16</v>
      </c>
      <c r="B515" s="6">
        <v>0</v>
      </c>
      <c r="C515" s="6">
        <v>0</v>
      </c>
      <c r="D515" s="7" t="s">
        <v>95</v>
      </c>
      <c r="E515" s="7" t="s">
        <v>91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16" t="s">
        <v>33</v>
      </c>
      <c r="L515" s="47" t="s">
        <v>96</v>
      </c>
      <c r="M515" s="17">
        <f t="shared" si="272"/>
        <v>0</v>
      </c>
      <c r="N515" s="18">
        <f t="shared" si="273"/>
        <v>0</v>
      </c>
      <c r="O515" s="19">
        <f>IF(E515="HERRAJE",IFERROR(_xlfn.XLOOKUP(D515,'⚙️ Configuración Costos'!$A$11:$A$20,'⚙️ Configuración Costos'!$B$11:$B$20),""),IFERROR(_xlfn.XLOOKUP(E515,'⚙️ Configuración Costos'!$A$5:$A$6,'⚙️ Configuración Costos'!$B$5:$B$6),""))</f>
        <v>2</v>
      </c>
      <c r="P515" s="19">
        <f t="shared" si="274"/>
        <v>32</v>
      </c>
      <c r="Q515" s="19">
        <f>IF(E515="HERRAJE",0,IFERROR(_xlfn.XLOOKUP(E515,'⚙️ Configuración Costos'!$E$5:$E$6,'⚙️ Configuración Costos'!$F$5:$F$6),""))</f>
        <v>0</v>
      </c>
      <c r="R515" s="19">
        <f t="shared" si="275"/>
        <v>0</v>
      </c>
      <c r="S515" s="37">
        <f t="shared" si="276"/>
        <v>32</v>
      </c>
      <c r="T515" s="94" t="str">
        <f t="shared" si="277"/>
        <v>OK</v>
      </c>
      <c r="U515" s="95" t="str">
        <f t="shared" si="278"/>
        <v/>
      </c>
      <c r="V515" s="96">
        <f t="shared" si="279"/>
        <v>0</v>
      </c>
    </row>
    <row r="516" spans="1:22" x14ac:dyDescent="0.2">
      <c r="A516" s="36">
        <f>4*(IF(LEFT(D503,4)="Base",A503,0)+IF(LEFT(D503,4)="Piso",A503,0)+IF(LEFT(D503,5)="Techo",A503,0)+IF(LEFT(D504,4)="Base",A504,0)+IF(LEFT(D504,4)="Piso",A504,0)+IF(LEFT(D504,5)="Techo",A504,0)+IF(LEFT(D505,4)="Base",A505,0)+IF(LEFT(D505,4)="Piso",A505,0)+IF(LEFT(D505,5)="Techo",A505,0)+IF(LEFT(D506,4)="Base",A506,0)+IF(LEFT(D506,4)="Piso",A506,0)+IF(LEFT(D506,5)="Techo",A506,0)+IF(LEFT(D507,4)="Base",A507,0)+IF(LEFT(D507,4)="Piso",A507,0)+IF(LEFT(D507,5)="Techo",A507,0)+IF(LEFT(D508,4)="Base",A508,0)+IF(LEFT(D508,4)="Piso",A508,0)+IF(LEFT(D508,5)="Techo",A508,0)+IF(LEFT(D509,4)="Base",A509,0)+IF(LEFT(D509,4)="Piso",A509,0)+IF(LEFT(D509,5)="Techo",A509,0))+10*(IF(LEFT(D503,8)="Respaldo",A503,0)+IF(LEFT(D504,8)="Respaldo",A504,0)+IF(LEFT(D505,8)="Respaldo",A505,0)+IF(LEFT(D506,8)="Respaldo",A506,0)+IF(LEFT(D507,8)="Respaldo",A507,0)+IF(LEFT(D508,8)="Respaldo",A508,0)+IF(LEFT(D509,8)="Respaldo",A509,0))+2*(IF(LEFT(D503,8)="Manguete",A503,0)+IF(LEFT(D504,8)="Manguete",A504,0)+IF(LEFT(D505,8)="Manguete",A505,0)+IF(LEFT(D506,8)="Manguete",A506,0)+IF(LEFT(D507,8)="Manguete",A507,0)+IF(LEFT(D508,8)="Manguete",A508,0)+IF(LEFT(D509,8)="Manguete",A509,0))</f>
        <v>18</v>
      </c>
      <c r="B516" s="20">
        <v>0</v>
      </c>
      <c r="C516" s="20">
        <v>0</v>
      </c>
      <c r="D516" s="21" t="s">
        <v>400</v>
      </c>
      <c r="E516" s="21" t="s">
        <v>91</v>
      </c>
      <c r="F516" s="22">
        <v>0</v>
      </c>
      <c r="G516" s="22">
        <v>0</v>
      </c>
      <c r="H516" s="22">
        <v>0</v>
      </c>
      <c r="I516" s="22">
        <v>0</v>
      </c>
      <c r="J516" s="22">
        <v>0</v>
      </c>
      <c r="K516" s="16" t="s">
        <v>33</v>
      </c>
      <c r="L516" s="48" t="s">
        <v>360</v>
      </c>
      <c r="M516" s="17">
        <f t="shared" si="272"/>
        <v>0</v>
      </c>
      <c r="N516" s="18">
        <f t="shared" si="273"/>
        <v>0</v>
      </c>
      <c r="O516" s="19">
        <f>IF(E516="HERRAJE",IFERROR(_xlfn.XLOOKUP(D516,'⚙️ Configuración Costos'!$A$11:$A$20,'⚙️ Configuración Costos'!$B$11:$B$20),""),IFERROR(_xlfn.XLOOKUP(E516,'⚙️ Configuración Costos'!$A$5:$A$6,'⚙️ Configuración Costos'!$B$5:$B$6),""))</f>
        <v>3</v>
      </c>
      <c r="P516" s="19">
        <f t="shared" si="274"/>
        <v>54</v>
      </c>
      <c r="Q516" s="19">
        <f>IF(E516="HERRAJE",0,IFERROR(_xlfn.XLOOKUP(E516,'⚙️ Configuración Costos'!$E$5:$E$6,'⚙️ Configuración Costos'!$F$5:$F$6),""))</f>
        <v>0</v>
      </c>
      <c r="R516" s="19">
        <f t="shared" si="275"/>
        <v>0</v>
      </c>
      <c r="S516" s="37">
        <f t="shared" si="276"/>
        <v>54</v>
      </c>
      <c r="T516" s="94" t="str">
        <f t="shared" si="277"/>
        <v>OK</v>
      </c>
      <c r="U516" s="95" t="str">
        <f t="shared" si="278"/>
        <v/>
      </c>
      <c r="V516" s="96">
        <f t="shared" si="279"/>
        <v>0</v>
      </c>
    </row>
    <row r="517" spans="1:22" ht="16" thickBot="1" x14ac:dyDescent="0.25">
      <c r="A517" s="36">
        <f>6*(IF(LEFT(D503,4)="Base",A503,0)+IF(LEFT(D503,4)="Piso",A503,0)+IF(LEFT(D503,5)="Techo",A503,0)+IF(LEFT(D504,4)="Base",A504,0)+IF(LEFT(D504,4)="Piso",A504,0)+IF(LEFT(D504,5)="Techo",A504,0)+IF(LEFT(D505,4)="Base",A505,0)+IF(LEFT(D505,4)="Piso",A505,0)+IF(LEFT(D505,5)="Techo",A505,0)+IF(LEFT(D506,4)="Base",A506,0)+IF(LEFT(D506,4)="Piso",A506,0)+IF(LEFT(D506,5)="Techo",A506,0)+IF(LEFT(D507,4)="Base",A507,0)+IF(LEFT(D507,4)="Piso",A507,0)+IF(LEFT(D507,5)="Techo",A507,0)+IF(LEFT(D508,4)="Base",A508,0)+IF(LEFT(D508,4)="Piso",A508,0)+IF(LEFT(D508,5)="Techo",A508,0)+IF(LEFT(D509,4)="Base",A509,0)+IF(LEFT(D509,4)="Piso",A509,0)+IF(LEFT(D509,5)="Techo",A509,0))+10*(IF(LEFT(D503,8)="Respaldo",A503,0)+IF(LEFT(D504,8)="Respaldo",A504,0)+IF(LEFT(D505,8)="Respaldo",A505,0)+IF(LEFT(D506,8)="Respaldo",A506,0)+IF(LEFT(D507,8)="Respaldo",A507,0)+IF(LEFT(D508,8)="Respaldo",A508,0)+IF(LEFT(D509,8)="Respaldo",A509,0))+4*(IF(LEFT(D503,8)="Manguete",A503,0)+IF(LEFT(D504,8)="Manguete",A504,0)+IF(LEFT(D505,8)="Manguete",A505,0)+IF(LEFT(D506,8)="Manguete",A506,0)+IF(LEFT(D507,8)="Manguete",A507,0)+IF(LEFT(D508,8)="Manguete",A508,0)+IF(LEFT(D509,8)="Manguete",A509,0))</f>
        <v>22</v>
      </c>
      <c r="B517" s="20">
        <v>0</v>
      </c>
      <c r="C517" s="20">
        <v>0</v>
      </c>
      <c r="D517" s="21" t="s">
        <v>468</v>
      </c>
      <c r="E517" s="21" t="s">
        <v>91</v>
      </c>
      <c r="F517" s="22">
        <v>0</v>
      </c>
      <c r="G517" s="22">
        <v>0</v>
      </c>
      <c r="H517" s="22">
        <v>0</v>
      </c>
      <c r="I517" s="22">
        <v>0</v>
      </c>
      <c r="J517" s="22">
        <v>0</v>
      </c>
      <c r="K517" s="16" t="s">
        <v>33</v>
      </c>
      <c r="L517" s="48" t="s">
        <v>361</v>
      </c>
      <c r="M517" s="17">
        <f t="shared" si="272"/>
        <v>0</v>
      </c>
      <c r="N517" s="18">
        <f t="shared" si="273"/>
        <v>0</v>
      </c>
      <c r="O517" s="19">
        <f>IF(E517="HERRAJE",IFERROR(_xlfn.XLOOKUP(D517,'⚙️ Configuración Costos'!$A$11:$A$20,'⚙️ Configuración Costos'!$B$11:$B$20),""),IFERROR(_xlfn.XLOOKUP(E517,'⚙️ Configuración Costos'!$A$5:$A$6,'⚙️ Configuración Costos'!$B$5:$B$6),""))</f>
        <v>1</v>
      </c>
      <c r="P517" s="19">
        <f t="shared" si="274"/>
        <v>22</v>
      </c>
      <c r="Q517" s="19">
        <f>IF(E517="HERRAJE",0,IFERROR(_xlfn.XLOOKUP(E517,'⚙️ Configuración Costos'!$E$5:$E$6,'⚙️ Configuración Costos'!$F$5:$F$6),""))</f>
        <v>0</v>
      </c>
      <c r="R517" s="19">
        <f t="shared" si="275"/>
        <v>0</v>
      </c>
      <c r="S517" s="37">
        <f t="shared" si="276"/>
        <v>22</v>
      </c>
      <c r="T517" s="94" t="str">
        <f t="shared" si="277"/>
        <v>OK</v>
      </c>
      <c r="U517" s="95" t="str">
        <f t="shared" si="278"/>
        <v/>
      </c>
      <c r="V517" s="96">
        <f t="shared" si="279"/>
        <v>0</v>
      </c>
    </row>
    <row r="518" spans="1:22" ht="16" thickTop="1" x14ac:dyDescent="0.2">
      <c r="A518" s="27" t="s">
        <v>99</v>
      </c>
      <c r="B518" s="27"/>
      <c r="C518" s="27"/>
      <c r="D518" s="28"/>
      <c r="E518" s="28"/>
      <c r="F518" s="29"/>
      <c r="G518" s="29"/>
      <c r="H518" s="29"/>
      <c r="I518" s="29"/>
      <c r="J518" s="29"/>
      <c r="K518" s="30"/>
      <c r="L518" s="49"/>
      <c r="M518" s="31">
        <f>SUM(M503:M517)</f>
        <v>5.1807569999999998</v>
      </c>
      <c r="N518" s="32">
        <f>SUM(N503:N517)</f>
        <v>19.5</v>
      </c>
      <c r="O518" s="33"/>
      <c r="P518" s="33">
        <f>SUM(P503:P517)</f>
        <v>2042.4277070163935</v>
      </c>
      <c r="Q518" s="33"/>
      <c r="R518" s="33">
        <f>SUM(R503:R517)</f>
        <v>185.25</v>
      </c>
      <c r="S518" s="33">
        <f>SUM(S503:S517)</f>
        <v>2227.6777070163935</v>
      </c>
      <c r="T518" s="97"/>
      <c r="U518" s="98"/>
      <c r="V518" s="99"/>
    </row>
    <row r="519" spans="1:22" x14ac:dyDescent="0.2">
      <c r="A519" s="186" t="s">
        <v>308</v>
      </c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8"/>
      <c r="T519" s="97"/>
      <c r="U519" s="98"/>
      <c r="V519" s="99"/>
    </row>
    <row r="520" spans="1:22" x14ac:dyDescent="0.2">
      <c r="A520" s="34">
        <v>1</v>
      </c>
      <c r="B520" s="13">
        <v>2100</v>
      </c>
      <c r="C520" s="13">
        <v>580</v>
      </c>
      <c r="D520" s="14" t="s">
        <v>63</v>
      </c>
      <c r="E520" s="14" t="s">
        <v>85</v>
      </c>
      <c r="F520" s="15">
        <v>1</v>
      </c>
      <c r="G520" s="15">
        <v>1</v>
      </c>
      <c r="H520" s="15">
        <v>1</v>
      </c>
      <c r="I520" s="15">
        <v>1</v>
      </c>
      <c r="J520" s="15">
        <v>1</v>
      </c>
      <c r="K520" s="16" t="s">
        <v>34</v>
      </c>
      <c r="L520" s="46" t="s">
        <v>346</v>
      </c>
      <c r="M520" s="17">
        <f t="shared" ref="M520:M534" si="280">IF(AND(ISNUMBER(B520),ISNUMBER(C520),B520&gt;0,C520&gt;0),A520*(B520*C520/1000000),0)</f>
        <v>1.218</v>
      </c>
      <c r="N520" s="18">
        <f t="shared" ref="N520:N534" si="281">IF(AND(ISNUMBER(B520),B520&gt;0),A520*(((G520+H520)*B520+(I520+J520)*C520)/1000),0)</f>
        <v>5.36</v>
      </c>
      <c r="O520" s="19">
        <f>IF(E520="HERRAJE",IFERROR(_xlfn.XLOOKUP(D520,'⚙️ Configuración Costos'!$A$11:$A$20,'⚙️ Configuración Costos'!$B$11:$B$20),""),IFERROR(_xlfn.XLOOKUP(E520,'⚙️ Configuración Costos'!$A$5:$A$6,'⚙️ Configuración Costos'!$B$5:$B$6),""))</f>
        <v>332.85245901639348</v>
      </c>
      <c r="P520" s="19">
        <f t="shared" ref="P520:P534" si="282">IF(E520="HERRAJE",A520*O520,M520*O520)</f>
        <v>405.41429508196723</v>
      </c>
      <c r="Q520" s="19">
        <f>IF(E520="HERRAJE",0,IFERROR(_xlfn.XLOOKUP(E520,'⚙️ Configuración Costos'!$E$5:$E$6,'⚙️ Configuración Costos'!$F$5:$F$6),""))</f>
        <v>9.5</v>
      </c>
      <c r="R520" s="19">
        <f t="shared" ref="R520:R534" si="283">N520*Q520</f>
        <v>50.92</v>
      </c>
      <c r="S520" s="37">
        <f t="shared" ref="S520:S534" si="284">P520+R520</f>
        <v>456.33429508196724</v>
      </c>
      <c r="T520" s="94" t="str">
        <f t="shared" ref="T520:T534" si="285">IF(K520="","SIN ID MÓDULO",IF(E520="HERRAJE",IF(OR(O520="",O520&lt;=0),"SIN PRECIO HERRAJE","OK"),IF(OR(O520="",O520&lt;=0),"SIN PRECIO MATERIAL",IF(AND(N520&gt;0,OR(Q520="",Q520&lt;=0)),"SIN PRECIO CINTILLA","OK"))))</f>
        <v>OK</v>
      </c>
      <c r="U520" s="95" t="str">
        <f t="shared" ref="U520:U534" si="286">IF(T520="OK","",IF(T520="SIN PRECIO HERRAJE","Capturar precio: "&amp;D520,IF(T520="SIN PRECIO MATERIAL","Configurar material: "&amp;E520,IF(T520="SIN PRECIO CINTILLA","Configurar cintilla: "&amp;E520,IF(T520="SIN ID MÓDULO","Revisar ID del módulo","")))))</f>
        <v/>
      </c>
      <c r="V520" s="96">
        <f t="shared" ref="V520:V534" si="287">IF(T520="OK",0,IF(T520="",0,1))</f>
        <v>0</v>
      </c>
    </row>
    <row r="521" spans="1:22" x14ac:dyDescent="0.2">
      <c r="A521" s="35">
        <v>1</v>
      </c>
      <c r="B521" s="6">
        <v>2100</v>
      </c>
      <c r="C521" s="6">
        <v>580</v>
      </c>
      <c r="D521" s="7" t="s">
        <v>66</v>
      </c>
      <c r="E521" s="7" t="s">
        <v>85</v>
      </c>
      <c r="F521" s="8">
        <v>1</v>
      </c>
      <c r="G521" s="8">
        <v>1</v>
      </c>
      <c r="H521" s="8">
        <v>1</v>
      </c>
      <c r="I521" s="8">
        <v>1</v>
      </c>
      <c r="J521" s="8">
        <v>1</v>
      </c>
      <c r="K521" s="16" t="s">
        <v>34</v>
      </c>
      <c r="L521" s="47" t="s">
        <v>348</v>
      </c>
      <c r="M521" s="17">
        <f t="shared" si="280"/>
        <v>1.218</v>
      </c>
      <c r="N521" s="18">
        <f t="shared" si="281"/>
        <v>5.36</v>
      </c>
      <c r="O521" s="19">
        <f>IF(E521="HERRAJE",IFERROR(_xlfn.XLOOKUP(D521,'⚙️ Configuración Costos'!$A$11:$A$20,'⚙️ Configuración Costos'!$B$11:$B$20),""),IFERROR(_xlfn.XLOOKUP(E521,'⚙️ Configuración Costos'!$A$5:$A$6,'⚙️ Configuración Costos'!$B$5:$B$6),""))</f>
        <v>332.85245901639348</v>
      </c>
      <c r="P521" s="19">
        <f t="shared" si="282"/>
        <v>405.41429508196723</v>
      </c>
      <c r="Q521" s="19">
        <f>IF(E521="HERRAJE",0,IFERROR(_xlfn.XLOOKUP(E521,'⚙️ Configuración Costos'!$E$5:$E$6,'⚙️ Configuración Costos'!$F$5:$F$6),""))</f>
        <v>9.5</v>
      </c>
      <c r="R521" s="19">
        <f t="shared" si="283"/>
        <v>50.92</v>
      </c>
      <c r="S521" s="37">
        <f t="shared" si="284"/>
        <v>456.33429508196724</v>
      </c>
      <c r="T521" s="94" t="str">
        <f t="shared" si="285"/>
        <v>OK</v>
      </c>
      <c r="U521" s="95" t="str">
        <f t="shared" si="286"/>
        <v/>
      </c>
      <c r="V521" s="96">
        <f t="shared" si="287"/>
        <v>0</v>
      </c>
    </row>
    <row r="522" spans="1:22" x14ac:dyDescent="0.2">
      <c r="A522" s="35">
        <v>1</v>
      </c>
      <c r="B522" s="6">
        <v>2069</v>
      </c>
      <c r="C522" s="6">
        <v>569</v>
      </c>
      <c r="D522" s="7" t="s">
        <v>298</v>
      </c>
      <c r="E522" s="7" t="s">
        <v>85</v>
      </c>
      <c r="F522" s="8">
        <v>1</v>
      </c>
      <c r="G522" s="8">
        <v>0</v>
      </c>
      <c r="H522" s="8">
        <v>0</v>
      </c>
      <c r="I522" s="8">
        <v>0</v>
      </c>
      <c r="J522" s="8">
        <v>0</v>
      </c>
      <c r="K522" s="16" t="s">
        <v>34</v>
      </c>
      <c r="L522" s="47" t="s">
        <v>309</v>
      </c>
      <c r="M522" s="17">
        <f t="shared" si="280"/>
        <v>1.1772609999999999</v>
      </c>
      <c r="N522" s="18">
        <f t="shared" si="281"/>
        <v>0</v>
      </c>
      <c r="O522" s="19">
        <f>IF(E522="HERRAJE",IFERROR(_xlfn.XLOOKUP(D522,'⚙️ Configuración Costos'!$A$11:$A$20,'⚙️ Configuración Costos'!$B$11:$B$20),""),IFERROR(_xlfn.XLOOKUP(E522,'⚙️ Configuración Costos'!$A$5:$A$6,'⚙️ Configuración Costos'!$B$5:$B$6),""))</f>
        <v>332.85245901639348</v>
      </c>
      <c r="P522" s="19">
        <f t="shared" si="282"/>
        <v>391.85421875409838</v>
      </c>
      <c r="Q522" s="19">
        <f>IF(E522="HERRAJE",0,IFERROR(_xlfn.XLOOKUP(E522,'⚙️ Configuración Costos'!$E$5:$E$6,'⚙️ Configuración Costos'!$F$5:$F$6),""))</f>
        <v>9.5</v>
      </c>
      <c r="R522" s="19">
        <f t="shared" si="283"/>
        <v>0</v>
      </c>
      <c r="S522" s="37">
        <f t="shared" si="284"/>
        <v>391.85421875409838</v>
      </c>
      <c r="T522" s="94" t="str">
        <f t="shared" si="285"/>
        <v>OK</v>
      </c>
      <c r="U522" s="95" t="str">
        <f t="shared" si="286"/>
        <v/>
      </c>
      <c r="V522" s="96">
        <f t="shared" si="287"/>
        <v>0</v>
      </c>
    </row>
    <row r="523" spans="1:22" x14ac:dyDescent="0.2">
      <c r="A523" s="35">
        <v>1</v>
      </c>
      <c r="B523" s="6">
        <v>569</v>
      </c>
      <c r="C523" s="6">
        <v>580</v>
      </c>
      <c r="D523" s="7" t="s">
        <v>300</v>
      </c>
      <c r="E523" s="7" t="s">
        <v>85</v>
      </c>
      <c r="F523" s="8">
        <v>1</v>
      </c>
      <c r="G523" s="8">
        <v>0</v>
      </c>
      <c r="H523" s="8">
        <v>0</v>
      </c>
      <c r="I523" s="8">
        <v>1</v>
      </c>
      <c r="J523" s="8">
        <v>1</v>
      </c>
      <c r="K523" s="16" t="s">
        <v>34</v>
      </c>
      <c r="L523" s="47" t="s">
        <v>378</v>
      </c>
      <c r="M523" s="17">
        <f t="shared" si="280"/>
        <v>0.33001999999999998</v>
      </c>
      <c r="N523" s="18">
        <f t="shared" si="281"/>
        <v>1.1599999999999999</v>
      </c>
      <c r="O523" s="19">
        <f>IF(E523="HERRAJE",IFERROR(_xlfn.XLOOKUP(D523,'⚙️ Configuración Costos'!$A$11:$A$20,'⚙️ Configuración Costos'!$B$11:$B$20),""),IFERROR(_xlfn.XLOOKUP(E523,'⚙️ Configuración Costos'!$A$5:$A$6,'⚙️ Configuración Costos'!$B$5:$B$6),""))</f>
        <v>332.85245901639348</v>
      </c>
      <c r="P523" s="19">
        <f t="shared" si="282"/>
        <v>109.84796852459017</v>
      </c>
      <c r="Q523" s="19">
        <f>IF(E523="HERRAJE",0,IFERROR(_xlfn.XLOOKUP(E523,'⚙️ Configuración Costos'!$E$5:$E$6,'⚙️ Configuración Costos'!$F$5:$F$6),""))</f>
        <v>9.5</v>
      </c>
      <c r="R523" s="19">
        <f t="shared" si="283"/>
        <v>11.02</v>
      </c>
      <c r="S523" s="37">
        <f t="shared" si="284"/>
        <v>120.86796852459017</v>
      </c>
      <c r="T523" s="94" t="str">
        <f t="shared" si="285"/>
        <v>OK</v>
      </c>
      <c r="U523" s="95" t="str">
        <f t="shared" si="286"/>
        <v/>
      </c>
      <c r="V523" s="96">
        <f t="shared" si="287"/>
        <v>0</v>
      </c>
    </row>
    <row r="524" spans="1:22" x14ac:dyDescent="0.2">
      <c r="A524" s="35">
        <v>1</v>
      </c>
      <c r="B524" s="6">
        <v>569</v>
      </c>
      <c r="C524" s="6">
        <v>580</v>
      </c>
      <c r="D524" s="7" t="s">
        <v>302</v>
      </c>
      <c r="E524" s="7" t="s">
        <v>85</v>
      </c>
      <c r="F524" s="8">
        <v>1</v>
      </c>
      <c r="G524" s="8">
        <v>0</v>
      </c>
      <c r="H524" s="8">
        <v>0</v>
      </c>
      <c r="I524" s="8">
        <v>1</v>
      </c>
      <c r="J524" s="8">
        <v>1</v>
      </c>
      <c r="K524" s="16" t="s">
        <v>34</v>
      </c>
      <c r="L524" s="47" t="s">
        <v>379</v>
      </c>
      <c r="M524" s="17">
        <f t="shared" si="280"/>
        <v>0.33001999999999998</v>
      </c>
      <c r="N524" s="18">
        <f t="shared" si="281"/>
        <v>1.1599999999999999</v>
      </c>
      <c r="O524" s="19">
        <f>IF(E524="HERRAJE",IFERROR(_xlfn.XLOOKUP(D524,'⚙️ Configuración Costos'!$A$11:$A$20,'⚙️ Configuración Costos'!$B$11:$B$20),""),IFERROR(_xlfn.XLOOKUP(E524,'⚙️ Configuración Costos'!$A$5:$A$6,'⚙️ Configuración Costos'!$B$5:$B$6),""))</f>
        <v>332.85245901639348</v>
      </c>
      <c r="P524" s="19">
        <f t="shared" si="282"/>
        <v>109.84796852459017</v>
      </c>
      <c r="Q524" s="19">
        <f>IF(E524="HERRAJE",0,IFERROR(_xlfn.XLOOKUP(E524,'⚙️ Configuración Costos'!$E$5:$E$6,'⚙️ Configuración Costos'!$F$5:$F$6),""))</f>
        <v>9.5</v>
      </c>
      <c r="R524" s="19">
        <f t="shared" si="283"/>
        <v>11.02</v>
      </c>
      <c r="S524" s="37">
        <f t="shared" si="284"/>
        <v>120.86796852459017</v>
      </c>
      <c r="T524" s="94" t="str">
        <f t="shared" si="285"/>
        <v>OK</v>
      </c>
      <c r="U524" s="95" t="str">
        <f t="shared" si="286"/>
        <v/>
      </c>
      <c r="V524" s="96">
        <f t="shared" si="287"/>
        <v>0</v>
      </c>
    </row>
    <row r="525" spans="1:22" x14ac:dyDescent="0.2">
      <c r="A525" s="35">
        <v>4</v>
      </c>
      <c r="B525" s="6">
        <v>569</v>
      </c>
      <c r="C525" s="6">
        <v>490</v>
      </c>
      <c r="D525" s="7" t="s">
        <v>488</v>
      </c>
      <c r="E525" s="7" t="s">
        <v>85</v>
      </c>
      <c r="F525" s="8">
        <v>1</v>
      </c>
      <c r="G525" s="8">
        <v>1</v>
      </c>
      <c r="H525" s="8">
        <v>0</v>
      </c>
      <c r="I525" s="8">
        <v>0</v>
      </c>
      <c r="J525" s="8">
        <v>0</v>
      </c>
      <c r="K525" s="16" t="s">
        <v>34</v>
      </c>
      <c r="L525" s="47" t="s">
        <v>312</v>
      </c>
      <c r="M525" s="17">
        <f t="shared" si="280"/>
        <v>1.11524</v>
      </c>
      <c r="N525" s="18">
        <f t="shared" si="281"/>
        <v>2.2759999999999998</v>
      </c>
      <c r="O525" s="19">
        <f>IF(E525="HERRAJE",IFERROR(_xlfn.XLOOKUP(D525,'⚙️ Configuración Costos'!$A$11:$A$20,'⚙️ Configuración Costos'!$B$11:$B$20),""),IFERROR(_xlfn.XLOOKUP(E525,'⚙️ Configuración Costos'!$A$5:$A$6,'⚙️ Configuración Costos'!$B$5:$B$6),""))</f>
        <v>332.85245901639348</v>
      </c>
      <c r="P525" s="19">
        <f t="shared" si="282"/>
        <v>371.21037639344269</v>
      </c>
      <c r="Q525" s="19">
        <f>IF(E525="HERRAJE",0,IFERROR(_xlfn.XLOOKUP(E525,'⚙️ Configuración Costos'!$E$5:$E$6,'⚙️ Configuración Costos'!$F$5:$F$6),""))</f>
        <v>9.5</v>
      </c>
      <c r="R525" s="19">
        <f t="shared" si="283"/>
        <v>21.622</v>
      </c>
      <c r="S525" s="37">
        <f t="shared" si="284"/>
        <v>392.8323763934427</v>
      </c>
      <c r="T525" s="94" t="str">
        <f t="shared" si="285"/>
        <v>OK</v>
      </c>
      <c r="U525" s="95" t="str">
        <f t="shared" si="286"/>
        <v/>
      </c>
      <c r="V525" s="96">
        <f t="shared" si="287"/>
        <v>0</v>
      </c>
    </row>
    <row r="526" spans="1:22" x14ac:dyDescent="0.2">
      <c r="A526" s="35">
        <v>1</v>
      </c>
      <c r="B526" s="6">
        <v>2096</v>
      </c>
      <c r="C526" s="6">
        <v>596</v>
      </c>
      <c r="D526" s="7" t="s">
        <v>306</v>
      </c>
      <c r="E526" s="7" t="s">
        <v>85</v>
      </c>
      <c r="F526" s="8">
        <v>1</v>
      </c>
      <c r="G526" s="8">
        <v>1</v>
      </c>
      <c r="H526" s="8">
        <v>1</v>
      </c>
      <c r="I526" s="8">
        <v>1</v>
      </c>
      <c r="J526" s="8">
        <v>1</v>
      </c>
      <c r="K526" s="16" t="s">
        <v>34</v>
      </c>
      <c r="L526" s="47" t="s">
        <v>313</v>
      </c>
      <c r="M526" s="17">
        <f t="shared" si="280"/>
        <v>1.2492160000000001</v>
      </c>
      <c r="N526" s="18">
        <f t="shared" si="281"/>
        <v>5.3840000000000003</v>
      </c>
      <c r="O526" s="19">
        <f>IF(E526="HERRAJE",IFERROR(_xlfn.XLOOKUP(D526,'⚙️ Configuración Costos'!$A$11:$A$20,'⚙️ Configuración Costos'!$B$11:$B$20),""),IFERROR(_xlfn.XLOOKUP(E526,'⚙️ Configuración Costos'!$A$5:$A$6,'⚙️ Configuración Costos'!$B$5:$B$6),""))</f>
        <v>332.85245901639348</v>
      </c>
      <c r="P526" s="19">
        <f t="shared" si="282"/>
        <v>415.80461744262306</v>
      </c>
      <c r="Q526" s="19">
        <f>IF(E526="HERRAJE",0,IFERROR(_xlfn.XLOOKUP(E526,'⚙️ Configuración Costos'!$E$5:$E$6,'⚙️ Configuración Costos'!$F$5:$F$6),""))</f>
        <v>9.5</v>
      </c>
      <c r="R526" s="19">
        <f t="shared" si="283"/>
        <v>51.148000000000003</v>
      </c>
      <c r="S526" s="37">
        <f t="shared" si="284"/>
        <v>466.95261744262308</v>
      </c>
      <c r="T526" s="94" t="str">
        <f t="shared" si="285"/>
        <v>OK</v>
      </c>
      <c r="U526" s="95" t="str">
        <f t="shared" si="286"/>
        <v/>
      </c>
      <c r="V526" s="96">
        <f t="shared" si="287"/>
        <v>0</v>
      </c>
    </row>
    <row r="527" spans="1:22" x14ac:dyDescent="0.2">
      <c r="A527" s="35">
        <v>2</v>
      </c>
      <c r="B527" s="6">
        <v>0</v>
      </c>
      <c r="C527" s="6">
        <v>0</v>
      </c>
      <c r="D527" s="7" t="s">
        <v>90</v>
      </c>
      <c r="E527" s="7" t="s">
        <v>91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16" t="s">
        <v>34</v>
      </c>
      <c r="L527" s="47" t="s">
        <v>92</v>
      </c>
      <c r="M527" s="17">
        <f t="shared" si="280"/>
        <v>0</v>
      </c>
      <c r="N527" s="18">
        <f t="shared" si="281"/>
        <v>0</v>
      </c>
      <c r="O527" s="19">
        <f>IF(E527="HERRAJE",IFERROR(_xlfn.XLOOKUP(D527,'⚙️ Configuración Costos'!$A$11:$A$20,'⚙️ Configuración Costos'!$B$11:$B$20),""),IFERROR(_xlfn.XLOOKUP(E527,'⚙️ Configuración Costos'!$A$5:$A$6,'⚙️ Configuración Costos'!$B$5:$B$6),""))</f>
        <v>20</v>
      </c>
      <c r="P527" s="19">
        <f t="shared" si="282"/>
        <v>40</v>
      </c>
      <c r="Q527" s="19">
        <f>IF(E527="HERRAJE",0,IFERROR(_xlfn.XLOOKUP(E527,'⚙️ Configuración Costos'!$E$5:$E$6,'⚙️ Configuración Costos'!$F$5:$F$6),""))</f>
        <v>0</v>
      </c>
      <c r="R527" s="19">
        <f t="shared" si="283"/>
        <v>0</v>
      </c>
      <c r="S527" s="37">
        <f t="shared" si="284"/>
        <v>40</v>
      </c>
      <c r="T527" s="94" t="str">
        <f t="shared" si="285"/>
        <v>OK</v>
      </c>
      <c r="U527" s="95" t="str">
        <f t="shared" si="286"/>
        <v/>
      </c>
      <c r="V527" s="96">
        <f t="shared" si="287"/>
        <v>0</v>
      </c>
    </row>
    <row r="528" spans="1:22" x14ac:dyDescent="0.2">
      <c r="A528" s="35">
        <v>1</v>
      </c>
      <c r="B528" s="6">
        <v>0</v>
      </c>
      <c r="C528" s="6">
        <v>0</v>
      </c>
      <c r="D528" s="7" t="s">
        <v>93</v>
      </c>
      <c r="E528" s="7" t="s">
        <v>91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16" t="s">
        <v>34</v>
      </c>
      <c r="L528" s="47" t="s">
        <v>94</v>
      </c>
      <c r="M528" s="17">
        <f t="shared" si="280"/>
        <v>0</v>
      </c>
      <c r="N528" s="18">
        <f t="shared" si="281"/>
        <v>0</v>
      </c>
      <c r="O528" s="19">
        <f>IF(E528="HERRAJE",IFERROR(_xlfn.XLOOKUP(D528,'⚙️ Configuración Costos'!$A$11:$A$20,'⚙️ Configuración Costos'!$B$11:$B$20),""),IFERROR(_xlfn.XLOOKUP(E528,'⚙️ Configuración Costos'!$A$5:$A$6,'⚙️ Configuración Costos'!$B$5:$B$6),""))</f>
        <v>15</v>
      </c>
      <c r="P528" s="19">
        <f t="shared" si="282"/>
        <v>15</v>
      </c>
      <c r="Q528" s="19">
        <f>IF(E528="HERRAJE",0,IFERROR(_xlfn.XLOOKUP(E528,'⚙️ Configuración Costos'!$E$5:$E$6,'⚙️ Configuración Costos'!$F$5:$F$6),""))</f>
        <v>0</v>
      </c>
      <c r="R528" s="19">
        <f t="shared" si="283"/>
        <v>0</v>
      </c>
      <c r="S528" s="37">
        <f t="shared" si="284"/>
        <v>15</v>
      </c>
      <c r="T528" s="94" t="str">
        <f t="shared" si="285"/>
        <v>OK</v>
      </c>
      <c r="U528" s="95" t="str">
        <f t="shared" si="286"/>
        <v/>
      </c>
      <c r="V528" s="96">
        <f t="shared" si="287"/>
        <v>0</v>
      </c>
    </row>
    <row r="529" spans="1:22" x14ac:dyDescent="0.2">
      <c r="A529" s="35">
        <v>4</v>
      </c>
      <c r="B529" s="6">
        <v>0</v>
      </c>
      <c r="C529" s="6">
        <v>0</v>
      </c>
      <c r="D529" s="7" t="s">
        <v>90</v>
      </c>
      <c r="E529" s="7" t="s">
        <v>91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16" t="s">
        <v>34</v>
      </c>
      <c r="L529" s="47" t="s">
        <v>92</v>
      </c>
      <c r="M529" s="17">
        <f t="shared" si="280"/>
        <v>0</v>
      </c>
      <c r="N529" s="18">
        <f t="shared" si="281"/>
        <v>0</v>
      </c>
      <c r="O529" s="19">
        <f>IF(E529="HERRAJE",IFERROR(_xlfn.XLOOKUP(D529,'⚙️ Configuración Costos'!$A$11:$A$20,'⚙️ Configuración Costos'!$B$11:$B$20),""),IFERROR(_xlfn.XLOOKUP(E529,'⚙️ Configuración Costos'!$A$5:$A$6,'⚙️ Configuración Costos'!$B$5:$B$6),""))</f>
        <v>20</v>
      </c>
      <c r="P529" s="19">
        <f t="shared" si="282"/>
        <v>80</v>
      </c>
      <c r="Q529" s="19">
        <f>IF(E529="HERRAJE",0,IFERROR(_xlfn.XLOOKUP(E529,'⚙️ Configuración Costos'!$E$5:$E$6,'⚙️ Configuración Costos'!$F$5:$F$6),""))</f>
        <v>0</v>
      </c>
      <c r="R529" s="19">
        <f t="shared" si="283"/>
        <v>0</v>
      </c>
      <c r="S529" s="37">
        <f t="shared" si="284"/>
        <v>80</v>
      </c>
      <c r="T529" s="94" t="str">
        <f t="shared" si="285"/>
        <v>OK</v>
      </c>
      <c r="U529" s="95" t="str">
        <f t="shared" si="286"/>
        <v/>
      </c>
      <c r="V529" s="96">
        <f t="shared" si="287"/>
        <v>0</v>
      </c>
    </row>
    <row r="530" spans="1:22" x14ac:dyDescent="0.2">
      <c r="A530" s="35">
        <v>1</v>
      </c>
      <c r="B530" s="6">
        <v>0</v>
      </c>
      <c r="C530" s="6">
        <v>0</v>
      </c>
      <c r="D530" s="7" t="s">
        <v>93</v>
      </c>
      <c r="E530" s="7" t="s">
        <v>91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16" t="s">
        <v>34</v>
      </c>
      <c r="L530" s="47" t="s">
        <v>94</v>
      </c>
      <c r="M530" s="17">
        <f t="shared" si="280"/>
        <v>0</v>
      </c>
      <c r="N530" s="18">
        <f t="shared" si="281"/>
        <v>0</v>
      </c>
      <c r="O530" s="19">
        <f>IF(E530="HERRAJE",IFERROR(_xlfn.XLOOKUP(D530,'⚙️ Configuración Costos'!$A$11:$A$20,'⚙️ Configuración Costos'!$B$11:$B$20),""),IFERROR(_xlfn.XLOOKUP(E530,'⚙️ Configuración Costos'!$A$5:$A$6,'⚙️ Configuración Costos'!$B$5:$B$6),""))</f>
        <v>15</v>
      </c>
      <c r="P530" s="19">
        <f t="shared" si="282"/>
        <v>15</v>
      </c>
      <c r="Q530" s="19">
        <f>IF(E530="HERRAJE",0,IFERROR(_xlfn.XLOOKUP(E530,'⚙️ Configuración Costos'!$E$5:$E$6,'⚙️ Configuración Costos'!$F$5:$F$6),""))</f>
        <v>0</v>
      </c>
      <c r="R530" s="19">
        <f t="shared" si="283"/>
        <v>0</v>
      </c>
      <c r="S530" s="37">
        <f t="shared" si="284"/>
        <v>15</v>
      </c>
      <c r="T530" s="94" t="str">
        <f t="shared" si="285"/>
        <v>OK</v>
      </c>
      <c r="U530" s="95" t="str">
        <f t="shared" si="286"/>
        <v/>
      </c>
      <c r="V530" s="96">
        <f t="shared" si="287"/>
        <v>0</v>
      </c>
    </row>
    <row r="531" spans="1:22" x14ac:dyDescent="0.2">
      <c r="A531" s="35">
        <v>4</v>
      </c>
      <c r="B531" s="6">
        <v>0</v>
      </c>
      <c r="C531" s="6">
        <v>0</v>
      </c>
      <c r="D531" s="7" t="s">
        <v>186</v>
      </c>
      <c r="E531" s="7" t="s">
        <v>91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16" t="s">
        <v>34</v>
      </c>
      <c r="L531" s="47" t="s">
        <v>187</v>
      </c>
      <c r="M531" s="17">
        <f t="shared" si="280"/>
        <v>0</v>
      </c>
      <c r="N531" s="18">
        <f t="shared" si="281"/>
        <v>0</v>
      </c>
      <c r="O531" s="19">
        <f>IF(E531="HERRAJE",IFERROR(_xlfn.XLOOKUP(D531,'⚙️ Configuración Costos'!$A$11:$A$20,'⚙️ Configuración Costos'!$B$11:$B$20),""),IFERROR(_xlfn.XLOOKUP(E531,'⚙️ Configuración Costos'!$A$5:$A$6,'⚙️ Configuración Costos'!$B$5:$B$6),""))</f>
        <v>15</v>
      </c>
      <c r="P531" s="19">
        <f t="shared" si="282"/>
        <v>60</v>
      </c>
      <c r="Q531" s="19">
        <f>IF(E531="HERRAJE",0,IFERROR(_xlfn.XLOOKUP(E531,'⚙️ Configuración Costos'!$E$5:$E$6,'⚙️ Configuración Costos'!$F$5:$F$6),""))</f>
        <v>0</v>
      </c>
      <c r="R531" s="19">
        <f t="shared" si="283"/>
        <v>0</v>
      </c>
      <c r="S531" s="37">
        <f t="shared" si="284"/>
        <v>60</v>
      </c>
      <c r="T531" s="94" t="str">
        <f t="shared" si="285"/>
        <v>OK</v>
      </c>
      <c r="U531" s="95" t="str">
        <f t="shared" si="286"/>
        <v/>
      </c>
      <c r="V531" s="96">
        <f t="shared" si="287"/>
        <v>0</v>
      </c>
    </row>
    <row r="532" spans="1:22" x14ac:dyDescent="0.2">
      <c r="A532" s="35">
        <v>16</v>
      </c>
      <c r="B532" s="6">
        <v>0</v>
      </c>
      <c r="C532" s="6">
        <v>0</v>
      </c>
      <c r="D532" s="7" t="s">
        <v>95</v>
      </c>
      <c r="E532" s="7" t="s">
        <v>91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16" t="s">
        <v>34</v>
      </c>
      <c r="L532" s="47" t="s">
        <v>96</v>
      </c>
      <c r="M532" s="17">
        <f t="shared" si="280"/>
        <v>0</v>
      </c>
      <c r="N532" s="18">
        <f t="shared" si="281"/>
        <v>0</v>
      </c>
      <c r="O532" s="19">
        <f>IF(E532="HERRAJE",IFERROR(_xlfn.XLOOKUP(D532,'⚙️ Configuración Costos'!$A$11:$A$20,'⚙️ Configuración Costos'!$B$11:$B$20),""),IFERROR(_xlfn.XLOOKUP(E532,'⚙️ Configuración Costos'!$A$5:$A$6,'⚙️ Configuración Costos'!$B$5:$B$6),""))</f>
        <v>2</v>
      </c>
      <c r="P532" s="19">
        <f t="shared" si="282"/>
        <v>32</v>
      </c>
      <c r="Q532" s="19">
        <f>IF(E532="HERRAJE",0,IFERROR(_xlfn.XLOOKUP(E532,'⚙️ Configuración Costos'!$E$5:$E$6,'⚙️ Configuración Costos'!$F$5:$F$6),""))</f>
        <v>0</v>
      </c>
      <c r="R532" s="19">
        <f t="shared" si="283"/>
        <v>0</v>
      </c>
      <c r="S532" s="37">
        <f t="shared" si="284"/>
        <v>32</v>
      </c>
      <c r="T532" s="94" t="str">
        <f t="shared" si="285"/>
        <v>OK</v>
      </c>
      <c r="U532" s="95" t="str">
        <f t="shared" si="286"/>
        <v/>
      </c>
      <c r="V532" s="96">
        <f t="shared" si="287"/>
        <v>0</v>
      </c>
    </row>
    <row r="533" spans="1:22" x14ac:dyDescent="0.2">
      <c r="A533" s="36">
        <f>4*(IF(LEFT(D520,4)="Base",A520,0)+IF(LEFT(D520,4)="Piso",A520,0)+IF(LEFT(D520,5)="Techo",A520,0)+IF(LEFT(D521,4)="Base",A521,0)+IF(LEFT(D521,4)="Piso",A521,0)+IF(LEFT(D521,5)="Techo",A521,0)+IF(LEFT(D522,4)="Base",A522,0)+IF(LEFT(D522,4)="Piso",A522,0)+IF(LEFT(D522,5)="Techo",A522,0)+IF(LEFT(D523,4)="Base",A523,0)+IF(LEFT(D523,4)="Piso",A523,0)+IF(LEFT(D523,5)="Techo",A523,0)+IF(LEFT(D524,4)="Base",A524,0)+IF(LEFT(D524,4)="Piso",A524,0)+IF(LEFT(D524,5)="Techo",A524,0)+IF(LEFT(D525,4)="Base",A525,0)+IF(LEFT(D525,4)="Piso",A525,0)+IF(LEFT(D525,5)="Techo",A525,0)+IF(LEFT(D526,4)="Base",A526,0)+IF(LEFT(D526,4)="Piso",A526,0)+IF(LEFT(D526,5)="Techo",A526,0))+10*(IF(LEFT(D520,8)="Respaldo",A520,0)+IF(LEFT(D521,8)="Respaldo",A521,0)+IF(LEFT(D522,8)="Respaldo",A522,0)+IF(LEFT(D523,8)="Respaldo",A523,0)+IF(LEFT(D524,8)="Respaldo",A524,0)+IF(LEFT(D525,8)="Respaldo",A525,0)+IF(LEFT(D526,8)="Respaldo",A526,0))+2*(IF(LEFT(D520,8)="Manguete",A520,0)+IF(LEFT(D521,8)="Manguete",A521,0)+IF(LEFT(D522,8)="Manguete",A522,0)+IF(LEFT(D523,8)="Manguete",A523,0)+IF(LEFT(D524,8)="Manguete",A524,0)+IF(LEFT(D525,8)="Manguete",A525,0)+IF(LEFT(D526,8)="Manguete",A526,0))</f>
        <v>18</v>
      </c>
      <c r="B533" s="20">
        <v>0</v>
      </c>
      <c r="C533" s="20">
        <v>0</v>
      </c>
      <c r="D533" s="21" t="s">
        <v>400</v>
      </c>
      <c r="E533" s="21" t="s">
        <v>91</v>
      </c>
      <c r="F533" s="22">
        <v>0</v>
      </c>
      <c r="G533" s="22">
        <v>0</v>
      </c>
      <c r="H533" s="22">
        <v>0</v>
      </c>
      <c r="I533" s="22">
        <v>0</v>
      </c>
      <c r="J533" s="22">
        <v>0</v>
      </c>
      <c r="K533" s="16" t="s">
        <v>34</v>
      </c>
      <c r="L533" s="48" t="s">
        <v>360</v>
      </c>
      <c r="M533" s="17">
        <f t="shared" si="280"/>
        <v>0</v>
      </c>
      <c r="N533" s="18">
        <f t="shared" si="281"/>
        <v>0</v>
      </c>
      <c r="O533" s="19">
        <f>IF(E533="HERRAJE",IFERROR(_xlfn.XLOOKUP(D533,'⚙️ Configuración Costos'!$A$11:$A$20,'⚙️ Configuración Costos'!$B$11:$B$20),""),IFERROR(_xlfn.XLOOKUP(E533,'⚙️ Configuración Costos'!$A$5:$A$6,'⚙️ Configuración Costos'!$B$5:$B$6),""))</f>
        <v>3</v>
      </c>
      <c r="P533" s="19">
        <f t="shared" si="282"/>
        <v>54</v>
      </c>
      <c r="Q533" s="19">
        <f>IF(E533="HERRAJE",0,IFERROR(_xlfn.XLOOKUP(E533,'⚙️ Configuración Costos'!$E$5:$E$6,'⚙️ Configuración Costos'!$F$5:$F$6),""))</f>
        <v>0</v>
      </c>
      <c r="R533" s="19">
        <f t="shared" si="283"/>
        <v>0</v>
      </c>
      <c r="S533" s="37">
        <f t="shared" si="284"/>
        <v>54</v>
      </c>
      <c r="T533" s="94" t="str">
        <f t="shared" si="285"/>
        <v>OK</v>
      </c>
      <c r="U533" s="95" t="str">
        <f t="shared" si="286"/>
        <v/>
      </c>
      <c r="V533" s="96">
        <f t="shared" si="287"/>
        <v>0</v>
      </c>
    </row>
    <row r="534" spans="1:22" ht="16" thickBot="1" x14ac:dyDescent="0.25">
      <c r="A534" s="36">
        <f>6*(IF(LEFT(D520,4)="Base",A520,0)+IF(LEFT(D520,4)="Piso",A520,0)+IF(LEFT(D520,5)="Techo",A520,0)+IF(LEFT(D521,4)="Base",A521,0)+IF(LEFT(D521,4)="Piso",A521,0)+IF(LEFT(D521,5)="Techo",A521,0)+IF(LEFT(D522,4)="Base",A522,0)+IF(LEFT(D522,4)="Piso",A522,0)+IF(LEFT(D522,5)="Techo",A522,0)+IF(LEFT(D523,4)="Base",A523,0)+IF(LEFT(D523,4)="Piso",A523,0)+IF(LEFT(D523,5)="Techo",A523,0)+IF(LEFT(D524,4)="Base",A524,0)+IF(LEFT(D524,4)="Piso",A524,0)+IF(LEFT(D524,5)="Techo",A524,0)+IF(LEFT(D525,4)="Base",A525,0)+IF(LEFT(D525,4)="Piso",A525,0)+IF(LEFT(D525,5)="Techo",A525,0)+IF(LEFT(D526,4)="Base",A526,0)+IF(LEFT(D526,4)="Piso",A526,0)+IF(LEFT(D526,5)="Techo",A526,0))+10*(IF(LEFT(D520,8)="Respaldo",A520,0)+IF(LEFT(D521,8)="Respaldo",A521,0)+IF(LEFT(D522,8)="Respaldo",A522,0)+IF(LEFT(D523,8)="Respaldo",A523,0)+IF(LEFT(D524,8)="Respaldo",A524,0)+IF(LEFT(D525,8)="Respaldo",A525,0)+IF(LEFT(D526,8)="Respaldo",A526,0))+4*(IF(LEFT(D520,8)="Manguete",A520,0)+IF(LEFT(D521,8)="Manguete",A521,0)+IF(LEFT(D522,8)="Manguete",A522,0)+IF(LEFT(D523,8)="Manguete",A523,0)+IF(LEFT(D524,8)="Manguete",A524,0)+IF(LEFT(D525,8)="Manguete",A525,0)+IF(LEFT(D526,8)="Manguete",A526,0))</f>
        <v>22</v>
      </c>
      <c r="B534" s="20">
        <v>0</v>
      </c>
      <c r="C534" s="20">
        <v>0</v>
      </c>
      <c r="D534" s="21" t="s">
        <v>468</v>
      </c>
      <c r="E534" s="21" t="s">
        <v>91</v>
      </c>
      <c r="F534" s="22">
        <v>0</v>
      </c>
      <c r="G534" s="22">
        <v>0</v>
      </c>
      <c r="H534" s="22">
        <v>0</v>
      </c>
      <c r="I534" s="22">
        <v>0</v>
      </c>
      <c r="J534" s="22">
        <v>0</v>
      </c>
      <c r="K534" s="16" t="s">
        <v>34</v>
      </c>
      <c r="L534" s="48" t="s">
        <v>361</v>
      </c>
      <c r="M534" s="17">
        <f t="shared" si="280"/>
        <v>0</v>
      </c>
      <c r="N534" s="18">
        <f t="shared" si="281"/>
        <v>0</v>
      </c>
      <c r="O534" s="19">
        <f>IF(E534="HERRAJE",IFERROR(_xlfn.XLOOKUP(D534,'⚙️ Configuración Costos'!$A$11:$A$20,'⚙️ Configuración Costos'!$B$11:$B$20),""),IFERROR(_xlfn.XLOOKUP(E534,'⚙️ Configuración Costos'!$A$5:$A$6,'⚙️ Configuración Costos'!$B$5:$B$6),""))</f>
        <v>1</v>
      </c>
      <c r="P534" s="19">
        <f t="shared" si="282"/>
        <v>22</v>
      </c>
      <c r="Q534" s="19">
        <f>IF(E534="HERRAJE",0,IFERROR(_xlfn.XLOOKUP(E534,'⚙️ Configuración Costos'!$E$5:$E$6,'⚙️ Configuración Costos'!$F$5:$F$6),""))</f>
        <v>0</v>
      </c>
      <c r="R534" s="19">
        <f t="shared" si="283"/>
        <v>0</v>
      </c>
      <c r="S534" s="37">
        <f t="shared" si="284"/>
        <v>22</v>
      </c>
      <c r="T534" s="94" t="str">
        <f t="shared" si="285"/>
        <v>OK</v>
      </c>
      <c r="U534" s="95" t="str">
        <f t="shared" si="286"/>
        <v/>
      </c>
      <c r="V534" s="96">
        <f t="shared" si="287"/>
        <v>0</v>
      </c>
    </row>
    <row r="535" spans="1:22" ht="16" thickTop="1" x14ac:dyDescent="0.2">
      <c r="A535" s="27" t="s">
        <v>99</v>
      </c>
      <c r="B535" s="27"/>
      <c r="C535" s="27"/>
      <c r="D535" s="28"/>
      <c r="E535" s="28"/>
      <c r="F535" s="29"/>
      <c r="G535" s="29"/>
      <c r="H535" s="29"/>
      <c r="I535" s="29"/>
      <c r="J535" s="29"/>
      <c r="K535" s="30"/>
      <c r="L535" s="49"/>
      <c r="M535" s="31">
        <f>SUM(M520:M534)</f>
        <v>6.6377570000000006</v>
      </c>
      <c r="N535" s="32">
        <f>SUM(N520:N534)</f>
        <v>20.700000000000003</v>
      </c>
      <c r="O535" s="33"/>
      <c r="P535" s="33">
        <f>SUM(P520:P534)</f>
        <v>2527.393739803279</v>
      </c>
      <c r="Q535" s="33"/>
      <c r="R535" s="33">
        <f>SUM(R520:R534)</f>
        <v>196.65</v>
      </c>
      <c r="S535" s="33">
        <f>SUM(S520:S534)</f>
        <v>2724.0437398032791</v>
      </c>
      <c r="T535" s="97"/>
      <c r="U535" s="98"/>
      <c r="V535" s="99"/>
    </row>
    <row r="536" spans="1:22" x14ac:dyDescent="0.2">
      <c r="A536" s="186" t="s">
        <v>314</v>
      </c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8"/>
      <c r="T536" s="97"/>
      <c r="U536" s="98"/>
      <c r="V536" s="99"/>
    </row>
    <row r="537" spans="1:22" x14ac:dyDescent="0.2">
      <c r="A537" s="34">
        <v>1</v>
      </c>
      <c r="B537" s="13">
        <v>2100</v>
      </c>
      <c r="C537" s="13">
        <v>580</v>
      </c>
      <c r="D537" s="14" t="s">
        <v>63</v>
      </c>
      <c r="E537" s="14" t="s">
        <v>85</v>
      </c>
      <c r="F537" s="15">
        <v>1</v>
      </c>
      <c r="G537" s="15">
        <v>1</v>
      </c>
      <c r="H537" s="15">
        <v>1</v>
      </c>
      <c r="I537" s="15">
        <v>1</v>
      </c>
      <c r="J537" s="15">
        <v>1</v>
      </c>
      <c r="K537" s="16" t="s">
        <v>35</v>
      </c>
      <c r="L537" s="46" t="s">
        <v>346</v>
      </c>
      <c r="M537" s="17">
        <f t="shared" ref="M537:M550" si="288">IF(AND(ISNUMBER(B537),ISNUMBER(C537),B537&gt;0,C537&gt;0),A537*(B537*C537/1000000),0)</f>
        <v>1.218</v>
      </c>
      <c r="N537" s="18">
        <f t="shared" ref="N537:N550" si="289">IF(AND(ISNUMBER(B537),B537&gt;0),A537*(((G537+H537)*B537+(I537+J537)*C537)/1000),0)</f>
        <v>5.36</v>
      </c>
      <c r="O537" s="19">
        <f>IF(E537="HERRAJE",IFERROR(_xlfn.XLOOKUP(D537,'⚙️ Configuración Costos'!$A$11:$A$20,'⚙️ Configuración Costos'!$B$11:$B$20),""),IFERROR(_xlfn.XLOOKUP(E537,'⚙️ Configuración Costos'!$A$5:$A$6,'⚙️ Configuración Costos'!$B$5:$B$6),""))</f>
        <v>332.85245901639348</v>
      </c>
      <c r="P537" s="19">
        <f t="shared" ref="P537:P550" si="290">IF(E537="HERRAJE",A537*O537,M537*O537)</f>
        <v>405.41429508196723</v>
      </c>
      <c r="Q537" s="19">
        <f>IF(E537="HERRAJE",0,IFERROR(_xlfn.XLOOKUP(E537,'⚙️ Configuración Costos'!$E$5:$E$6,'⚙️ Configuración Costos'!$F$5:$F$6),""))</f>
        <v>9.5</v>
      </c>
      <c r="R537" s="19">
        <f t="shared" ref="R537:R550" si="291">N537*Q537</f>
        <v>50.92</v>
      </c>
      <c r="S537" s="37">
        <f t="shared" ref="S537:S550" si="292">P537+R537</f>
        <v>456.33429508196724</v>
      </c>
      <c r="T537" s="94" t="str">
        <f t="shared" ref="T537:T550" si="293">IF(K537="","SIN ID MÓDULO",IF(E537="HERRAJE",IF(OR(O537="",O537&lt;=0),"SIN PRECIO HERRAJE","OK"),IF(OR(O537="",O537&lt;=0),"SIN PRECIO MATERIAL",IF(AND(N537&gt;0,OR(Q537="",Q537&lt;=0)),"SIN PRECIO CINTILLA","OK"))))</f>
        <v>OK</v>
      </c>
      <c r="U537" s="95" t="str">
        <f t="shared" ref="U537:U550" si="294">IF(T537="OK","",IF(T537="SIN PRECIO HERRAJE","Capturar precio: "&amp;D537,IF(T537="SIN PRECIO MATERIAL","Configurar material: "&amp;E537,IF(T537="SIN PRECIO CINTILLA","Configurar cintilla: "&amp;E537,IF(T537="SIN ID MÓDULO","Revisar ID del módulo","")))))</f>
        <v/>
      </c>
      <c r="V537" s="96">
        <f t="shared" ref="V537:V550" si="295">IF(T537="OK",0,IF(T537="",0,1))</f>
        <v>0</v>
      </c>
    </row>
    <row r="538" spans="1:22" x14ac:dyDescent="0.2">
      <c r="A538" s="35">
        <v>1</v>
      </c>
      <c r="B538" s="6">
        <v>2100</v>
      </c>
      <c r="C538" s="6">
        <v>580</v>
      </c>
      <c r="D538" s="7" t="s">
        <v>66</v>
      </c>
      <c r="E538" s="7" t="s">
        <v>85</v>
      </c>
      <c r="F538" s="8">
        <v>1</v>
      </c>
      <c r="G538" s="8">
        <v>1</v>
      </c>
      <c r="H538" s="8">
        <v>1</v>
      </c>
      <c r="I538" s="8">
        <v>1</v>
      </c>
      <c r="J538" s="8">
        <v>1</v>
      </c>
      <c r="K538" s="16" t="s">
        <v>35</v>
      </c>
      <c r="L538" s="47" t="s">
        <v>348</v>
      </c>
      <c r="M538" s="17">
        <f t="shared" si="288"/>
        <v>1.218</v>
      </c>
      <c r="N538" s="18">
        <f t="shared" si="289"/>
        <v>5.36</v>
      </c>
      <c r="O538" s="19">
        <f>IF(E538="HERRAJE",IFERROR(_xlfn.XLOOKUP(D538,'⚙️ Configuración Costos'!$A$11:$A$20,'⚙️ Configuración Costos'!$B$11:$B$20),""),IFERROR(_xlfn.XLOOKUP(E538,'⚙️ Configuración Costos'!$A$5:$A$6,'⚙️ Configuración Costos'!$B$5:$B$6),""))</f>
        <v>332.85245901639348</v>
      </c>
      <c r="P538" s="19">
        <f t="shared" si="290"/>
        <v>405.41429508196723</v>
      </c>
      <c r="Q538" s="19">
        <f>IF(E538="HERRAJE",0,IFERROR(_xlfn.XLOOKUP(E538,'⚙️ Configuración Costos'!$E$5:$E$6,'⚙️ Configuración Costos'!$F$5:$F$6),""))</f>
        <v>9.5</v>
      </c>
      <c r="R538" s="19">
        <f t="shared" si="291"/>
        <v>50.92</v>
      </c>
      <c r="S538" s="37">
        <f t="shared" si="292"/>
        <v>456.33429508196724</v>
      </c>
      <c r="T538" s="94" t="str">
        <f t="shared" si="293"/>
        <v>OK</v>
      </c>
      <c r="U538" s="95" t="str">
        <f t="shared" si="294"/>
        <v/>
      </c>
      <c r="V538" s="96">
        <f t="shared" si="295"/>
        <v>0</v>
      </c>
    </row>
    <row r="539" spans="1:22" x14ac:dyDescent="0.2">
      <c r="A539" s="35">
        <v>1</v>
      </c>
      <c r="B539" s="6">
        <v>2069</v>
      </c>
      <c r="C539" s="6">
        <v>769</v>
      </c>
      <c r="D539" s="7" t="s">
        <v>298</v>
      </c>
      <c r="E539" s="7" t="s">
        <v>85</v>
      </c>
      <c r="F539" s="8">
        <v>1</v>
      </c>
      <c r="G539" s="8">
        <v>0</v>
      </c>
      <c r="H539" s="8">
        <v>0</v>
      </c>
      <c r="I539" s="8">
        <v>0</v>
      </c>
      <c r="J539" s="8">
        <v>0</v>
      </c>
      <c r="K539" s="16" t="s">
        <v>35</v>
      </c>
      <c r="L539" s="47" t="s">
        <v>315</v>
      </c>
      <c r="M539" s="17">
        <f t="shared" si="288"/>
        <v>1.5910610000000001</v>
      </c>
      <c r="N539" s="18">
        <f t="shared" si="289"/>
        <v>0</v>
      </c>
      <c r="O539" s="19">
        <f>IF(E539="HERRAJE",IFERROR(_xlfn.XLOOKUP(D539,'⚙️ Configuración Costos'!$A$11:$A$20,'⚙️ Configuración Costos'!$B$11:$B$20),""),IFERROR(_xlfn.XLOOKUP(E539,'⚙️ Configuración Costos'!$A$5:$A$6,'⚙️ Configuración Costos'!$B$5:$B$6),""))</f>
        <v>332.85245901639348</v>
      </c>
      <c r="P539" s="19">
        <f t="shared" si="290"/>
        <v>529.58856629508205</v>
      </c>
      <c r="Q539" s="19">
        <f>IF(E539="HERRAJE",0,IFERROR(_xlfn.XLOOKUP(E539,'⚙️ Configuración Costos'!$E$5:$E$6,'⚙️ Configuración Costos'!$F$5:$F$6),""))</f>
        <v>9.5</v>
      </c>
      <c r="R539" s="19">
        <f t="shared" si="291"/>
        <v>0</v>
      </c>
      <c r="S539" s="37">
        <f t="shared" si="292"/>
        <v>529.58856629508205</v>
      </c>
      <c r="T539" s="94" t="str">
        <f t="shared" si="293"/>
        <v>OK</v>
      </c>
      <c r="U539" s="95" t="str">
        <f t="shared" si="294"/>
        <v/>
      </c>
      <c r="V539" s="96">
        <f t="shared" si="295"/>
        <v>0</v>
      </c>
    </row>
    <row r="540" spans="1:22" x14ac:dyDescent="0.2">
      <c r="A540" s="35">
        <v>1</v>
      </c>
      <c r="B540" s="6">
        <v>769</v>
      </c>
      <c r="C540" s="6">
        <v>580</v>
      </c>
      <c r="D540" s="7" t="s">
        <v>300</v>
      </c>
      <c r="E540" s="7" t="s">
        <v>85</v>
      </c>
      <c r="F540" s="8">
        <v>1</v>
      </c>
      <c r="G540" s="8">
        <v>1</v>
      </c>
      <c r="H540" s="8">
        <v>1</v>
      </c>
      <c r="I540" s="8">
        <v>0</v>
      </c>
      <c r="J540" s="8">
        <v>0</v>
      </c>
      <c r="K540" s="16" t="s">
        <v>35</v>
      </c>
      <c r="L540" s="47" t="s">
        <v>316</v>
      </c>
      <c r="M540" s="17">
        <f t="shared" si="288"/>
        <v>0.44602000000000003</v>
      </c>
      <c r="N540" s="18">
        <f t="shared" si="289"/>
        <v>1.538</v>
      </c>
      <c r="O540" s="19">
        <f>IF(E540="HERRAJE",IFERROR(_xlfn.XLOOKUP(D540,'⚙️ Configuración Costos'!$A$11:$A$20,'⚙️ Configuración Costos'!$B$11:$B$20),""),IFERROR(_xlfn.XLOOKUP(E540,'⚙️ Configuración Costos'!$A$5:$A$6,'⚙️ Configuración Costos'!$B$5:$B$6),""))</f>
        <v>332.85245901639348</v>
      </c>
      <c r="P540" s="19">
        <f t="shared" si="290"/>
        <v>148.45885377049183</v>
      </c>
      <c r="Q540" s="19">
        <f>IF(E540="HERRAJE",0,IFERROR(_xlfn.XLOOKUP(E540,'⚙️ Configuración Costos'!$E$5:$E$6,'⚙️ Configuración Costos'!$F$5:$F$6),""))</f>
        <v>9.5</v>
      </c>
      <c r="R540" s="19">
        <f t="shared" si="291"/>
        <v>14.611000000000001</v>
      </c>
      <c r="S540" s="37">
        <f t="shared" si="292"/>
        <v>163.06985377049182</v>
      </c>
      <c r="T540" s="94" t="str">
        <f t="shared" si="293"/>
        <v>OK</v>
      </c>
      <c r="U540" s="95" t="str">
        <f t="shared" si="294"/>
        <v/>
      </c>
      <c r="V540" s="96">
        <f t="shared" si="295"/>
        <v>0</v>
      </c>
    </row>
    <row r="541" spans="1:22" x14ac:dyDescent="0.2">
      <c r="A541" s="35">
        <v>1</v>
      </c>
      <c r="B541" s="6">
        <v>769</v>
      </c>
      <c r="C541" s="6">
        <v>580</v>
      </c>
      <c r="D541" s="7" t="s">
        <v>302</v>
      </c>
      <c r="E541" s="7" t="s">
        <v>85</v>
      </c>
      <c r="F541" s="8">
        <v>1</v>
      </c>
      <c r="G541" s="8">
        <v>1</v>
      </c>
      <c r="H541" s="8">
        <v>1</v>
      </c>
      <c r="I541" s="8">
        <v>0</v>
      </c>
      <c r="J541" s="8">
        <v>0</v>
      </c>
      <c r="K541" s="16" t="s">
        <v>35</v>
      </c>
      <c r="L541" s="47" t="s">
        <v>317</v>
      </c>
      <c r="M541" s="17">
        <f t="shared" si="288"/>
        <v>0.44602000000000003</v>
      </c>
      <c r="N541" s="18">
        <f t="shared" si="289"/>
        <v>1.538</v>
      </c>
      <c r="O541" s="19">
        <f>IF(E541="HERRAJE",IFERROR(_xlfn.XLOOKUP(D541,'⚙️ Configuración Costos'!$A$11:$A$20,'⚙️ Configuración Costos'!$B$11:$B$20),""),IFERROR(_xlfn.XLOOKUP(E541,'⚙️ Configuración Costos'!$A$5:$A$6,'⚙️ Configuración Costos'!$B$5:$B$6),""))</f>
        <v>332.85245901639348</v>
      </c>
      <c r="P541" s="19">
        <f t="shared" si="290"/>
        <v>148.45885377049183</v>
      </c>
      <c r="Q541" s="19">
        <f>IF(E541="HERRAJE",0,IFERROR(_xlfn.XLOOKUP(E541,'⚙️ Configuración Costos'!$E$5:$E$6,'⚙️ Configuración Costos'!$F$5:$F$6),""))</f>
        <v>9.5</v>
      </c>
      <c r="R541" s="19">
        <f t="shared" si="291"/>
        <v>14.611000000000001</v>
      </c>
      <c r="S541" s="37">
        <f t="shared" si="292"/>
        <v>163.06985377049182</v>
      </c>
      <c r="T541" s="94" t="str">
        <f t="shared" si="293"/>
        <v>OK</v>
      </c>
      <c r="U541" s="95" t="str">
        <f t="shared" si="294"/>
        <v/>
      </c>
      <c r="V541" s="96">
        <f t="shared" si="295"/>
        <v>0</v>
      </c>
    </row>
    <row r="542" spans="1:22" x14ac:dyDescent="0.2">
      <c r="A542" s="35">
        <v>4</v>
      </c>
      <c r="B542" s="6">
        <v>769</v>
      </c>
      <c r="C542" s="6">
        <v>490</v>
      </c>
      <c r="D542" s="7" t="s">
        <v>488</v>
      </c>
      <c r="E542" s="7" t="s">
        <v>85</v>
      </c>
      <c r="F542" s="8">
        <v>1</v>
      </c>
      <c r="G542" s="8">
        <v>1</v>
      </c>
      <c r="H542" s="8">
        <v>0</v>
      </c>
      <c r="I542" s="8">
        <v>0</v>
      </c>
      <c r="J542" s="8">
        <v>0</v>
      </c>
      <c r="K542" s="16" t="s">
        <v>35</v>
      </c>
      <c r="L542" s="47" t="s">
        <v>318</v>
      </c>
      <c r="M542" s="17">
        <f t="shared" si="288"/>
        <v>1.5072399999999999</v>
      </c>
      <c r="N542" s="18">
        <f t="shared" si="289"/>
        <v>3.0760000000000001</v>
      </c>
      <c r="O542" s="19">
        <f>IF(E542="HERRAJE",IFERROR(_xlfn.XLOOKUP(D542,'⚙️ Configuración Costos'!$A$11:$A$20,'⚙️ Configuración Costos'!$B$11:$B$20),""),IFERROR(_xlfn.XLOOKUP(E542,'⚙️ Configuración Costos'!$A$5:$A$6,'⚙️ Configuración Costos'!$B$5:$B$6),""))</f>
        <v>332.85245901639348</v>
      </c>
      <c r="P542" s="19">
        <f t="shared" si="290"/>
        <v>501.68854032786891</v>
      </c>
      <c r="Q542" s="19">
        <f>IF(E542="HERRAJE",0,IFERROR(_xlfn.XLOOKUP(E542,'⚙️ Configuración Costos'!$E$5:$E$6,'⚙️ Configuración Costos'!$F$5:$F$6),""))</f>
        <v>9.5</v>
      </c>
      <c r="R542" s="19">
        <f t="shared" si="291"/>
        <v>29.222000000000001</v>
      </c>
      <c r="S542" s="37">
        <f t="shared" si="292"/>
        <v>530.91054032786894</v>
      </c>
      <c r="T542" s="94" t="str">
        <f t="shared" si="293"/>
        <v>OK</v>
      </c>
      <c r="U542" s="95" t="str">
        <f t="shared" si="294"/>
        <v/>
      </c>
      <c r="V542" s="96">
        <f t="shared" si="295"/>
        <v>0</v>
      </c>
    </row>
    <row r="543" spans="1:22" x14ac:dyDescent="0.2">
      <c r="A543" s="35">
        <v>1</v>
      </c>
      <c r="B543" s="6">
        <v>2096</v>
      </c>
      <c r="C543" s="6">
        <v>396</v>
      </c>
      <c r="D543" s="7" t="s">
        <v>489</v>
      </c>
      <c r="E543" s="7" t="s">
        <v>85</v>
      </c>
      <c r="F543" s="8">
        <v>1</v>
      </c>
      <c r="G543" s="8">
        <v>1</v>
      </c>
      <c r="H543" s="8">
        <v>1</v>
      </c>
      <c r="I543" s="8">
        <v>1</v>
      </c>
      <c r="J543" s="8">
        <v>1</v>
      </c>
      <c r="K543" s="16" t="s">
        <v>35</v>
      </c>
      <c r="L543" s="47" t="s">
        <v>320</v>
      </c>
      <c r="M543" s="17">
        <f t="shared" si="288"/>
        <v>0.83001599999999998</v>
      </c>
      <c r="N543" s="18">
        <f t="shared" si="289"/>
        <v>4.984</v>
      </c>
      <c r="O543" s="19">
        <f>IF(E543="HERRAJE",IFERROR(_xlfn.XLOOKUP(D543,'⚙️ Configuración Costos'!$A$11:$A$20,'⚙️ Configuración Costos'!$B$11:$B$20),""),IFERROR(_xlfn.XLOOKUP(E543,'⚙️ Configuración Costos'!$A$5:$A$6,'⚙️ Configuración Costos'!$B$5:$B$6),""))</f>
        <v>332.85245901639348</v>
      </c>
      <c r="P543" s="19">
        <f t="shared" si="290"/>
        <v>276.27286662295086</v>
      </c>
      <c r="Q543" s="19">
        <f>IF(E543="HERRAJE",0,IFERROR(_xlfn.XLOOKUP(E543,'⚙️ Configuración Costos'!$E$5:$E$6,'⚙️ Configuración Costos'!$F$5:$F$6),""))</f>
        <v>9.5</v>
      </c>
      <c r="R543" s="19">
        <f t="shared" si="291"/>
        <v>47.347999999999999</v>
      </c>
      <c r="S543" s="37">
        <f t="shared" si="292"/>
        <v>323.62086662295087</v>
      </c>
      <c r="T543" s="94" t="str">
        <f t="shared" si="293"/>
        <v>OK</v>
      </c>
      <c r="U543" s="95" t="str">
        <f t="shared" si="294"/>
        <v/>
      </c>
      <c r="V543" s="96">
        <f t="shared" si="295"/>
        <v>0</v>
      </c>
    </row>
    <row r="544" spans="1:22" x14ac:dyDescent="0.2">
      <c r="A544" s="35">
        <v>1</v>
      </c>
      <c r="B544" s="6">
        <v>2096</v>
      </c>
      <c r="C544" s="6">
        <v>396</v>
      </c>
      <c r="D544" s="7" t="s">
        <v>490</v>
      </c>
      <c r="E544" s="7" t="s">
        <v>85</v>
      </c>
      <c r="F544" s="8">
        <v>1</v>
      </c>
      <c r="G544" s="8">
        <v>1</v>
      </c>
      <c r="H544" s="8">
        <v>1</v>
      </c>
      <c r="I544" s="8">
        <v>1</v>
      </c>
      <c r="J544" s="8">
        <v>1</v>
      </c>
      <c r="K544" s="16" t="s">
        <v>35</v>
      </c>
      <c r="L544" s="47" t="s">
        <v>322</v>
      </c>
      <c r="M544" s="17">
        <f t="shared" si="288"/>
        <v>0.83001599999999998</v>
      </c>
      <c r="N544" s="18">
        <f t="shared" si="289"/>
        <v>4.984</v>
      </c>
      <c r="O544" s="19">
        <f>IF(E544="HERRAJE",IFERROR(_xlfn.XLOOKUP(D544,'⚙️ Configuración Costos'!$A$11:$A$20,'⚙️ Configuración Costos'!$B$11:$B$20),""),IFERROR(_xlfn.XLOOKUP(E544,'⚙️ Configuración Costos'!$A$5:$A$6,'⚙️ Configuración Costos'!$B$5:$B$6),""))</f>
        <v>332.85245901639348</v>
      </c>
      <c r="P544" s="19">
        <f t="shared" si="290"/>
        <v>276.27286662295086</v>
      </c>
      <c r="Q544" s="19">
        <f>IF(E544="HERRAJE",0,IFERROR(_xlfn.XLOOKUP(E544,'⚙️ Configuración Costos'!$E$5:$E$6,'⚙️ Configuración Costos'!$F$5:$F$6),""))</f>
        <v>9.5</v>
      </c>
      <c r="R544" s="19">
        <f t="shared" si="291"/>
        <v>47.347999999999999</v>
      </c>
      <c r="S544" s="37">
        <f t="shared" si="292"/>
        <v>323.62086662295087</v>
      </c>
      <c r="T544" s="94" t="str">
        <f t="shared" si="293"/>
        <v>OK</v>
      </c>
      <c r="U544" s="95" t="str">
        <f t="shared" si="294"/>
        <v/>
      </c>
      <c r="V544" s="96">
        <f t="shared" si="295"/>
        <v>0</v>
      </c>
    </row>
    <row r="545" spans="1:22" x14ac:dyDescent="0.2">
      <c r="A545" s="35">
        <v>8</v>
      </c>
      <c r="B545" s="6">
        <v>0</v>
      </c>
      <c r="C545" s="6">
        <v>0</v>
      </c>
      <c r="D545" s="7" t="s">
        <v>90</v>
      </c>
      <c r="E545" s="7" t="s">
        <v>91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16" t="s">
        <v>35</v>
      </c>
      <c r="L545" s="47" t="s">
        <v>92</v>
      </c>
      <c r="M545" s="17">
        <f t="shared" si="288"/>
        <v>0</v>
      </c>
      <c r="N545" s="18">
        <f t="shared" si="289"/>
        <v>0</v>
      </c>
      <c r="O545" s="19">
        <f>IF(E545="HERRAJE",IFERROR(_xlfn.XLOOKUP(D545,'⚙️ Configuración Costos'!$A$11:$A$20,'⚙️ Configuración Costos'!$B$11:$B$20),""),IFERROR(_xlfn.XLOOKUP(E545,'⚙️ Configuración Costos'!$A$5:$A$6,'⚙️ Configuración Costos'!$B$5:$B$6),""))</f>
        <v>20</v>
      </c>
      <c r="P545" s="19">
        <f t="shared" si="290"/>
        <v>160</v>
      </c>
      <c r="Q545" s="19">
        <f>IF(E545="HERRAJE",0,IFERROR(_xlfn.XLOOKUP(E545,'⚙️ Configuración Costos'!$E$5:$E$6,'⚙️ Configuración Costos'!$F$5:$F$6),""))</f>
        <v>0</v>
      </c>
      <c r="R545" s="19">
        <f t="shared" si="291"/>
        <v>0</v>
      </c>
      <c r="S545" s="37">
        <f t="shared" si="292"/>
        <v>160</v>
      </c>
      <c r="T545" s="94" t="str">
        <f t="shared" si="293"/>
        <v>OK</v>
      </c>
      <c r="U545" s="95" t="str">
        <f t="shared" si="294"/>
        <v/>
      </c>
      <c r="V545" s="96">
        <f t="shared" si="295"/>
        <v>0</v>
      </c>
    </row>
    <row r="546" spans="1:22" x14ac:dyDescent="0.2">
      <c r="A546" s="35">
        <v>2</v>
      </c>
      <c r="B546" s="6">
        <v>0</v>
      </c>
      <c r="C546" s="6">
        <v>0</v>
      </c>
      <c r="D546" s="7" t="s">
        <v>93</v>
      </c>
      <c r="E546" s="7" t="s">
        <v>91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16" t="s">
        <v>35</v>
      </c>
      <c r="L546" s="47" t="s">
        <v>94</v>
      </c>
      <c r="M546" s="17">
        <f t="shared" si="288"/>
        <v>0</v>
      </c>
      <c r="N546" s="18">
        <f t="shared" si="289"/>
        <v>0</v>
      </c>
      <c r="O546" s="19">
        <f>IF(E546="HERRAJE",IFERROR(_xlfn.XLOOKUP(D546,'⚙️ Configuración Costos'!$A$11:$A$20,'⚙️ Configuración Costos'!$B$11:$B$20),""),IFERROR(_xlfn.XLOOKUP(E546,'⚙️ Configuración Costos'!$A$5:$A$6,'⚙️ Configuración Costos'!$B$5:$B$6),""))</f>
        <v>15</v>
      </c>
      <c r="P546" s="19">
        <f t="shared" si="290"/>
        <v>30</v>
      </c>
      <c r="Q546" s="19">
        <f>IF(E546="HERRAJE",0,IFERROR(_xlfn.XLOOKUP(E546,'⚙️ Configuración Costos'!$E$5:$E$6,'⚙️ Configuración Costos'!$F$5:$F$6),""))</f>
        <v>0</v>
      </c>
      <c r="R546" s="19">
        <f t="shared" si="291"/>
        <v>0</v>
      </c>
      <c r="S546" s="37">
        <f t="shared" si="292"/>
        <v>30</v>
      </c>
      <c r="T546" s="94" t="str">
        <f t="shared" si="293"/>
        <v>OK</v>
      </c>
      <c r="U546" s="95" t="str">
        <f t="shared" si="294"/>
        <v/>
      </c>
      <c r="V546" s="96">
        <f t="shared" si="295"/>
        <v>0</v>
      </c>
    </row>
    <row r="547" spans="1:22" x14ac:dyDescent="0.2">
      <c r="A547" s="35">
        <v>4</v>
      </c>
      <c r="B547" s="6">
        <v>0</v>
      </c>
      <c r="C547" s="6">
        <v>0</v>
      </c>
      <c r="D547" s="7" t="s">
        <v>186</v>
      </c>
      <c r="E547" s="7" t="s">
        <v>91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16" t="s">
        <v>35</v>
      </c>
      <c r="L547" s="47" t="s">
        <v>187</v>
      </c>
      <c r="M547" s="17">
        <f t="shared" si="288"/>
        <v>0</v>
      </c>
      <c r="N547" s="18">
        <f t="shared" si="289"/>
        <v>0</v>
      </c>
      <c r="O547" s="19">
        <f>IF(E547="HERRAJE",IFERROR(_xlfn.XLOOKUP(D547,'⚙️ Configuración Costos'!$A$11:$A$20,'⚙️ Configuración Costos'!$B$11:$B$20),""),IFERROR(_xlfn.XLOOKUP(E547,'⚙️ Configuración Costos'!$A$5:$A$6,'⚙️ Configuración Costos'!$B$5:$B$6),""))</f>
        <v>15</v>
      </c>
      <c r="P547" s="19">
        <f t="shared" si="290"/>
        <v>60</v>
      </c>
      <c r="Q547" s="19">
        <f>IF(E547="HERRAJE",0,IFERROR(_xlfn.XLOOKUP(E547,'⚙️ Configuración Costos'!$E$5:$E$6,'⚙️ Configuración Costos'!$F$5:$F$6),""))</f>
        <v>0</v>
      </c>
      <c r="R547" s="19">
        <f t="shared" si="291"/>
        <v>0</v>
      </c>
      <c r="S547" s="37">
        <f t="shared" si="292"/>
        <v>60</v>
      </c>
      <c r="T547" s="94" t="str">
        <f t="shared" si="293"/>
        <v>OK</v>
      </c>
      <c r="U547" s="95" t="str">
        <f t="shared" si="294"/>
        <v/>
      </c>
      <c r="V547" s="96">
        <f t="shared" si="295"/>
        <v>0</v>
      </c>
    </row>
    <row r="548" spans="1:22" x14ac:dyDescent="0.2">
      <c r="A548" s="35">
        <v>16</v>
      </c>
      <c r="B548" s="6">
        <v>0</v>
      </c>
      <c r="C548" s="6">
        <v>0</v>
      </c>
      <c r="D548" s="7" t="s">
        <v>95</v>
      </c>
      <c r="E548" s="7" t="s">
        <v>91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16" t="s">
        <v>35</v>
      </c>
      <c r="L548" s="47" t="s">
        <v>96</v>
      </c>
      <c r="M548" s="17">
        <f t="shared" si="288"/>
        <v>0</v>
      </c>
      <c r="N548" s="18">
        <f t="shared" si="289"/>
        <v>0</v>
      </c>
      <c r="O548" s="19">
        <f>IF(E548="HERRAJE",IFERROR(_xlfn.XLOOKUP(D548,'⚙️ Configuración Costos'!$A$11:$A$20,'⚙️ Configuración Costos'!$B$11:$B$20),""),IFERROR(_xlfn.XLOOKUP(E548,'⚙️ Configuración Costos'!$A$5:$A$6,'⚙️ Configuración Costos'!$B$5:$B$6),""))</f>
        <v>2</v>
      </c>
      <c r="P548" s="19">
        <f t="shared" si="290"/>
        <v>32</v>
      </c>
      <c r="Q548" s="19">
        <f>IF(E548="HERRAJE",0,IFERROR(_xlfn.XLOOKUP(E548,'⚙️ Configuración Costos'!$E$5:$E$6,'⚙️ Configuración Costos'!$F$5:$F$6),""))</f>
        <v>0</v>
      </c>
      <c r="R548" s="19">
        <f t="shared" si="291"/>
        <v>0</v>
      </c>
      <c r="S548" s="37">
        <f t="shared" si="292"/>
        <v>32</v>
      </c>
      <c r="T548" s="94" t="str">
        <f t="shared" si="293"/>
        <v>OK</v>
      </c>
      <c r="U548" s="95" t="str">
        <f t="shared" si="294"/>
        <v/>
      </c>
      <c r="V548" s="96">
        <f t="shared" si="295"/>
        <v>0</v>
      </c>
    </row>
    <row r="549" spans="1:22" x14ac:dyDescent="0.2">
      <c r="A549" s="36">
        <f>4*(IF(LEFT(D537,4)="Base",A537,0)+IF(LEFT(D537,4)="Piso",A537,0)+IF(LEFT(D537,5)="Techo",A537,0)+IF(LEFT(D538,4)="Base",A538,0)+IF(LEFT(D538,4)="Piso",A538,0)+IF(LEFT(D538,5)="Techo",A538,0)+IF(LEFT(D539,4)="Base",A539,0)+IF(LEFT(D539,4)="Piso",A539,0)+IF(LEFT(D539,5)="Techo",A539,0)+IF(LEFT(D540,4)="Base",A540,0)+IF(LEFT(D540,4)="Piso",A540,0)+IF(LEFT(D540,5)="Techo",A540,0)+IF(LEFT(D541,4)="Base",A541,0)+IF(LEFT(D541,4)="Piso",A541,0)+IF(LEFT(D541,5)="Techo",A541,0)+IF(LEFT(D542,4)="Base",A542,0)+IF(LEFT(D542,4)="Piso",A542,0)+IF(LEFT(D542,5)="Techo",A542,0)+IF(LEFT(D543,4)="Base",A543,0)+IF(LEFT(D543,4)="Piso",A543,0)+IF(LEFT(D543,5)="Techo",A543,0)+IF(LEFT(D544,4)="Base",A544,0)+IF(LEFT(D544,4)="Piso",A544,0)+IF(LEFT(D544,5)="Techo",A544,0))+10*(IF(LEFT(D537,8)="Respaldo",A537,0)+IF(LEFT(D538,8)="Respaldo",A538,0)+IF(LEFT(D539,8)="Respaldo",A539,0)+IF(LEFT(D540,8)="Respaldo",A540,0)+IF(LEFT(D541,8)="Respaldo",A541,0)+IF(LEFT(D542,8)="Respaldo",A542,0)+IF(LEFT(D543,8)="Respaldo",A543,0)+IF(LEFT(D544,8)="Respaldo",A544,0))+2*(IF(LEFT(D537,8)="Manguete",A537,0)+IF(LEFT(D538,8)="Manguete",A538,0)+IF(LEFT(D539,8)="Manguete",A539,0)+IF(LEFT(D540,8)="Manguete",A540,0)+IF(LEFT(D541,8)="Manguete",A541,0)+IF(LEFT(D542,8)="Manguete",A542,0)+IF(LEFT(D543,8)="Manguete",A543,0)+IF(LEFT(D544,8)="Manguete",A544,0))</f>
        <v>18</v>
      </c>
      <c r="B549" s="20">
        <v>0</v>
      </c>
      <c r="C549" s="20">
        <v>0</v>
      </c>
      <c r="D549" s="21" t="s">
        <v>400</v>
      </c>
      <c r="E549" s="21" t="s">
        <v>91</v>
      </c>
      <c r="F549" s="22">
        <v>0</v>
      </c>
      <c r="G549" s="22">
        <v>0</v>
      </c>
      <c r="H549" s="22">
        <v>0</v>
      </c>
      <c r="I549" s="22">
        <v>0</v>
      </c>
      <c r="J549" s="22">
        <v>0</v>
      </c>
      <c r="K549" s="16" t="s">
        <v>35</v>
      </c>
      <c r="L549" s="48" t="s">
        <v>360</v>
      </c>
      <c r="M549" s="17">
        <f t="shared" si="288"/>
        <v>0</v>
      </c>
      <c r="N549" s="18">
        <f t="shared" si="289"/>
        <v>0</v>
      </c>
      <c r="O549" s="19">
        <f>IF(E549="HERRAJE",IFERROR(_xlfn.XLOOKUP(D549,'⚙️ Configuración Costos'!$A$11:$A$20,'⚙️ Configuración Costos'!$B$11:$B$20),""),IFERROR(_xlfn.XLOOKUP(E549,'⚙️ Configuración Costos'!$A$5:$A$6,'⚙️ Configuración Costos'!$B$5:$B$6),""))</f>
        <v>3</v>
      </c>
      <c r="P549" s="19">
        <f t="shared" si="290"/>
        <v>54</v>
      </c>
      <c r="Q549" s="19">
        <f>IF(E549="HERRAJE",0,IFERROR(_xlfn.XLOOKUP(E549,'⚙️ Configuración Costos'!$E$5:$E$6,'⚙️ Configuración Costos'!$F$5:$F$6),""))</f>
        <v>0</v>
      </c>
      <c r="R549" s="19">
        <f t="shared" si="291"/>
        <v>0</v>
      </c>
      <c r="S549" s="37">
        <f t="shared" si="292"/>
        <v>54</v>
      </c>
      <c r="T549" s="94" t="str">
        <f t="shared" si="293"/>
        <v>OK</v>
      </c>
      <c r="U549" s="95" t="str">
        <f t="shared" si="294"/>
        <v/>
      </c>
      <c r="V549" s="96">
        <f t="shared" si="295"/>
        <v>0</v>
      </c>
    </row>
    <row r="550" spans="1:22" ht="16" thickBot="1" x14ac:dyDescent="0.25">
      <c r="A550" s="36">
        <f>6*(IF(LEFT(D537,4)="Base",A537,0)+IF(LEFT(D537,4)="Piso",A537,0)+IF(LEFT(D537,5)="Techo",A537,0)+IF(LEFT(D538,4)="Base",A538,0)+IF(LEFT(D538,4)="Piso",A538,0)+IF(LEFT(D538,5)="Techo",A538,0)+IF(LEFT(D539,4)="Base",A539,0)+IF(LEFT(D539,4)="Piso",A539,0)+IF(LEFT(D539,5)="Techo",A539,0)+IF(LEFT(D540,4)="Base",A540,0)+IF(LEFT(D540,4)="Piso",A540,0)+IF(LEFT(D540,5)="Techo",A540,0)+IF(LEFT(D541,4)="Base",A541,0)+IF(LEFT(D541,4)="Piso",A541,0)+IF(LEFT(D541,5)="Techo",A541,0)+IF(LEFT(D542,4)="Base",A542,0)+IF(LEFT(D542,4)="Piso",A542,0)+IF(LEFT(D542,5)="Techo",A542,0)+IF(LEFT(D543,4)="Base",A543,0)+IF(LEFT(D543,4)="Piso",A543,0)+IF(LEFT(D543,5)="Techo",A543,0)+IF(LEFT(D544,4)="Base",A544,0)+IF(LEFT(D544,4)="Piso",A544,0)+IF(LEFT(D544,5)="Techo",A544,0))+10*(IF(LEFT(D537,8)="Respaldo",A537,0)+IF(LEFT(D538,8)="Respaldo",A538,0)+IF(LEFT(D539,8)="Respaldo",A539,0)+IF(LEFT(D540,8)="Respaldo",A540,0)+IF(LEFT(D541,8)="Respaldo",A541,0)+IF(LEFT(D542,8)="Respaldo",A542,0)+IF(LEFT(D543,8)="Respaldo",A543,0)+IF(LEFT(D544,8)="Respaldo",A544,0))+4*(IF(LEFT(D537,8)="Manguete",A537,0)+IF(LEFT(D538,8)="Manguete",A538,0)+IF(LEFT(D539,8)="Manguete",A539,0)+IF(LEFT(D540,8)="Manguete",A540,0)+IF(LEFT(D541,8)="Manguete",A541,0)+IF(LEFT(D542,8)="Manguete",A542,0)+IF(LEFT(D543,8)="Manguete",A543,0)+IF(LEFT(D544,8)="Manguete",A544,0))</f>
        <v>22</v>
      </c>
      <c r="B550" s="20">
        <v>0</v>
      </c>
      <c r="C550" s="20">
        <v>0</v>
      </c>
      <c r="D550" s="21" t="s">
        <v>468</v>
      </c>
      <c r="E550" s="21" t="s">
        <v>91</v>
      </c>
      <c r="F550" s="22">
        <v>0</v>
      </c>
      <c r="G550" s="22">
        <v>0</v>
      </c>
      <c r="H550" s="22">
        <v>0</v>
      </c>
      <c r="I550" s="22">
        <v>0</v>
      </c>
      <c r="J550" s="22">
        <v>0</v>
      </c>
      <c r="K550" s="16" t="s">
        <v>35</v>
      </c>
      <c r="L550" s="48" t="s">
        <v>361</v>
      </c>
      <c r="M550" s="17">
        <f t="shared" si="288"/>
        <v>0</v>
      </c>
      <c r="N550" s="18">
        <f t="shared" si="289"/>
        <v>0</v>
      </c>
      <c r="O550" s="19">
        <f>IF(E550="HERRAJE",IFERROR(_xlfn.XLOOKUP(D550,'⚙️ Configuración Costos'!$A$11:$A$20,'⚙️ Configuración Costos'!$B$11:$B$20),""),IFERROR(_xlfn.XLOOKUP(E550,'⚙️ Configuración Costos'!$A$5:$A$6,'⚙️ Configuración Costos'!$B$5:$B$6),""))</f>
        <v>1</v>
      </c>
      <c r="P550" s="19">
        <f t="shared" si="290"/>
        <v>22</v>
      </c>
      <c r="Q550" s="19">
        <f>IF(E550="HERRAJE",0,IFERROR(_xlfn.XLOOKUP(E550,'⚙️ Configuración Costos'!$E$5:$E$6,'⚙️ Configuración Costos'!$F$5:$F$6),""))</f>
        <v>0</v>
      </c>
      <c r="R550" s="19">
        <f t="shared" si="291"/>
        <v>0</v>
      </c>
      <c r="S550" s="37">
        <f t="shared" si="292"/>
        <v>22</v>
      </c>
      <c r="T550" s="94" t="str">
        <f t="shared" si="293"/>
        <v>OK</v>
      </c>
      <c r="U550" s="95" t="str">
        <f t="shared" si="294"/>
        <v/>
      </c>
      <c r="V550" s="96">
        <f t="shared" si="295"/>
        <v>0</v>
      </c>
    </row>
    <row r="551" spans="1:22" ht="16" thickTop="1" x14ac:dyDescent="0.2">
      <c r="A551" s="27" t="s">
        <v>99</v>
      </c>
      <c r="B551" s="27"/>
      <c r="C551" s="27"/>
      <c r="D551" s="28"/>
      <c r="E551" s="28"/>
      <c r="F551" s="29"/>
      <c r="G551" s="29"/>
      <c r="H551" s="29"/>
      <c r="I551" s="29"/>
      <c r="J551" s="29"/>
      <c r="K551" s="30"/>
      <c r="L551" s="49"/>
      <c r="M551" s="31">
        <f>SUM(M537:M550)</f>
        <v>8.0863729999999983</v>
      </c>
      <c r="N551" s="32">
        <f>SUM(N537:N550)</f>
        <v>26.840000000000003</v>
      </c>
      <c r="O551" s="33"/>
      <c r="P551" s="33">
        <f>SUM(P537:P550)</f>
        <v>3049.5691375737706</v>
      </c>
      <c r="Q551" s="33"/>
      <c r="R551" s="33">
        <f>SUM(R537:R550)</f>
        <v>254.98000000000002</v>
      </c>
      <c r="S551" s="33">
        <f>SUM(S537:S550)</f>
        <v>3304.5491375737711</v>
      </c>
      <c r="T551" s="97"/>
      <c r="U551" s="98"/>
      <c r="V551" s="99"/>
    </row>
    <row r="552" spans="1:22" x14ac:dyDescent="0.2">
      <c r="A552" s="186" t="s">
        <v>323</v>
      </c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8"/>
      <c r="T552" s="97"/>
      <c r="U552" s="98"/>
      <c r="V552" s="99"/>
    </row>
    <row r="553" spans="1:22" x14ac:dyDescent="0.2">
      <c r="A553" s="35">
        <v>1</v>
      </c>
      <c r="B553" s="6">
        <v>2100</v>
      </c>
      <c r="C553" s="6">
        <v>580</v>
      </c>
      <c r="D553" s="43" t="s">
        <v>63</v>
      </c>
      <c r="E553" s="43" t="s">
        <v>85</v>
      </c>
      <c r="F553" s="53">
        <v>1</v>
      </c>
      <c r="G553" s="44">
        <v>1</v>
      </c>
      <c r="H553" s="44">
        <v>1</v>
      </c>
      <c r="I553" s="44">
        <v>1</v>
      </c>
      <c r="J553" s="44">
        <v>1</v>
      </c>
      <c r="K553" s="16" t="s">
        <v>36</v>
      </c>
      <c r="L553" s="46" t="s">
        <v>346</v>
      </c>
      <c r="M553" s="17">
        <f t="shared" ref="M553:M571" si="296">IF(AND(ISNUMBER(B553),ISNUMBER(C553),B553&gt;0,C553&gt;0),A553*(B553*C553/1000000),0)</f>
        <v>1.218</v>
      </c>
      <c r="N553" s="18">
        <f t="shared" ref="N553:N571" si="297">IF(AND(ISNUMBER(B553),B553&gt;0),A553*(((G553+H553)*B553+(I553+J553)*C553)/1000),0)</f>
        <v>5.36</v>
      </c>
      <c r="O553" s="19">
        <f>IF(E553="HERRAJE",IFERROR(_xlfn.XLOOKUP(D553,'⚙️ Configuración Costos'!$A$11:$A$20,'⚙️ Configuración Costos'!$B$11:$B$20),""),IFERROR(_xlfn.XLOOKUP(E553,'⚙️ Configuración Costos'!$A$5:$A$6,'⚙️ Configuración Costos'!$B$5:$B$6),""))</f>
        <v>332.85245901639348</v>
      </c>
      <c r="P553" s="19">
        <f t="shared" ref="P553:P571" si="298">IF(E553="HERRAJE",A553*O553,M553*O553)</f>
        <v>405.41429508196723</v>
      </c>
      <c r="Q553" s="19">
        <f>IF(E553="HERRAJE",0,IFERROR(_xlfn.XLOOKUP(E553,'⚙️ Configuración Costos'!$E$5:$E$6,'⚙️ Configuración Costos'!$F$5:$F$6),""))</f>
        <v>9.5</v>
      </c>
      <c r="R553" s="19">
        <f t="shared" ref="R553:R571" si="299">N553*Q553</f>
        <v>50.92</v>
      </c>
      <c r="S553" s="37">
        <f t="shared" ref="S553:S571" si="300">P553+R553</f>
        <v>456.33429508196724</v>
      </c>
      <c r="T553" s="94" t="str">
        <f t="shared" ref="T553:T571" si="301">IF(K553="","SIN ID MÓDULO",IF(E553="HERRAJE",IF(OR(O553="",O553&lt;=0),"SIN PRECIO HERRAJE","OK"),IF(OR(O553="",O553&lt;=0),"SIN PRECIO MATERIAL",IF(AND(N553&gt;0,OR(Q553="",Q553&lt;=0)),"SIN PRECIO CINTILLA","OK"))))</f>
        <v>OK</v>
      </c>
      <c r="U553" s="95" t="str">
        <f t="shared" ref="U553:U571" si="302">IF(T553="OK","",IF(T553="SIN PRECIO HERRAJE","Capturar precio: "&amp;D553,IF(T553="SIN PRECIO MATERIAL","Configurar material: "&amp;E553,IF(T553="SIN PRECIO CINTILLA","Configurar cintilla: "&amp;E553,IF(T553="SIN ID MÓDULO","Revisar ID del módulo","")))))</f>
        <v/>
      </c>
      <c r="V553" s="96">
        <f t="shared" ref="V553:V571" si="303">IF(T553="OK",0,IF(T553="",0,1))</f>
        <v>0</v>
      </c>
    </row>
    <row r="554" spans="1:22" x14ac:dyDescent="0.2">
      <c r="A554" s="35">
        <v>1</v>
      </c>
      <c r="B554" s="6">
        <v>2100</v>
      </c>
      <c r="C554" s="6">
        <v>580</v>
      </c>
      <c r="D554" s="43" t="s">
        <v>66</v>
      </c>
      <c r="E554" s="43" t="s">
        <v>85</v>
      </c>
      <c r="F554" s="53">
        <v>1</v>
      </c>
      <c r="G554" s="44">
        <v>1</v>
      </c>
      <c r="H554" s="44">
        <v>1</v>
      </c>
      <c r="I554" s="44">
        <v>1</v>
      </c>
      <c r="J554" s="44">
        <v>1</v>
      </c>
      <c r="K554" s="16" t="s">
        <v>36</v>
      </c>
      <c r="L554" s="46" t="s">
        <v>348</v>
      </c>
      <c r="M554" s="17">
        <f t="shared" si="296"/>
        <v>1.218</v>
      </c>
      <c r="N554" s="18">
        <f t="shared" si="297"/>
        <v>5.36</v>
      </c>
      <c r="O554" s="19">
        <f>IF(E554="HERRAJE",IFERROR(_xlfn.XLOOKUP(D554,'⚙️ Configuración Costos'!$A$11:$A$20,'⚙️ Configuración Costos'!$B$11:$B$20),""),IFERROR(_xlfn.XLOOKUP(E554,'⚙️ Configuración Costos'!$A$5:$A$6,'⚙️ Configuración Costos'!$B$5:$B$6),""))</f>
        <v>332.85245901639348</v>
      </c>
      <c r="P554" s="19">
        <f t="shared" si="298"/>
        <v>405.41429508196723</v>
      </c>
      <c r="Q554" s="19">
        <f>IF(E554="HERRAJE",0,IFERROR(_xlfn.XLOOKUP(E554,'⚙️ Configuración Costos'!$E$5:$E$6,'⚙️ Configuración Costos'!$F$5:$F$6),""))</f>
        <v>9.5</v>
      </c>
      <c r="R554" s="19">
        <f t="shared" si="299"/>
        <v>50.92</v>
      </c>
      <c r="S554" s="37">
        <f t="shared" si="300"/>
        <v>456.33429508196724</v>
      </c>
      <c r="T554" s="94" t="str">
        <f t="shared" si="301"/>
        <v>OK</v>
      </c>
      <c r="U554" s="95" t="str">
        <f t="shared" si="302"/>
        <v/>
      </c>
      <c r="V554" s="96">
        <f t="shared" si="303"/>
        <v>0</v>
      </c>
    </row>
    <row r="555" spans="1:22" x14ac:dyDescent="0.2">
      <c r="A555" s="35">
        <v>1</v>
      </c>
      <c r="B555" s="6">
        <v>689</v>
      </c>
      <c r="C555" s="6">
        <v>569</v>
      </c>
      <c r="D555" s="43" t="s">
        <v>298</v>
      </c>
      <c r="E555" s="43" t="s">
        <v>85</v>
      </c>
      <c r="F555" s="53">
        <v>1</v>
      </c>
      <c r="G555" s="44">
        <v>0</v>
      </c>
      <c r="H555" s="44">
        <v>0</v>
      </c>
      <c r="I555" s="44">
        <v>0</v>
      </c>
      <c r="J555" s="44">
        <v>0</v>
      </c>
      <c r="K555" s="16" t="s">
        <v>36</v>
      </c>
      <c r="L555" s="47" t="s">
        <v>324</v>
      </c>
      <c r="M555" s="17">
        <f t="shared" si="296"/>
        <v>0.39204099999999997</v>
      </c>
      <c r="N555" s="18">
        <f t="shared" si="297"/>
        <v>0</v>
      </c>
      <c r="O555" s="19">
        <f>IF(E555="HERRAJE",IFERROR(_xlfn.XLOOKUP(D555,'⚙️ Configuración Costos'!$A$11:$A$20,'⚙️ Configuración Costos'!$B$11:$B$20),""),IFERROR(_xlfn.XLOOKUP(E555,'⚙️ Configuración Costos'!$A$5:$A$6,'⚙️ Configuración Costos'!$B$5:$B$6),""))</f>
        <v>332.85245901639348</v>
      </c>
      <c r="P555" s="19">
        <f t="shared" si="298"/>
        <v>130.49181088524591</v>
      </c>
      <c r="Q555" s="19">
        <f>IF(E555="HERRAJE",0,IFERROR(_xlfn.XLOOKUP(E555,'⚙️ Configuración Costos'!$E$5:$E$6,'⚙️ Configuración Costos'!$F$5:$F$6),""))</f>
        <v>9.5</v>
      </c>
      <c r="R555" s="19">
        <f t="shared" si="299"/>
        <v>0</v>
      </c>
      <c r="S555" s="37">
        <f t="shared" si="300"/>
        <v>130.49181088524591</v>
      </c>
      <c r="T555" s="94" t="str">
        <f t="shared" si="301"/>
        <v>OK</v>
      </c>
      <c r="U555" s="95" t="str">
        <f t="shared" si="302"/>
        <v/>
      </c>
      <c r="V555" s="96">
        <f t="shared" si="303"/>
        <v>0</v>
      </c>
    </row>
    <row r="556" spans="1:22" x14ac:dyDescent="0.2">
      <c r="A556" s="35">
        <v>1</v>
      </c>
      <c r="B556" s="6">
        <v>569</v>
      </c>
      <c r="C556" s="6">
        <v>539</v>
      </c>
      <c r="D556" s="43" t="s">
        <v>298</v>
      </c>
      <c r="E556" s="43" t="s">
        <v>85</v>
      </c>
      <c r="F556" s="53">
        <v>1</v>
      </c>
      <c r="G556" s="44">
        <v>0</v>
      </c>
      <c r="H556" s="44">
        <v>0</v>
      </c>
      <c r="I556" s="44">
        <v>0</v>
      </c>
      <c r="J556" s="44">
        <v>0</v>
      </c>
      <c r="K556" s="16" t="s">
        <v>36</v>
      </c>
      <c r="L556" s="47" t="s">
        <v>325</v>
      </c>
      <c r="M556" s="17">
        <f t="shared" si="296"/>
        <v>0.30669099999999999</v>
      </c>
      <c r="N556" s="18">
        <f t="shared" si="297"/>
        <v>0</v>
      </c>
      <c r="O556" s="19">
        <f>IF(E556="HERRAJE",IFERROR(_xlfn.XLOOKUP(D556,'⚙️ Configuración Costos'!$A$11:$A$20,'⚙️ Configuración Costos'!$B$11:$B$20),""),IFERROR(_xlfn.XLOOKUP(E556,'⚙️ Configuración Costos'!$A$5:$A$6,'⚙️ Configuración Costos'!$B$5:$B$6),""))</f>
        <v>332.85245901639348</v>
      </c>
      <c r="P556" s="19">
        <f t="shared" si="298"/>
        <v>102.08285350819673</v>
      </c>
      <c r="Q556" s="19">
        <f>IF(E556="HERRAJE",0,IFERROR(_xlfn.XLOOKUP(E556,'⚙️ Configuración Costos'!$E$5:$E$6,'⚙️ Configuración Costos'!$F$5:$F$6),""))</f>
        <v>9.5</v>
      </c>
      <c r="R556" s="19">
        <f t="shared" si="299"/>
        <v>0</v>
      </c>
      <c r="S556" s="37">
        <f t="shared" si="300"/>
        <v>102.08285350819673</v>
      </c>
      <c r="T556" s="94" t="str">
        <f t="shared" si="301"/>
        <v>OK</v>
      </c>
      <c r="U556" s="95" t="str">
        <f t="shared" si="302"/>
        <v/>
      </c>
      <c r="V556" s="96">
        <f t="shared" si="303"/>
        <v>0</v>
      </c>
    </row>
    <row r="557" spans="1:22" x14ac:dyDescent="0.2">
      <c r="A557" s="35">
        <v>1</v>
      </c>
      <c r="B557" s="6">
        <v>569</v>
      </c>
      <c r="C557" s="6">
        <v>580</v>
      </c>
      <c r="D557" s="43" t="s">
        <v>300</v>
      </c>
      <c r="E557" s="43" t="s">
        <v>85</v>
      </c>
      <c r="F557" s="53">
        <v>1</v>
      </c>
      <c r="G557" s="44">
        <v>0</v>
      </c>
      <c r="H557" s="44">
        <v>0</v>
      </c>
      <c r="I557" s="44">
        <v>1</v>
      </c>
      <c r="J557" s="44">
        <v>1</v>
      </c>
      <c r="K557" s="16" t="s">
        <v>36</v>
      </c>
      <c r="L557" s="47" t="s">
        <v>378</v>
      </c>
      <c r="M557" s="17">
        <f t="shared" si="296"/>
        <v>0.33001999999999998</v>
      </c>
      <c r="N557" s="18">
        <f t="shared" si="297"/>
        <v>1.1599999999999999</v>
      </c>
      <c r="O557" s="19">
        <f>IF(E557="HERRAJE",IFERROR(_xlfn.XLOOKUP(D557,'⚙️ Configuración Costos'!$A$11:$A$20,'⚙️ Configuración Costos'!$B$11:$B$20),""),IFERROR(_xlfn.XLOOKUP(E557,'⚙️ Configuración Costos'!$A$5:$A$6,'⚙️ Configuración Costos'!$B$5:$B$6),""))</f>
        <v>332.85245901639348</v>
      </c>
      <c r="P557" s="19">
        <f t="shared" si="298"/>
        <v>109.84796852459017</v>
      </c>
      <c r="Q557" s="19">
        <f>IF(E557="HERRAJE",0,IFERROR(_xlfn.XLOOKUP(E557,'⚙️ Configuración Costos'!$E$5:$E$6,'⚙️ Configuración Costos'!$F$5:$F$6),""))</f>
        <v>9.5</v>
      </c>
      <c r="R557" s="19">
        <f t="shared" si="299"/>
        <v>11.02</v>
      </c>
      <c r="S557" s="37">
        <f t="shared" si="300"/>
        <v>120.86796852459017</v>
      </c>
      <c r="T557" s="94" t="str">
        <f t="shared" si="301"/>
        <v>OK</v>
      </c>
      <c r="U557" s="95" t="str">
        <f t="shared" si="302"/>
        <v/>
      </c>
      <c r="V557" s="96">
        <f t="shared" si="303"/>
        <v>0</v>
      </c>
    </row>
    <row r="558" spans="1:22" x14ac:dyDescent="0.2">
      <c r="A558" s="35">
        <v>1</v>
      </c>
      <c r="B558" s="6">
        <v>569</v>
      </c>
      <c r="C558" s="6">
        <v>580</v>
      </c>
      <c r="D558" s="43" t="s">
        <v>300</v>
      </c>
      <c r="E558" s="43" t="s">
        <v>85</v>
      </c>
      <c r="F558" s="53">
        <v>1</v>
      </c>
      <c r="G558" s="44">
        <v>0</v>
      </c>
      <c r="H558" s="44">
        <v>0</v>
      </c>
      <c r="I558" s="44">
        <v>1</v>
      </c>
      <c r="J558" s="44">
        <v>1</v>
      </c>
      <c r="K558" s="16" t="s">
        <v>36</v>
      </c>
      <c r="L558" s="47" t="s">
        <v>378</v>
      </c>
      <c r="M558" s="17">
        <f t="shared" si="296"/>
        <v>0.33001999999999998</v>
      </c>
      <c r="N558" s="18">
        <f t="shared" si="297"/>
        <v>1.1599999999999999</v>
      </c>
      <c r="O558" s="19">
        <f>IF(E558="HERRAJE",IFERROR(_xlfn.XLOOKUP(D558,'⚙️ Configuración Costos'!$A$11:$A$20,'⚙️ Configuración Costos'!$B$11:$B$20),""),IFERROR(_xlfn.XLOOKUP(E558,'⚙️ Configuración Costos'!$A$5:$A$6,'⚙️ Configuración Costos'!$B$5:$B$6),""))</f>
        <v>332.85245901639348</v>
      </c>
      <c r="P558" s="19">
        <f t="shared" si="298"/>
        <v>109.84796852459017</v>
      </c>
      <c r="Q558" s="19">
        <f>IF(E558="HERRAJE",0,IFERROR(_xlfn.XLOOKUP(E558,'⚙️ Configuración Costos'!$E$5:$E$6,'⚙️ Configuración Costos'!$F$5:$F$6),""))</f>
        <v>9.5</v>
      </c>
      <c r="R558" s="19">
        <f t="shared" si="299"/>
        <v>11.02</v>
      </c>
      <c r="S558" s="37">
        <f t="shared" si="300"/>
        <v>120.86796852459017</v>
      </c>
      <c r="T558" s="94" t="str">
        <f t="shared" si="301"/>
        <v>OK</v>
      </c>
      <c r="U558" s="95" t="str">
        <f t="shared" si="302"/>
        <v/>
      </c>
      <c r="V558" s="96">
        <f t="shared" si="303"/>
        <v>0</v>
      </c>
    </row>
    <row r="559" spans="1:22" x14ac:dyDescent="0.2">
      <c r="A559" s="35">
        <v>1</v>
      </c>
      <c r="B559" s="6">
        <v>569</v>
      </c>
      <c r="C559" s="6">
        <v>580</v>
      </c>
      <c r="D559" s="43" t="s">
        <v>302</v>
      </c>
      <c r="E559" s="43" t="s">
        <v>85</v>
      </c>
      <c r="F559" s="53">
        <v>1</v>
      </c>
      <c r="G559" s="44">
        <v>0</v>
      </c>
      <c r="H559" s="44">
        <v>0</v>
      </c>
      <c r="I559" s="44">
        <v>1</v>
      </c>
      <c r="J559" s="44">
        <v>1</v>
      </c>
      <c r="K559" s="16" t="s">
        <v>36</v>
      </c>
      <c r="L559" s="47" t="s">
        <v>379</v>
      </c>
      <c r="M559" s="17">
        <f t="shared" si="296"/>
        <v>0.33001999999999998</v>
      </c>
      <c r="N559" s="18">
        <f t="shared" si="297"/>
        <v>1.1599999999999999</v>
      </c>
      <c r="O559" s="19">
        <f>IF(E559="HERRAJE",IFERROR(_xlfn.XLOOKUP(D559,'⚙️ Configuración Costos'!$A$11:$A$20,'⚙️ Configuración Costos'!$B$11:$B$20),""),IFERROR(_xlfn.XLOOKUP(E559,'⚙️ Configuración Costos'!$A$5:$A$6,'⚙️ Configuración Costos'!$B$5:$B$6),""))</f>
        <v>332.85245901639348</v>
      </c>
      <c r="P559" s="19">
        <f t="shared" si="298"/>
        <v>109.84796852459017</v>
      </c>
      <c r="Q559" s="19">
        <f>IF(E559="HERRAJE",0,IFERROR(_xlfn.XLOOKUP(E559,'⚙️ Configuración Costos'!$E$5:$E$6,'⚙️ Configuración Costos'!$F$5:$F$6),""))</f>
        <v>9.5</v>
      </c>
      <c r="R559" s="19">
        <f t="shared" si="299"/>
        <v>11.02</v>
      </c>
      <c r="S559" s="37">
        <f t="shared" si="300"/>
        <v>120.86796852459017</v>
      </c>
      <c r="T559" s="94" t="str">
        <f t="shared" si="301"/>
        <v>OK</v>
      </c>
      <c r="U559" s="95" t="str">
        <f t="shared" si="302"/>
        <v/>
      </c>
      <c r="V559" s="96">
        <f t="shared" si="303"/>
        <v>0</v>
      </c>
    </row>
    <row r="560" spans="1:22" x14ac:dyDescent="0.2">
      <c r="A560" s="35">
        <v>1</v>
      </c>
      <c r="B560" s="6">
        <v>569</v>
      </c>
      <c r="C560" s="6">
        <v>580</v>
      </c>
      <c r="D560" s="43" t="s">
        <v>302</v>
      </c>
      <c r="E560" s="43" t="s">
        <v>85</v>
      </c>
      <c r="F560" s="53">
        <v>1</v>
      </c>
      <c r="G560" s="44">
        <v>0</v>
      </c>
      <c r="H560" s="44">
        <v>0</v>
      </c>
      <c r="I560" s="44">
        <v>1</v>
      </c>
      <c r="J560" s="44">
        <v>1</v>
      </c>
      <c r="K560" s="16" t="s">
        <v>36</v>
      </c>
      <c r="L560" s="47" t="s">
        <v>379</v>
      </c>
      <c r="M560" s="17">
        <f t="shared" si="296"/>
        <v>0.33001999999999998</v>
      </c>
      <c r="N560" s="18">
        <f t="shared" si="297"/>
        <v>1.1599999999999999</v>
      </c>
      <c r="O560" s="19">
        <f>IF(E560="HERRAJE",IFERROR(_xlfn.XLOOKUP(D560,'⚙️ Configuración Costos'!$A$11:$A$20,'⚙️ Configuración Costos'!$B$11:$B$20),""),IFERROR(_xlfn.XLOOKUP(E560,'⚙️ Configuración Costos'!$A$5:$A$6,'⚙️ Configuración Costos'!$B$5:$B$6),""))</f>
        <v>332.85245901639348</v>
      </c>
      <c r="P560" s="19">
        <f t="shared" si="298"/>
        <v>109.84796852459017</v>
      </c>
      <c r="Q560" s="19">
        <f>IF(E560="HERRAJE",0,IFERROR(_xlfn.XLOOKUP(E560,'⚙️ Configuración Costos'!$E$5:$E$6,'⚙️ Configuración Costos'!$F$5:$F$6),""))</f>
        <v>9.5</v>
      </c>
      <c r="R560" s="19">
        <f t="shared" si="299"/>
        <v>11.02</v>
      </c>
      <c r="S560" s="37">
        <f t="shared" si="300"/>
        <v>120.86796852459017</v>
      </c>
      <c r="T560" s="94" t="str">
        <f t="shared" si="301"/>
        <v>OK</v>
      </c>
      <c r="U560" s="95" t="str">
        <f t="shared" si="302"/>
        <v/>
      </c>
      <c r="V560" s="96">
        <f t="shared" si="303"/>
        <v>0</v>
      </c>
    </row>
    <row r="561" spans="1:22" x14ac:dyDescent="0.2">
      <c r="A561" s="35">
        <v>1</v>
      </c>
      <c r="B561" s="6">
        <v>569</v>
      </c>
      <c r="C561" s="6">
        <v>490</v>
      </c>
      <c r="D561" s="43" t="s">
        <v>488</v>
      </c>
      <c r="E561" s="43" t="s">
        <v>85</v>
      </c>
      <c r="F561" s="53">
        <v>1</v>
      </c>
      <c r="G561" s="44">
        <v>1</v>
      </c>
      <c r="H561" s="44">
        <v>1</v>
      </c>
      <c r="I561" s="44">
        <v>0</v>
      </c>
      <c r="J561" s="44">
        <v>0</v>
      </c>
      <c r="K561" s="16" t="s">
        <v>36</v>
      </c>
      <c r="L561" s="47" t="s">
        <v>318</v>
      </c>
      <c r="M561" s="17">
        <f t="shared" si="296"/>
        <v>0.27881</v>
      </c>
      <c r="N561" s="18">
        <f t="shared" si="297"/>
        <v>1.1379999999999999</v>
      </c>
      <c r="O561" s="19">
        <f>IF(E561="HERRAJE",IFERROR(_xlfn.XLOOKUP(D561,'⚙️ Configuración Costos'!$A$11:$A$20,'⚙️ Configuración Costos'!$B$11:$B$20),""),IFERROR(_xlfn.XLOOKUP(E561,'⚙️ Configuración Costos'!$A$5:$A$6,'⚙️ Configuración Costos'!$B$5:$B$6),""))</f>
        <v>332.85245901639348</v>
      </c>
      <c r="P561" s="19">
        <f t="shared" si="298"/>
        <v>92.802594098360672</v>
      </c>
      <c r="Q561" s="19">
        <f>IF(E561="HERRAJE",0,IFERROR(_xlfn.XLOOKUP(E561,'⚙️ Configuración Costos'!$E$5:$E$6,'⚙️ Configuración Costos'!$F$5:$F$6),""))</f>
        <v>9.5</v>
      </c>
      <c r="R561" s="19">
        <f t="shared" si="299"/>
        <v>10.811</v>
      </c>
      <c r="S561" s="37">
        <f t="shared" si="300"/>
        <v>103.61359409836066</v>
      </c>
      <c r="T561" s="94" t="str">
        <f t="shared" si="301"/>
        <v>OK</v>
      </c>
      <c r="U561" s="95" t="str">
        <f t="shared" si="302"/>
        <v/>
      </c>
      <c r="V561" s="96">
        <f t="shared" si="303"/>
        <v>0</v>
      </c>
    </row>
    <row r="562" spans="1:22" x14ac:dyDescent="0.2">
      <c r="A562" s="35">
        <v>1</v>
      </c>
      <c r="B562" s="6">
        <v>569</v>
      </c>
      <c r="C562" s="6">
        <v>490</v>
      </c>
      <c r="D562" s="43" t="s">
        <v>488</v>
      </c>
      <c r="E562" s="43" t="s">
        <v>85</v>
      </c>
      <c r="F562" s="53">
        <v>1</v>
      </c>
      <c r="G562" s="44">
        <v>1</v>
      </c>
      <c r="H562" s="44">
        <v>0</v>
      </c>
      <c r="I562" s="44">
        <v>0</v>
      </c>
      <c r="J562" s="44">
        <v>0</v>
      </c>
      <c r="K562" s="16" t="s">
        <v>36</v>
      </c>
      <c r="L562" s="47" t="s">
        <v>326</v>
      </c>
      <c r="M562" s="17">
        <f t="shared" si="296"/>
        <v>0.27881</v>
      </c>
      <c r="N562" s="18">
        <f t="shared" si="297"/>
        <v>0.56899999999999995</v>
      </c>
      <c r="O562" s="19">
        <f>IF(E562="HERRAJE",IFERROR(_xlfn.XLOOKUP(D562,'⚙️ Configuración Costos'!$A$11:$A$20,'⚙️ Configuración Costos'!$B$11:$B$20),""),IFERROR(_xlfn.XLOOKUP(E562,'⚙️ Configuración Costos'!$A$5:$A$6,'⚙️ Configuración Costos'!$B$5:$B$6),""))</f>
        <v>332.85245901639348</v>
      </c>
      <c r="P562" s="19">
        <f t="shared" si="298"/>
        <v>92.802594098360672</v>
      </c>
      <c r="Q562" s="19">
        <f>IF(E562="HERRAJE",0,IFERROR(_xlfn.XLOOKUP(E562,'⚙️ Configuración Costos'!$E$5:$E$6,'⚙️ Configuración Costos'!$F$5:$F$6),""))</f>
        <v>9.5</v>
      </c>
      <c r="R562" s="19">
        <f t="shared" si="299"/>
        <v>5.4055</v>
      </c>
      <c r="S562" s="37">
        <f t="shared" si="300"/>
        <v>98.208094098360675</v>
      </c>
      <c r="T562" s="94" t="str">
        <f t="shared" si="301"/>
        <v>OK</v>
      </c>
      <c r="U562" s="95" t="str">
        <f t="shared" si="302"/>
        <v/>
      </c>
      <c r="V562" s="96">
        <f t="shared" si="303"/>
        <v>0</v>
      </c>
    </row>
    <row r="563" spans="1:22" x14ac:dyDescent="0.2">
      <c r="A563" s="35">
        <v>1</v>
      </c>
      <c r="B563" s="6">
        <v>569</v>
      </c>
      <c r="C563" s="6">
        <v>120</v>
      </c>
      <c r="D563" s="43" t="s">
        <v>327</v>
      </c>
      <c r="E563" s="43" t="s">
        <v>85</v>
      </c>
      <c r="F563" s="53">
        <v>1</v>
      </c>
      <c r="G563" s="44">
        <v>0</v>
      </c>
      <c r="H563" s="44">
        <v>1</v>
      </c>
      <c r="I563" s="44">
        <v>0</v>
      </c>
      <c r="J563" s="44">
        <v>0</v>
      </c>
      <c r="K563" s="16" t="s">
        <v>36</v>
      </c>
      <c r="L563" s="46" t="s">
        <v>328</v>
      </c>
      <c r="M563" s="17">
        <f t="shared" si="296"/>
        <v>6.8279999999999993E-2</v>
      </c>
      <c r="N563" s="18">
        <f t="shared" si="297"/>
        <v>0.56899999999999995</v>
      </c>
      <c r="O563" s="19">
        <f>IF(E563="HERRAJE",IFERROR(_xlfn.XLOOKUP(D563,'⚙️ Configuración Costos'!$A$11:$A$20,'⚙️ Configuración Costos'!$B$11:$B$20),""),IFERROR(_xlfn.XLOOKUP(E563,'⚙️ Configuración Costos'!$A$5:$A$6,'⚙️ Configuración Costos'!$B$5:$B$6),""))</f>
        <v>332.85245901639348</v>
      </c>
      <c r="P563" s="19">
        <f t="shared" si="298"/>
        <v>22.727165901639346</v>
      </c>
      <c r="Q563" s="19">
        <f>IF(E563="HERRAJE",0,IFERROR(_xlfn.XLOOKUP(E563,'⚙️ Configuración Costos'!$E$5:$E$6,'⚙️ Configuración Costos'!$F$5:$F$6),""))</f>
        <v>9.5</v>
      </c>
      <c r="R563" s="19">
        <f t="shared" si="299"/>
        <v>5.4055</v>
      </c>
      <c r="S563" s="37">
        <f t="shared" si="300"/>
        <v>28.132665901639346</v>
      </c>
      <c r="T563" s="94" t="str">
        <f t="shared" si="301"/>
        <v>OK</v>
      </c>
      <c r="U563" s="95" t="str">
        <f t="shared" si="302"/>
        <v/>
      </c>
      <c r="V563" s="96">
        <f t="shared" si="303"/>
        <v>0</v>
      </c>
    </row>
    <row r="564" spans="1:22" x14ac:dyDescent="0.2">
      <c r="A564" s="35">
        <v>1</v>
      </c>
      <c r="B564" s="6">
        <v>717</v>
      </c>
      <c r="C564" s="6">
        <v>597</v>
      </c>
      <c r="D564" s="43" t="s">
        <v>197</v>
      </c>
      <c r="E564" s="43" t="s">
        <v>85</v>
      </c>
      <c r="F564" s="53">
        <v>1</v>
      </c>
      <c r="G564" s="44">
        <v>1</v>
      </c>
      <c r="H564" s="44">
        <v>1</v>
      </c>
      <c r="I564" s="44">
        <v>1</v>
      </c>
      <c r="J564" s="44">
        <v>1</v>
      </c>
      <c r="K564" s="16" t="s">
        <v>36</v>
      </c>
      <c r="L564" s="47" t="s">
        <v>329</v>
      </c>
      <c r="M564" s="17">
        <f t="shared" si="296"/>
        <v>0.42804900000000001</v>
      </c>
      <c r="N564" s="18">
        <f t="shared" si="297"/>
        <v>2.6280000000000001</v>
      </c>
      <c r="O564" s="19">
        <f>IF(E564="HERRAJE",IFERROR(_xlfn.XLOOKUP(D564,'⚙️ Configuración Costos'!$A$11:$A$20,'⚙️ Configuración Costos'!$B$11:$B$20),""),IFERROR(_xlfn.XLOOKUP(E564,'⚙️ Configuración Costos'!$A$5:$A$6,'⚙️ Configuración Costos'!$B$5:$B$6),""))</f>
        <v>332.85245901639348</v>
      </c>
      <c r="P564" s="19">
        <f t="shared" si="298"/>
        <v>142.47716222950822</v>
      </c>
      <c r="Q564" s="19">
        <f>IF(E564="HERRAJE",0,IFERROR(_xlfn.XLOOKUP(E564,'⚙️ Configuración Costos'!$E$5:$E$6,'⚙️ Configuración Costos'!$F$5:$F$6),""))</f>
        <v>9.5</v>
      </c>
      <c r="R564" s="19">
        <f t="shared" si="299"/>
        <v>24.966000000000001</v>
      </c>
      <c r="S564" s="37">
        <f t="shared" si="300"/>
        <v>167.44316222950823</v>
      </c>
      <c r="T564" s="94" t="str">
        <f t="shared" si="301"/>
        <v>OK</v>
      </c>
      <c r="U564" s="95" t="str">
        <f t="shared" si="302"/>
        <v/>
      </c>
      <c r="V564" s="96">
        <f t="shared" si="303"/>
        <v>0</v>
      </c>
    </row>
    <row r="565" spans="1:22" x14ac:dyDescent="0.2">
      <c r="A565" s="35">
        <v>1</v>
      </c>
      <c r="B565" s="6">
        <v>566</v>
      </c>
      <c r="C565" s="6">
        <v>597</v>
      </c>
      <c r="D565" s="43" t="s">
        <v>84</v>
      </c>
      <c r="E565" s="43" t="s">
        <v>85</v>
      </c>
      <c r="F565" s="53">
        <v>1</v>
      </c>
      <c r="G565" s="44">
        <v>1</v>
      </c>
      <c r="H565" s="44">
        <v>1</v>
      </c>
      <c r="I565" s="44">
        <v>1</v>
      </c>
      <c r="J565" s="44">
        <v>1</v>
      </c>
      <c r="K565" s="16" t="s">
        <v>36</v>
      </c>
      <c r="L565" s="47" t="s">
        <v>322</v>
      </c>
      <c r="M565" s="17">
        <f t="shared" si="296"/>
        <v>0.33790199999999998</v>
      </c>
      <c r="N565" s="18">
        <f t="shared" si="297"/>
        <v>2.3260000000000001</v>
      </c>
      <c r="O565" s="19">
        <f>IF(E565="HERRAJE",IFERROR(_xlfn.XLOOKUP(D565,'⚙️ Configuración Costos'!$A$11:$A$20,'⚙️ Configuración Costos'!$B$11:$B$20),""),IFERROR(_xlfn.XLOOKUP(E565,'⚙️ Configuración Costos'!$A$5:$A$6,'⚙️ Configuración Costos'!$B$5:$B$6),""))</f>
        <v>332.85245901639348</v>
      </c>
      <c r="P565" s="19">
        <f t="shared" si="298"/>
        <v>112.47151160655739</v>
      </c>
      <c r="Q565" s="19">
        <f>IF(E565="HERRAJE",0,IFERROR(_xlfn.XLOOKUP(E565,'⚙️ Configuración Costos'!$E$5:$E$6,'⚙️ Configuración Costos'!$F$5:$F$6),""))</f>
        <v>9.5</v>
      </c>
      <c r="R565" s="19">
        <f t="shared" si="299"/>
        <v>22.097000000000001</v>
      </c>
      <c r="S565" s="37">
        <f t="shared" si="300"/>
        <v>134.56851160655739</v>
      </c>
      <c r="T565" s="94" t="str">
        <f t="shared" si="301"/>
        <v>OK</v>
      </c>
      <c r="U565" s="95" t="str">
        <f t="shared" si="302"/>
        <v/>
      </c>
      <c r="V565" s="96">
        <f t="shared" si="303"/>
        <v>0</v>
      </c>
    </row>
    <row r="566" spans="1:22" x14ac:dyDescent="0.2">
      <c r="A566" s="35">
        <v>4</v>
      </c>
      <c r="B566" s="6">
        <v>0</v>
      </c>
      <c r="C566" s="6">
        <v>0</v>
      </c>
      <c r="D566" s="7" t="s">
        <v>90</v>
      </c>
      <c r="E566" s="7" t="s">
        <v>91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16" t="s">
        <v>36</v>
      </c>
      <c r="L566" s="47" t="s">
        <v>92</v>
      </c>
      <c r="M566" s="17">
        <f t="shared" si="296"/>
        <v>0</v>
      </c>
      <c r="N566" s="18">
        <f t="shared" si="297"/>
        <v>0</v>
      </c>
      <c r="O566" s="19">
        <f>IF(E566="HERRAJE",IFERROR(_xlfn.XLOOKUP(D566,'⚙️ Configuración Costos'!$A$11:$A$20,'⚙️ Configuración Costos'!$B$11:$B$20),""),IFERROR(_xlfn.XLOOKUP(E566,'⚙️ Configuración Costos'!$A$5:$A$6,'⚙️ Configuración Costos'!$B$5:$B$6),""))</f>
        <v>20</v>
      </c>
      <c r="P566" s="19">
        <f t="shared" si="298"/>
        <v>80</v>
      </c>
      <c r="Q566" s="19">
        <f>IF(E566="HERRAJE",0,IFERROR(_xlfn.XLOOKUP(E566,'⚙️ Configuración Costos'!$E$5:$E$6,'⚙️ Configuración Costos'!$F$5:$F$6),""))</f>
        <v>0</v>
      </c>
      <c r="R566" s="19">
        <f t="shared" si="299"/>
        <v>0</v>
      </c>
      <c r="S566" s="37">
        <f t="shared" si="300"/>
        <v>80</v>
      </c>
      <c r="T566" s="94" t="str">
        <f t="shared" si="301"/>
        <v>OK</v>
      </c>
      <c r="U566" s="95" t="str">
        <f t="shared" si="302"/>
        <v/>
      </c>
      <c r="V566" s="96">
        <f t="shared" si="303"/>
        <v>0</v>
      </c>
    </row>
    <row r="567" spans="1:22" x14ac:dyDescent="0.2">
      <c r="A567" s="35">
        <v>2</v>
      </c>
      <c r="B567" s="6">
        <v>0</v>
      </c>
      <c r="C567" s="6">
        <v>0</v>
      </c>
      <c r="D567" s="7" t="s">
        <v>93</v>
      </c>
      <c r="E567" s="7" t="s">
        <v>91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16" t="s">
        <v>36</v>
      </c>
      <c r="L567" s="47" t="s">
        <v>94</v>
      </c>
      <c r="M567" s="17">
        <f t="shared" si="296"/>
        <v>0</v>
      </c>
      <c r="N567" s="18">
        <f t="shared" si="297"/>
        <v>0</v>
      </c>
      <c r="O567" s="19">
        <f>IF(E567="HERRAJE",IFERROR(_xlfn.XLOOKUP(D567,'⚙️ Configuración Costos'!$A$11:$A$20,'⚙️ Configuración Costos'!$B$11:$B$20),""),IFERROR(_xlfn.XLOOKUP(E567,'⚙️ Configuración Costos'!$A$5:$A$6,'⚙️ Configuración Costos'!$B$5:$B$6),""))</f>
        <v>15</v>
      </c>
      <c r="P567" s="19">
        <f t="shared" si="298"/>
        <v>30</v>
      </c>
      <c r="Q567" s="19">
        <f>IF(E567="HERRAJE",0,IFERROR(_xlfn.XLOOKUP(E567,'⚙️ Configuración Costos'!$E$5:$E$6,'⚙️ Configuración Costos'!$F$5:$F$6),""))</f>
        <v>0</v>
      </c>
      <c r="R567" s="19">
        <f t="shared" si="299"/>
        <v>0</v>
      </c>
      <c r="S567" s="37">
        <f t="shared" si="300"/>
        <v>30</v>
      </c>
      <c r="T567" s="94" t="str">
        <f t="shared" si="301"/>
        <v>OK</v>
      </c>
      <c r="U567" s="95" t="str">
        <f t="shared" si="302"/>
        <v/>
      </c>
      <c r="V567" s="96">
        <f t="shared" si="303"/>
        <v>0</v>
      </c>
    </row>
    <row r="568" spans="1:22" x14ac:dyDescent="0.2">
      <c r="A568" s="35">
        <v>4</v>
      </c>
      <c r="B568" s="6">
        <v>0</v>
      </c>
      <c r="C568" s="6">
        <v>0</v>
      </c>
      <c r="D568" s="7" t="s">
        <v>186</v>
      </c>
      <c r="E568" s="7" t="s">
        <v>91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16" t="s">
        <v>36</v>
      </c>
      <c r="L568" s="47" t="s">
        <v>187</v>
      </c>
      <c r="M568" s="17">
        <f t="shared" si="296"/>
        <v>0</v>
      </c>
      <c r="N568" s="18">
        <f t="shared" si="297"/>
        <v>0</v>
      </c>
      <c r="O568" s="19">
        <f>IF(E568="HERRAJE",IFERROR(_xlfn.XLOOKUP(D568,'⚙️ Configuración Costos'!$A$11:$A$20,'⚙️ Configuración Costos'!$B$11:$B$20),""),IFERROR(_xlfn.XLOOKUP(E568,'⚙️ Configuración Costos'!$A$5:$A$6,'⚙️ Configuración Costos'!$B$5:$B$6),""))</f>
        <v>15</v>
      </c>
      <c r="P568" s="19">
        <f t="shared" si="298"/>
        <v>60</v>
      </c>
      <c r="Q568" s="19">
        <f>IF(E568="HERRAJE",0,IFERROR(_xlfn.XLOOKUP(E568,'⚙️ Configuración Costos'!$E$5:$E$6,'⚙️ Configuración Costos'!$F$5:$F$6),""))</f>
        <v>0</v>
      </c>
      <c r="R568" s="19">
        <f t="shared" si="299"/>
        <v>0</v>
      </c>
      <c r="S568" s="37">
        <f t="shared" si="300"/>
        <v>60</v>
      </c>
      <c r="T568" s="94" t="str">
        <f t="shared" si="301"/>
        <v>OK</v>
      </c>
      <c r="U568" s="95" t="str">
        <f t="shared" si="302"/>
        <v/>
      </c>
      <c r="V568" s="96">
        <f t="shared" si="303"/>
        <v>0</v>
      </c>
    </row>
    <row r="569" spans="1:22" x14ac:dyDescent="0.2">
      <c r="A569" s="35">
        <v>4</v>
      </c>
      <c r="B569" s="6">
        <v>0</v>
      </c>
      <c r="C569" s="6">
        <v>0</v>
      </c>
      <c r="D569" s="7" t="s">
        <v>95</v>
      </c>
      <c r="E569" s="7" t="s">
        <v>91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16" t="s">
        <v>36</v>
      </c>
      <c r="L569" s="47" t="s">
        <v>96</v>
      </c>
      <c r="M569" s="17">
        <f t="shared" si="296"/>
        <v>0</v>
      </c>
      <c r="N569" s="18">
        <f t="shared" si="297"/>
        <v>0</v>
      </c>
      <c r="O569" s="19">
        <f>IF(E569="HERRAJE",IFERROR(_xlfn.XLOOKUP(D569,'⚙️ Configuración Costos'!$A$11:$A$20,'⚙️ Configuración Costos'!$B$11:$B$20),""),IFERROR(_xlfn.XLOOKUP(E569,'⚙️ Configuración Costos'!$A$5:$A$6,'⚙️ Configuración Costos'!$B$5:$B$6),""))</f>
        <v>2</v>
      </c>
      <c r="P569" s="19">
        <f t="shared" si="298"/>
        <v>8</v>
      </c>
      <c r="Q569" s="19">
        <f>IF(E569="HERRAJE",0,IFERROR(_xlfn.XLOOKUP(E569,'⚙️ Configuración Costos'!$E$5:$E$6,'⚙️ Configuración Costos'!$F$5:$F$6),""))</f>
        <v>0</v>
      </c>
      <c r="R569" s="19">
        <f t="shared" si="299"/>
        <v>0</v>
      </c>
      <c r="S569" s="37">
        <f t="shared" si="300"/>
        <v>8</v>
      </c>
      <c r="T569" s="94" t="str">
        <f t="shared" si="301"/>
        <v>OK</v>
      </c>
      <c r="U569" s="95" t="str">
        <f t="shared" si="302"/>
        <v/>
      </c>
      <c r="V569" s="96">
        <f t="shared" si="303"/>
        <v>0</v>
      </c>
    </row>
    <row r="570" spans="1:22" x14ac:dyDescent="0.2">
      <c r="A570" s="36">
        <f>4*(IF(LEFT(D553,4)="Base",A553,0)+IF(LEFT(D553,4)="Piso",A553,0)+IF(LEFT(D553,5)="Techo",A553,0)+IF(LEFT(D554,4)="Base",A554,0)+IF(LEFT(D554,4)="Piso",A554,0)+IF(LEFT(D554,5)="Techo",A554,0)+IF(LEFT(D555,4)="Base",A555,0)+IF(LEFT(D555,4)="Piso",A555,0)+IF(LEFT(D555,5)="Techo",A555,0)+IF(LEFT(D556,4)="Base",A556,0)+IF(LEFT(D556,4)="Piso",A556,0)+IF(LEFT(D556,5)="Techo",A556,0)+IF(LEFT(D557,4)="Base",A557,0)+IF(LEFT(D557,4)="Piso",A557,0)+IF(LEFT(D557,5)="Techo",A557,0)+IF(LEFT(D558,4)="Base",A558,0)+IF(LEFT(D558,4)="Piso",A558,0)+IF(LEFT(D558,5)="Techo",A558,0)+IF(LEFT(D559,4)="Base",A559,0)+IF(LEFT(D559,4)="Piso",A559,0)+IF(LEFT(D559,5)="Techo",A559,0)+IF(LEFT(D560,4)="Base",A560,0)+IF(LEFT(D560,4)="Piso",A560,0)+IF(LEFT(D560,5)="Techo",A560,0)+IF(LEFT(D561,4)="Base",A561,0)+IF(LEFT(D561,4)="Piso",A561,0)+IF(LEFT(D561,5)="Techo",A561,0)+IF(LEFT(D562,4)="Base",A562,0)+IF(LEFT(D562,4)="Piso",A562,0)+IF(LEFT(D562,5)="Techo",A562,0)+IF(LEFT(D563,4)="Base",A563,0)+IF(LEFT(D563,4)="Piso",A563,0)+IF(LEFT(D563,5)="Techo",A563,0)+IF(LEFT(D564,4)="Base",A564,0)+IF(LEFT(D564,4)="Piso",A564,0)+IF(LEFT(D564,5)="Techo",A564,0)+IF(LEFT(D565,4)="Base",A565,0)+IF(LEFT(D565,4)="Piso",A565,0)+IF(LEFT(D565,5)="Techo",A565,0))+10*(IF(LEFT(D553,8)="Respaldo",A553,0)+IF(LEFT(D554,8)="Respaldo",A554,0)+IF(LEFT(D555,8)="Respaldo",A555,0)+IF(LEFT(D556,8)="Respaldo",A556,0)+IF(LEFT(D557,8)="Respaldo",A557,0)+IF(LEFT(D558,8)="Respaldo",A558,0)+IF(LEFT(D559,8)="Respaldo",A559,0)+IF(LEFT(D560,8)="Respaldo",A560,0)+IF(LEFT(D561,8)="Respaldo",A561,0)+IF(LEFT(D562,8)="Respaldo",A562,0)+IF(LEFT(D563,8)="Respaldo",A563,0)+IF(LEFT(D564,8)="Respaldo",A564,0)+IF(LEFT(D565,8)="Respaldo",A565,0))+2*(IF(LEFT(D553,8)="Manguete",A553,0)+IF(LEFT(D554,8)="Manguete",A554,0)+IF(LEFT(D555,8)="Manguete",A555,0)+IF(LEFT(D556,8)="Manguete",A556,0)+IF(LEFT(D557,8)="Manguete",A557,0)+IF(LEFT(D558,8)="Manguete",A558,0)+IF(LEFT(D559,8)="Manguete",A559,0)+IF(LEFT(D560,8)="Manguete",A560,0)+IF(LEFT(D561,8)="Manguete",A561,0)+IF(LEFT(D562,8)="Manguete",A562,0)+IF(LEFT(D563,8)="Manguete",A563,0)+IF(LEFT(D564,8)="Manguete",A564,0)+IF(LEFT(D565,8)="Manguete",A565,0))</f>
        <v>38</v>
      </c>
      <c r="B570" s="20">
        <v>0</v>
      </c>
      <c r="C570" s="20">
        <v>0</v>
      </c>
      <c r="D570" s="21" t="s">
        <v>400</v>
      </c>
      <c r="E570" s="21" t="s">
        <v>91</v>
      </c>
      <c r="F570" s="22">
        <v>0</v>
      </c>
      <c r="G570" s="22">
        <v>0</v>
      </c>
      <c r="H570" s="22">
        <v>0</v>
      </c>
      <c r="I570" s="22">
        <v>0</v>
      </c>
      <c r="J570" s="22">
        <v>0</v>
      </c>
      <c r="K570" s="16" t="s">
        <v>36</v>
      </c>
      <c r="L570" s="48" t="s">
        <v>360</v>
      </c>
      <c r="M570" s="17">
        <f t="shared" si="296"/>
        <v>0</v>
      </c>
      <c r="N570" s="18">
        <f t="shared" si="297"/>
        <v>0</v>
      </c>
      <c r="O570" s="19">
        <f>IF(E570="HERRAJE",IFERROR(_xlfn.XLOOKUP(D570,'⚙️ Configuración Costos'!$A$11:$A$20,'⚙️ Configuración Costos'!$B$11:$B$20),""),IFERROR(_xlfn.XLOOKUP(E570,'⚙️ Configuración Costos'!$A$5:$A$6,'⚙️ Configuración Costos'!$B$5:$B$6),""))</f>
        <v>3</v>
      </c>
      <c r="P570" s="19">
        <f t="shared" si="298"/>
        <v>114</v>
      </c>
      <c r="Q570" s="19">
        <f>IF(E570="HERRAJE",0,IFERROR(_xlfn.XLOOKUP(E570,'⚙️ Configuración Costos'!$E$5:$E$6,'⚙️ Configuración Costos'!$F$5:$F$6),""))</f>
        <v>0</v>
      </c>
      <c r="R570" s="19">
        <f t="shared" si="299"/>
        <v>0</v>
      </c>
      <c r="S570" s="37">
        <f t="shared" si="300"/>
        <v>114</v>
      </c>
      <c r="T570" s="94" t="str">
        <f t="shared" si="301"/>
        <v>OK</v>
      </c>
      <c r="U570" s="95" t="str">
        <f t="shared" si="302"/>
        <v/>
      </c>
      <c r="V570" s="96">
        <f t="shared" si="303"/>
        <v>0</v>
      </c>
    </row>
    <row r="571" spans="1:22" ht="16" thickBot="1" x14ac:dyDescent="0.25">
      <c r="A571" s="36">
        <f>6*(IF(LEFT(D553,4)="Base",A553,0)+IF(LEFT(D553,4)="Piso",A553,0)+IF(LEFT(D553,5)="Techo",A553,0)+IF(LEFT(D554,4)="Base",A554,0)+IF(LEFT(D554,4)="Piso",A554,0)+IF(LEFT(D554,5)="Techo",A554,0)+IF(LEFT(D555,4)="Base",A555,0)+IF(LEFT(D555,4)="Piso",A555,0)+IF(LEFT(D555,5)="Techo",A555,0)+IF(LEFT(D556,4)="Base",A556,0)+IF(LEFT(D556,4)="Piso",A556,0)+IF(LEFT(D556,5)="Techo",A556,0)+IF(LEFT(D557,4)="Base",A557,0)+IF(LEFT(D557,4)="Piso",A557,0)+IF(LEFT(D557,5)="Techo",A557,0)+IF(LEFT(D558,4)="Base",A558,0)+IF(LEFT(D558,4)="Piso",A558,0)+IF(LEFT(D558,5)="Techo",A558,0)+IF(LEFT(D559,4)="Base",A559,0)+IF(LEFT(D559,4)="Piso",A559,0)+IF(LEFT(D559,5)="Techo",A559,0)+IF(LEFT(D560,4)="Base",A560,0)+IF(LEFT(D560,4)="Piso",A560,0)+IF(LEFT(D560,5)="Techo",A560,0)+IF(LEFT(D561,4)="Base",A561,0)+IF(LEFT(D561,4)="Piso",A561,0)+IF(LEFT(D561,5)="Techo",A561,0)+IF(LEFT(D562,4)="Base",A562,0)+IF(LEFT(D562,4)="Piso",A562,0)+IF(LEFT(D562,5)="Techo",A562,0)+IF(LEFT(D563,4)="Base",A563,0)+IF(LEFT(D563,4)="Piso",A563,0)+IF(LEFT(D563,5)="Techo",A563,0)+IF(LEFT(D564,4)="Base",A564,0)+IF(LEFT(D564,4)="Piso",A564,0)+IF(LEFT(D564,5)="Techo",A564,0)+IF(LEFT(D565,4)="Base",A565,0)+IF(LEFT(D565,4)="Piso",A565,0)+IF(LEFT(D565,5)="Techo",A565,0))+10*(IF(LEFT(D553,8)="Respaldo",A553,0)+IF(LEFT(D554,8)="Respaldo",A554,0)+IF(LEFT(D555,8)="Respaldo",A555,0)+IF(LEFT(D556,8)="Respaldo",A556,0)+IF(LEFT(D557,8)="Respaldo",A557,0)+IF(LEFT(D558,8)="Respaldo",A558,0)+IF(LEFT(D559,8)="Respaldo",A559,0)+IF(LEFT(D560,8)="Respaldo",A560,0)+IF(LEFT(D561,8)="Respaldo",A561,0)+IF(LEFT(D562,8)="Respaldo",A562,0)+IF(LEFT(D563,8)="Respaldo",A563,0)+IF(LEFT(D564,8)="Respaldo",A564,0)+IF(LEFT(D565,8)="Respaldo",A565,0))+4*(IF(LEFT(D553,8)="Manguete",A553,0)+IF(LEFT(D554,8)="Manguete",A554,0)+IF(LEFT(D555,8)="Manguete",A555,0)+IF(LEFT(D556,8)="Manguete",A556,0)+IF(LEFT(D557,8)="Manguete",A557,0)+IF(LEFT(D558,8)="Manguete",A558,0)+IF(LEFT(D559,8)="Manguete",A559,0)+IF(LEFT(D560,8)="Manguete",A560,0)+IF(LEFT(D561,8)="Manguete",A561,0)+IF(LEFT(D562,8)="Manguete",A562,0)+IF(LEFT(D563,8)="Manguete",A563,0)+IF(LEFT(D564,8)="Manguete",A564,0)+IF(LEFT(D565,8)="Manguete",A565,0))</f>
        <v>48</v>
      </c>
      <c r="B571" s="20">
        <v>0</v>
      </c>
      <c r="C571" s="20">
        <v>0</v>
      </c>
      <c r="D571" s="21" t="s">
        <v>468</v>
      </c>
      <c r="E571" s="21" t="s">
        <v>91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16" t="s">
        <v>36</v>
      </c>
      <c r="L571" s="48" t="s">
        <v>361</v>
      </c>
      <c r="M571" s="17">
        <f t="shared" si="296"/>
        <v>0</v>
      </c>
      <c r="N571" s="18">
        <f t="shared" si="297"/>
        <v>0</v>
      </c>
      <c r="O571" s="19">
        <f>IF(E571="HERRAJE",IFERROR(_xlfn.XLOOKUP(D571,'⚙️ Configuración Costos'!$A$11:$A$20,'⚙️ Configuración Costos'!$B$11:$B$20),""),IFERROR(_xlfn.XLOOKUP(E571,'⚙️ Configuración Costos'!$A$5:$A$6,'⚙️ Configuración Costos'!$B$5:$B$6),""))</f>
        <v>1</v>
      </c>
      <c r="P571" s="19">
        <f t="shared" si="298"/>
        <v>48</v>
      </c>
      <c r="Q571" s="19">
        <f>IF(E571="HERRAJE",0,IFERROR(_xlfn.XLOOKUP(E571,'⚙️ Configuración Costos'!$E$5:$E$6,'⚙️ Configuración Costos'!$F$5:$F$6),""))</f>
        <v>0</v>
      </c>
      <c r="R571" s="19">
        <f t="shared" si="299"/>
        <v>0</v>
      </c>
      <c r="S571" s="37">
        <f t="shared" si="300"/>
        <v>48</v>
      </c>
      <c r="T571" s="94" t="str">
        <f t="shared" si="301"/>
        <v>OK</v>
      </c>
      <c r="U571" s="95" t="str">
        <f t="shared" si="302"/>
        <v/>
      </c>
      <c r="V571" s="96">
        <f t="shared" si="303"/>
        <v>0</v>
      </c>
    </row>
    <row r="572" spans="1:22" ht="16" thickTop="1" x14ac:dyDescent="0.2">
      <c r="A572" s="27" t="s">
        <v>99</v>
      </c>
      <c r="B572" s="27"/>
      <c r="C572" s="27"/>
      <c r="D572" s="28"/>
      <c r="E572" s="28"/>
      <c r="F572" s="29"/>
      <c r="G572" s="29"/>
      <c r="H572" s="29"/>
      <c r="I572" s="29"/>
      <c r="J572" s="29"/>
      <c r="K572" s="30"/>
      <c r="L572" s="49"/>
      <c r="M572" s="33">
        <f>SUM(M553:M571)</f>
        <v>5.8466629999999995</v>
      </c>
      <c r="N572" s="33">
        <f>SUM(N553:N571)</f>
        <v>22.59</v>
      </c>
      <c r="O572" s="33"/>
      <c r="P572" s="33">
        <f>SUM(P553:P571)</f>
        <v>2286.0761565901644</v>
      </c>
      <c r="Q572" s="33"/>
      <c r="R572" s="33">
        <f>SUM(R553:R571)</f>
        <v>214.60500000000002</v>
      </c>
      <c r="S572" s="33">
        <f>SUM(S553:S571)</f>
        <v>2500.6811565901639</v>
      </c>
      <c r="T572" s="97"/>
      <c r="U572" s="98"/>
      <c r="V572" s="99"/>
    </row>
    <row r="573" spans="1:22" x14ac:dyDescent="0.2">
      <c r="A573" s="186" t="s">
        <v>330</v>
      </c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8"/>
      <c r="T573" s="97"/>
      <c r="U573" s="98"/>
      <c r="V573" s="99"/>
    </row>
    <row r="574" spans="1:22" x14ac:dyDescent="0.2">
      <c r="A574" s="35">
        <v>1</v>
      </c>
      <c r="B574" s="6">
        <v>2100</v>
      </c>
      <c r="C574" s="6">
        <v>580</v>
      </c>
      <c r="D574" s="43" t="s">
        <v>63</v>
      </c>
      <c r="E574" s="43" t="s">
        <v>85</v>
      </c>
      <c r="F574" s="44">
        <v>1</v>
      </c>
      <c r="G574" s="44">
        <v>1</v>
      </c>
      <c r="H574" s="44">
        <v>1</v>
      </c>
      <c r="I574" s="44">
        <v>1</v>
      </c>
      <c r="J574" s="44">
        <v>1</v>
      </c>
      <c r="K574" s="16" t="s">
        <v>37</v>
      </c>
      <c r="L574" s="46" t="s">
        <v>346</v>
      </c>
      <c r="M574" s="17">
        <f t="shared" ref="M574:M594" si="304">IF(AND(ISNUMBER(B574),ISNUMBER(C574),B574&gt;0,C574&gt;0),A574*(B574*C574/1000000),0)</f>
        <v>1.218</v>
      </c>
      <c r="N574" s="18">
        <f t="shared" ref="N574:N594" si="305">IF(AND(ISNUMBER(B574),B574&gt;0),A574*(((G574+H574)*B574+(I574+J574)*C574)/1000),0)</f>
        <v>5.36</v>
      </c>
      <c r="O574" s="19">
        <f>IF(E574="HERRAJE",IFERROR(_xlfn.XLOOKUP(D574,'⚙️ Configuración Costos'!$A$11:$A$20,'⚙️ Configuración Costos'!$B$11:$B$20),""),IFERROR(_xlfn.XLOOKUP(E574,'⚙️ Configuración Costos'!$A$5:$A$6,'⚙️ Configuración Costos'!$B$5:$B$6),""))</f>
        <v>332.85245901639348</v>
      </c>
      <c r="P574" s="19">
        <f t="shared" ref="P574:P594" si="306">IF(E574="HERRAJE",A574*O574,M574*O574)</f>
        <v>405.41429508196723</v>
      </c>
      <c r="Q574" s="19">
        <f>IF(E574="HERRAJE",0,IFERROR(_xlfn.XLOOKUP(E574,'⚙️ Configuración Costos'!$E$5:$E$6,'⚙️ Configuración Costos'!$F$5:$F$6),""))</f>
        <v>9.5</v>
      </c>
      <c r="R574" s="19">
        <f t="shared" ref="R574:R594" si="307">N574*Q574</f>
        <v>50.92</v>
      </c>
      <c r="S574" s="37">
        <f t="shared" ref="S574:S594" si="308">P574+R574</f>
        <v>456.33429508196724</v>
      </c>
      <c r="T574" s="94" t="str">
        <f t="shared" ref="T574:T594" si="309">IF(K574="","SIN ID MÓDULO",IF(E574="HERRAJE",IF(OR(O574="",O574&lt;=0),"SIN PRECIO HERRAJE","OK"),IF(OR(O574="",O574&lt;=0),"SIN PRECIO MATERIAL",IF(AND(N574&gt;0,OR(Q574="",Q574&lt;=0)),"SIN PRECIO CINTILLA","OK"))))</f>
        <v>OK</v>
      </c>
      <c r="U574" s="95" t="str">
        <f t="shared" ref="U574:U594" si="310">IF(T574="OK","",IF(T574="SIN PRECIO HERRAJE","Capturar precio: "&amp;D574,IF(T574="SIN PRECIO MATERIAL","Configurar material: "&amp;E574,IF(T574="SIN PRECIO CINTILLA","Configurar cintilla: "&amp;E574,IF(T574="SIN ID MÓDULO","Revisar ID del módulo","")))))</f>
        <v/>
      </c>
      <c r="V574" s="96">
        <f t="shared" ref="V574:V594" si="311">IF(T574="OK",0,IF(T574="",0,1))</f>
        <v>0</v>
      </c>
    </row>
    <row r="575" spans="1:22" x14ac:dyDescent="0.2">
      <c r="A575" s="35">
        <v>1</v>
      </c>
      <c r="B575" s="6">
        <v>2100</v>
      </c>
      <c r="C575" s="6">
        <v>580</v>
      </c>
      <c r="D575" s="43" t="s">
        <v>66</v>
      </c>
      <c r="E575" s="43" t="s">
        <v>85</v>
      </c>
      <c r="F575" s="44">
        <v>1</v>
      </c>
      <c r="G575" s="44">
        <v>1</v>
      </c>
      <c r="H575" s="44">
        <v>1</v>
      </c>
      <c r="I575" s="44">
        <v>1</v>
      </c>
      <c r="J575" s="44">
        <v>1</v>
      </c>
      <c r="K575" s="16" t="s">
        <v>37</v>
      </c>
      <c r="L575" s="46" t="s">
        <v>348</v>
      </c>
      <c r="M575" s="17">
        <f t="shared" si="304"/>
        <v>1.218</v>
      </c>
      <c r="N575" s="18">
        <f t="shared" si="305"/>
        <v>5.36</v>
      </c>
      <c r="O575" s="19">
        <f>IF(E575="HERRAJE",IFERROR(_xlfn.XLOOKUP(D575,'⚙️ Configuración Costos'!$A$11:$A$20,'⚙️ Configuración Costos'!$B$11:$B$20),""),IFERROR(_xlfn.XLOOKUP(E575,'⚙️ Configuración Costos'!$A$5:$A$6,'⚙️ Configuración Costos'!$B$5:$B$6),""))</f>
        <v>332.85245901639348</v>
      </c>
      <c r="P575" s="19">
        <f t="shared" si="306"/>
        <v>405.41429508196723</v>
      </c>
      <c r="Q575" s="19">
        <f>IF(E575="HERRAJE",0,IFERROR(_xlfn.XLOOKUP(E575,'⚙️ Configuración Costos'!$E$5:$E$6,'⚙️ Configuración Costos'!$F$5:$F$6),""))</f>
        <v>9.5</v>
      </c>
      <c r="R575" s="19">
        <f t="shared" si="307"/>
        <v>50.92</v>
      </c>
      <c r="S575" s="37">
        <f t="shared" si="308"/>
        <v>456.33429508196724</v>
      </c>
      <c r="T575" s="94" t="str">
        <f t="shared" si="309"/>
        <v>OK</v>
      </c>
      <c r="U575" s="95" t="str">
        <f t="shared" si="310"/>
        <v/>
      </c>
      <c r="V575" s="96">
        <f t="shared" si="311"/>
        <v>0</v>
      </c>
    </row>
    <row r="576" spans="1:22" x14ac:dyDescent="0.2">
      <c r="A576" s="35">
        <v>1</v>
      </c>
      <c r="B576" s="6">
        <v>689</v>
      </c>
      <c r="C576" s="6">
        <v>669</v>
      </c>
      <c r="D576" s="43" t="s">
        <v>298</v>
      </c>
      <c r="E576" s="43" t="s">
        <v>85</v>
      </c>
      <c r="F576" s="44">
        <v>1</v>
      </c>
      <c r="G576" s="44">
        <v>0</v>
      </c>
      <c r="H576" s="44">
        <v>0</v>
      </c>
      <c r="I576" s="44">
        <v>0</v>
      </c>
      <c r="J576" s="44">
        <v>0</v>
      </c>
      <c r="K576" s="16" t="s">
        <v>37</v>
      </c>
      <c r="L576" s="46" t="s">
        <v>333</v>
      </c>
      <c r="M576" s="17">
        <f t="shared" si="304"/>
        <v>0.46094099999999999</v>
      </c>
      <c r="N576" s="18">
        <f t="shared" si="305"/>
        <v>0</v>
      </c>
      <c r="O576" s="19">
        <f>IF(E576="HERRAJE",IFERROR(_xlfn.XLOOKUP(D576,'⚙️ Configuración Costos'!$A$11:$A$20,'⚙️ Configuración Costos'!$B$11:$B$20),""),IFERROR(_xlfn.XLOOKUP(E576,'⚙️ Configuración Costos'!$A$5:$A$6,'⚙️ Configuración Costos'!$B$5:$B$6),""))</f>
        <v>332.85245901639348</v>
      </c>
      <c r="P576" s="19">
        <f t="shared" si="306"/>
        <v>153.42534531147541</v>
      </c>
      <c r="Q576" s="19">
        <f>IF(E576="HERRAJE",0,IFERROR(_xlfn.XLOOKUP(E576,'⚙️ Configuración Costos'!$E$5:$E$6,'⚙️ Configuración Costos'!$F$5:$F$6),""))</f>
        <v>9.5</v>
      </c>
      <c r="R576" s="19">
        <f t="shared" si="307"/>
        <v>0</v>
      </c>
      <c r="S576" s="37">
        <f t="shared" si="308"/>
        <v>153.42534531147541</v>
      </c>
      <c r="T576" s="94" t="str">
        <f t="shared" si="309"/>
        <v>OK</v>
      </c>
      <c r="U576" s="95" t="str">
        <f t="shared" si="310"/>
        <v/>
      </c>
      <c r="V576" s="96">
        <f t="shared" si="311"/>
        <v>0</v>
      </c>
    </row>
    <row r="577" spans="1:22" x14ac:dyDescent="0.2">
      <c r="A577" s="35">
        <v>1</v>
      </c>
      <c r="B577" s="6">
        <v>669</v>
      </c>
      <c r="C577" s="6">
        <v>580</v>
      </c>
      <c r="D577" s="43" t="s">
        <v>300</v>
      </c>
      <c r="E577" s="43" t="s">
        <v>85</v>
      </c>
      <c r="F577" s="44">
        <v>1</v>
      </c>
      <c r="G577" s="44">
        <v>1</v>
      </c>
      <c r="H577" s="44">
        <v>1</v>
      </c>
      <c r="I577" s="44">
        <v>0</v>
      </c>
      <c r="J577" s="44">
        <v>0</v>
      </c>
      <c r="K577" s="16" t="s">
        <v>37</v>
      </c>
      <c r="L577" s="46" t="s">
        <v>380</v>
      </c>
      <c r="M577" s="17">
        <f t="shared" si="304"/>
        <v>0.38801999999999998</v>
      </c>
      <c r="N577" s="18">
        <f t="shared" si="305"/>
        <v>1.3380000000000001</v>
      </c>
      <c r="O577" s="19">
        <f>IF(E577="HERRAJE",IFERROR(_xlfn.XLOOKUP(D577,'⚙️ Configuración Costos'!$A$11:$A$20,'⚙️ Configuración Costos'!$B$11:$B$20),""),IFERROR(_xlfn.XLOOKUP(E577,'⚙️ Configuración Costos'!$A$5:$A$6,'⚙️ Configuración Costos'!$B$5:$B$6),""))</f>
        <v>332.85245901639348</v>
      </c>
      <c r="P577" s="19">
        <f t="shared" si="306"/>
        <v>129.15341114754099</v>
      </c>
      <c r="Q577" s="19">
        <f>IF(E577="HERRAJE",0,IFERROR(_xlfn.XLOOKUP(E577,'⚙️ Configuración Costos'!$E$5:$E$6,'⚙️ Configuración Costos'!$F$5:$F$6),""))</f>
        <v>9.5</v>
      </c>
      <c r="R577" s="19">
        <f t="shared" si="307"/>
        <v>12.711</v>
      </c>
      <c r="S577" s="37">
        <f t="shared" si="308"/>
        <v>141.86441114754101</v>
      </c>
      <c r="T577" s="94" t="str">
        <f t="shared" si="309"/>
        <v>OK</v>
      </c>
      <c r="U577" s="95" t="str">
        <f t="shared" si="310"/>
        <v/>
      </c>
      <c r="V577" s="96">
        <f t="shared" si="311"/>
        <v>0</v>
      </c>
    </row>
    <row r="578" spans="1:22" x14ac:dyDescent="0.2">
      <c r="A578" s="35">
        <v>1</v>
      </c>
      <c r="B578" s="6">
        <v>669</v>
      </c>
      <c r="C578" s="6">
        <v>580</v>
      </c>
      <c r="D578" s="43" t="s">
        <v>300</v>
      </c>
      <c r="E578" s="43" t="s">
        <v>85</v>
      </c>
      <c r="F578" s="44">
        <v>1</v>
      </c>
      <c r="G578" s="44">
        <v>1</v>
      </c>
      <c r="H578" s="44">
        <v>1</v>
      </c>
      <c r="I578" s="44">
        <v>0</v>
      </c>
      <c r="J578" s="44">
        <v>0</v>
      </c>
      <c r="K578" s="16" t="s">
        <v>37</v>
      </c>
      <c r="L578" s="46" t="s">
        <v>380</v>
      </c>
      <c r="M578" s="17">
        <f t="shared" si="304"/>
        <v>0.38801999999999998</v>
      </c>
      <c r="N578" s="18">
        <f t="shared" si="305"/>
        <v>1.3380000000000001</v>
      </c>
      <c r="O578" s="19">
        <f>IF(E578="HERRAJE",IFERROR(_xlfn.XLOOKUP(D578,'⚙️ Configuración Costos'!$A$11:$A$20,'⚙️ Configuración Costos'!$B$11:$B$20),""),IFERROR(_xlfn.XLOOKUP(E578,'⚙️ Configuración Costos'!$A$5:$A$6,'⚙️ Configuración Costos'!$B$5:$B$6),""))</f>
        <v>332.85245901639348</v>
      </c>
      <c r="P578" s="19">
        <f t="shared" si="306"/>
        <v>129.15341114754099</v>
      </c>
      <c r="Q578" s="19">
        <f>IF(E578="HERRAJE",0,IFERROR(_xlfn.XLOOKUP(E578,'⚙️ Configuración Costos'!$E$5:$E$6,'⚙️ Configuración Costos'!$F$5:$F$6),""))</f>
        <v>9.5</v>
      </c>
      <c r="R578" s="19">
        <f t="shared" si="307"/>
        <v>12.711</v>
      </c>
      <c r="S578" s="37">
        <f t="shared" si="308"/>
        <v>141.86441114754101</v>
      </c>
      <c r="T578" s="94" t="str">
        <f t="shared" si="309"/>
        <v>OK</v>
      </c>
      <c r="U578" s="95" t="str">
        <f t="shared" si="310"/>
        <v/>
      </c>
      <c r="V578" s="96">
        <f t="shared" si="311"/>
        <v>0</v>
      </c>
    </row>
    <row r="579" spans="1:22" x14ac:dyDescent="0.2">
      <c r="A579" s="35">
        <v>1</v>
      </c>
      <c r="B579" s="6">
        <v>669</v>
      </c>
      <c r="C579" s="6">
        <v>490</v>
      </c>
      <c r="D579" s="43" t="s">
        <v>488</v>
      </c>
      <c r="E579" s="43" t="s">
        <v>85</v>
      </c>
      <c r="F579" s="44">
        <v>1</v>
      </c>
      <c r="G579" s="44">
        <v>1</v>
      </c>
      <c r="H579" s="44">
        <v>1</v>
      </c>
      <c r="I579" s="44">
        <v>0</v>
      </c>
      <c r="J579" s="44">
        <v>0</v>
      </c>
      <c r="K579" s="16" t="s">
        <v>37</v>
      </c>
      <c r="L579" s="46" t="s">
        <v>381</v>
      </c>
      <c r="M579" s="17">
        <f t="shared" si="304"/>
        <v>0.32780999999999999</v>
      </c>
      <c r="N579" s="18">
        <f t="shared" si="305"/>
        <v>1.3380000000000001</v>
      </c>
      <c r="O579" s="19">
        <f>IF(E579="HERRAJE",IFERROR(_xlfn.XLOOKUP(D579,'⚙️ Configuración Costos'!$A$11:$A$20,'⚙️ Configuración Costos'!$B$11:$B$20),""),IFERROR(_xlfn.XLOOKUP(E579,'⚙️ Configuración Costos'!$A$5:$A$6,'⚙️ Configuración Costos'!$B$5:$B$6),""))</f>
        <v>332.85245901639348</v>
      </c>
      <c r="P579" s="19">
        <f t="shared" si="306"/>
        <v>109.11236459016395</v>
      </c>
      <c r="Q579" s="19">
        <f>IF(E579="HERRAJE",0,IFERROR(_xlfn.XLOOKUP(E579,'⚙️ Configuración Costos'!$E$5:$E$6,'⚙️ Configuración Costos'!$F$5:$F$6),""))</f>
        <v>9.5</v>
      </c>
      <c r="R579" s="19">
        <f t="shared" si="307"/>
        <v>12.711</v>
      </c>
      <c r="S579" s="37">
        <f t="shared" si="308"/>
        <v>121.82336459016395</v>
      </c>
      <c r="T579" s="94" t="str">
        <f t="shared" si="309"/>
        <v>OK</v>
      </c>
      <c r="U579" s="95" t="str">
        <f t="shared" si="310"/>
        <v/>
      </c>
      <c r="V579" s="96">
        <f t="shared" si="311"/>
        <v>0</v>
      </c>
    </row>
    <row r="580" spans="1:22" x14ac:dyDescent="0.2">
      <c r="A580" s="35">
        <v>1</v>
      </c>
      <c r="B580" s="6">
        <v>669</v>
      </c>
      <c r="C580" s="6">
        <v>580</v>
      </c>
      <c r="D580" s="43" t="s">
        <v>302</v>
      </c>
      <c r="E580" s="43" t="s">
        <v>85</v>
      </c>
      <c r="F580" s="44">
        <v>1</v>
      </c>
      <c r="G580" s="44">
        <v>1</v>
      </c>
      <c r="H580" s="44">
        <v>1</v>
      </c>
      <c r="I580" s="44">
        <v>0</v>
      </c>
      <c r="J580" s="44">
        <v>0</v>
      </c>
      <c r="K580" s="16" t="s">
        <v>37</v>
      </c>
      <c r="L580" s="46" t="s">
        <v>382</v>
      </c>
      <c r="M580" s="17">
        <f t="shared" si="304"/>
        <v>0.38801999999999998</v>
      </c>
      <c r="N580" s="18">
        <f t="shared" si="305"/>
        <v>1.3380000000000001</v>
      </c>
      <c r="O580" s="19">
        <f>IF(E580="HERRAJE",IFERROR(_xlfn.XLOOKUP(D580,'⚙️ Configuración Costos'!$A$11:$A$20,'⚙️ Configuración Costos'!$B$11:$B$20),""),IFERROR(_xlfn.XLOOKUP(E580,'⚙️ Configuración Costos'!$A$5:$A$6,'⚙️ Configuración Costos'!$B$5:$B$6),""))</f>
        <v>332.85245901639348</v>
      </c>
      <c r="P580" s="19">
        <f t="shared" si="306"/>
        <v>129.15341114754099</v>
      </c>
      <c r="Q580" s="19">
        <f>IF(E580="HERRAJE",0,IFERROR(_xlfn.XLOOKUP(E580,'⚙️ Configuración Costos'!$E$5:$E$6,'⚙️ Configuración Costos'!$F$5:$F$6),""))</f>
        <v>9.5</v>
      </c>
      <c r="R580" s="19">
        <f t="shared" si="307"/>
        <v>12.711</v>
      </c>
      <c r="S580" s="37">
        <f t="shared" si="308"/>
        <v>141.86441114754101</v>
      </c>
      <c r="T580" s="94" t="str">
        <f t="shared" si="309"/>
        <v>OK</v>
      </c>
      <c r="U580" s="95" t="str">
        <f t="shared" si="310"/>
        <v/>
      </c>
      <c r="V580" s="96">
        <f t="shared" si="311"/>
        <v>0</v>
      </c>
    </row>
    <row r="581" spans="1:22" x14ac:dyDescent="0.2">
      <c r="A581" s="35">
        <v>1</v>
      </c>
      <c r="B581" s="6">
        <v>669</v>
      </c>
      <c r="C581" s="6">
        <v>580</v>
      </c>
      <c r="D581" s="43" t="s">
        <v>302</v>
      </c>
      <c r="E581" s="43" t="s">
        <v>85</v>
      </c>
      <c r="F581" s="44">
        <v>1</v>
      </c>
      <c r="G581" s="44">
        <v>1</v>
      </c>
      <c r="H581" s="44">
        <v>1</v>
      </c>
      <c r="I581" s="44">
        <v>0</v>
      </c>
      <c r="J581" s="44">
        <v>0</v>
      </c>
      <c r="K581" s="16" t="s">
        <v>37</v>
      </c>
      <c r="L581" s="46" t="s">
        <v>382</v>
      </c>
      <c r="M581" s="17">
        <f t="shared" si="304"/>
        <v>0.38801999999999998</v>
      </c>
      <c r="N581" s="18">
        <f t="shared" si="305"/>
        <v>1.3380000000000001</v>
      </c>
      <c r="O581" s="19">
        <f>IF(E581="HERRAJE",IFERROR(_xlfn.XLOOKUP(D581,'⚙️ Configuración Costos'!$A$11:$A$20,'⚙️ Configuración Costos'!$B$11:$B$20),""),IFERROR(_xlfn.XLOOKUP(E581,'⚙️ Configuración Costos'!$A$5:$A$6,'⚙️ Configuración Costos'!$B$5:$B$6),""))</f>
        <v>332.85245901639348</v>
      </c>
      <c r="P581" s="19">
        <f t="shared" si="306"/>
        <v>129.15341114754099</v>
      </c>
      <c r="Q581" s="19">
        <f>IF(E581="HERRAJE",0,IFERROR(_xlfn.XLOOKUP(E581,'⚙️ Configuración Costos'!$E$5:$E$6,'⚙️ Configuración Costos'!$F$5:$F$6),""))</f>
        <v>9.5</v>
      </c>
      <c r="R581" s="19">
        <f t="shared" si="307"/>
        <v>12.711</v>
      </c>
      <c r="S581" s="37">
        <f t="shared" si="308"/>
        <v>141.86441114754101</v>
      </c>
      <c r="T581" s="94" t="str">
        <f t="shared" si="309"/>
        <v>OK</v>
      </c>
      <c r="U581" s="95" t="str">
        <f t="shared" si="310"/>
        <v/>
      </c>
      <c r="V581" s="96">
        <f t="shared" si="311"/>
        <v>0</v>
      </c>
    </row>
    <row r="582" spans="1:22" x14ac:dyDescent="0.2">
      <c r="A582" s="35">
        <v>1</v>
      </c>
      <c r="B582" s="6">
        <v>669</v>
      </c>
      <c r="C582" s="6">
        <v>539</v>
      </c>
      <c r="D582" s="43" t="s">
        <v>491</v>
      </c>
      <c r="E582" s="43" t="s">
        <v>85</v>
      </c>
      <c r="F582" s="44">
        <v>1</v>
      </c>
      <c r="G582" s="44">
        <v>0</v>
      </c>
      <c r="H582" s="44">
        <v>0</v>
      </c>
      <c r="I582" s="44">
        <v>0</v>
      </c>
      <c r="J582" s="44">
        <v>0</v>
      </c>
      <c r="K582" s="16" t="s">
        <v>37</v>
      </c>
      <c r="L582" s="46" t="s">
        <v>337</v>
      </c>
      <c r="M582" s="17">
        <f t="shared" si="304"/>
        <v>0.36059099999999999</v>
      </c>
      <c r="N582" s="18">
        <f t="shared" si="305"/>
        <v>0</v>
      </c>
      <c r="O582" s="19">
        <f>IF(E582="HERRAJE",IFERROR(_xlfn.XLOOKUP(D582,'⚙️ Configuración Costos'!$A$11:$A$20,'⚙️ Configuración Costos'!$B$11:$B$20),""),IFERROR(_xlfn.XLOOKUP(E582,'⚙️ Configuración Costos'!$A$5:$A$6,'⚙️ Configuración Costos'!$B$5:$B$6),""))</f>
        <v>332.85245901639348</v>
      </c>
      <c r="P582" s="19">
        <f t="shared" si="306"/>
        <v>120.02360104918034</v>
      </c>
      <c r="Q582" s="19">
        <f>IF(E582="HERRAJE",0,IFERROR(_xlfn.XLOOKUP(E582,'⚙️ Configuración Costos'!$E$5:$E$6,'⚙️ Configuración Costos'!$F$5:$F$6),""))</f>
        <v>9.5</v>
      </c>
      <c r="R582" s="19">
        <f t="shared" si="307"/>
        <v>0</v>
      </c>
      <c r="S582" s="37">
        <f t="shared" si="308"/>
        <v>120.02360104918034</v>
      </c>
      <c r="T582" s="94" t="str">
        <f t="shared" si="309"/>
        <v>OK</v>
      </c>
      <c r="U582" s="95" t="str">
        <f t="shared" si="310"/>
        <v/>
      </c>
      <c r="V582" s="96">
        <f t="shared" si="311"/>
        <v>0</v>
      </c>
    </row>
    <row r="583" spans="1:22" x14ac:dyDescent="0.2">
      <c r="A583" s="35">
        <v>1</v>
      </c>
      <c r="B583" s="6">
        <v>669</v>
      </c>
      <c r="C583" s="6">
        <v>490</v>
      </c>
      <c r="D583" s="43" t="s">
        <v>488</v>
      </c>
      <c r="E583" s="43" t="s">
        <v>85</v>
      </c>
      <c r="F583" s="44">
        <v>1</v>
      </c>
      <c r="G583" s="44">
        <v>1</v>
      </c>
      <c r="H583" s="44">
        <v>0</v>
      </c>
      <c r="I583" s="44">
        <v>0</v>
      </c>
      <c r="J583" s="44">
        <v>0</v>
      </c>
      <c r="K583" s="16" t="s">
        <v>37</v>
      </c>
      <c r="L583" s="46" t="s">
        <v>338</v>
      </c>
      <c r="M583" s="17">
        <f t="shared" si="304"/>
        <v>0.32780999999999999</v>
      </c>
      <c r="N583" s="18">
        <f t="shared" si="305"/>
        <v>0.66900000000000004</v>
      </c>
      <c r="O583" s="19">
        <f>IF(E583="HERRAJE",IFERROR(_xlfn.XLOOKUP(D583,'⚙️ Configuración Costos'!$A$11:$A$20,'⚙️ Configuración Costos'!$B$11:$B$20),""),IFERROR(_xlfn.XLOOKUP(E583,'⚙️ Configuración Costos'!$A$5:$A$6,'⚙️ Configuración Costos'!$B$5:$B$6),""))</f>
        <v>332.85245901639348</v>
      </c>
      <c r="P583" s="19">
        <f t="shared" si="306"/>
        <v>109.11236459016395</v>
      </c>
      <c r="Q583" s="19">
        <f>IF(E583="HERRAJE",0,IFERROR(_xlfn.XLOOKUP(E583,'⚙️ Configuración Costos'!$E$5:$E$6,'⚙️ Configuración Costos'!$F$5:$F$6),""))</f>
        <v>9.5</v>
      </c>
      <c r="R583" s="19">
        <f t="shared" si="307"/>
        <v>6.3555000000000001</v>
      </c>
      <c r="S583" s="37">
        <f t="shared" si="308"/>
        <v>115.46786459016396</v>
      </c>
      <c r="T583" s="94" t="str">
        <f t="shared" si="309"/>
        <v>OK</v>
      </c>
      <c r="U583" s="95" t="str">
        <f t="shared" si="310"/>
        <v/>
      </c>
      <c r="V583" s="96">
        <f t="shared" si="311"/>
        <v>0</v>
      </c>
    </row>
    <row r="584" spans="1:22" x14ac:dyDescent="0.2">
      <c r="A584" s="35">
        <v>1</v>
      </c>
      <c r="B584" s="6">
        <v>669</v>
      </c>
      <c r="C584" s="6">
        <v>120</v>
      </c>
      <c r="D584" s="43" t="s">
        <v>492</v>
      </c>
      <c r="E584" s="43" t="s">
        <v>85</v>
      </c>
      <c r="F584" s="44">
        <v>1</v>
      </c>
      <c r="G584" s="44">
        <v>0</v>
      </c>
      <c r="H584" s="44">
        <v>1</v>
      </c>
      <c r="I584" s="44">
        <v>0</v>
      </c>
      <c r="J584" s="44">
        <v>0</v>
      </c>
      <c r="K584" s="16" t="s">
        <v>37</v>
      </c>
      <c r="L584" s="46" t="s">
        <v>340</v>
      </c>
      <c r="M584" s="17">
        <f t="shared" si="304"/>
        <v>8.0280000000000004E-2</v>
      </c>
      <c r="N584" s="18">
        <f t="shared" si="305"/>
        <v>0.66900000000000004</v>
      </c>
      <c r="O584" s="19">
        <f>IF(E584="HERRAJE",IFERROR(_xlfn.XLOOKUP(D584,'⚙️ Configuración Costos'!$A$11:$A$20,'⚙️ Configuración Costos'!$B$11:$B$20),""),IFERROR(_xlfn.XLOOKUP(E584,'⚙️ Configuración Costos'!$A$5:$A$6,'⚙️ Configuración Costos'!$B$5:$B$6),""))</f>
        <v>332.85245901639348</v>
      </c>
      <c r="P584" s="19">
        <f t="shared" si="306"/>
        <v>26.72139540983607</v>
      </c>
      <c r="Q584" s="19">
        <f>IF(E584="HERRAJE",0,IFERROR(_xlfn.XLOOKUP(E584,'⚙️ Configuración Costos'!$E$5:$E$6,'⚙️ Configuración Costos'!$F$5:$F$6),""))</f>
        <v>9.5</v>
      </c>
      <c r="R584" s="19">
        <f t="shared" si="307"/>
        <v>6.3555000000000001</v>
      </c>
      <c r="S584" s="37">
        <f t="shared" si="308"/>
        <v>33.076895409836069</v>
      </c>
      <c r="T584" s="94" t="str">
        <f t="shared" si="309"/>
        <v>OK</v>
      </c>
      <c r="U584" s="95" t="str">
        <f t="shared" si="310"/>
        <v/>
      </c>
      <c r="V584" s="96">
        <f t="shared" si="311"/>
        <v>0</v>
      </c>
    </row>
    <row r="585" spans="1:22" x14ac:dyDescent="0.2">
      <c r="A585" s="35">
        <v>1</v>
      </c>
      <c r="B585" s="6">
        <v>717</v>
      </c>
      <c r="C585" s="6">
        <v>346</v>
      </c>
      <c r="D585" s="43" t="s">
        <v>480</v>
      </c>
      <c r="E585" s="43" t="s">
        <v>85</v>
      </c>
      <c r="F585" s="44">
        <v>1</v>
      </c>
      <c r="G585" s="44">
        <v>1</v>
      </c>
      <c r="H585" s="44">
        <v>1</v>
      </c>
      <c r="I585" s="44">
        <v>1</v>
      </c>
      <c r="J585" s="44">
        <v>1</v>
      </c>
      <c r="K585" s="16" t="s">
        <v>37</v>
      </c>
      <c r="L585" s="46" t="s">
        <v>341</v>
      </c>
      <c r="M585" s="17">
        <f t="shared" si="304"/>
        <v>0.248082</v>
      </c>
      <c r="N585" s="18">
        <f t="shared" si="305"/>
        <v>2.1259999999999999</v>
      </c>
      <c r="O585" s="19">
        <f>IF(E585="HERRAJE",IFERROR(_xlfn.XLOOKUP(D585,'⚙️ Configuración Costos'!$A$11:$A$20,'⚙️ Configuración Costos'!$B$11:$B$20),""),IFERROR(_xlfn.XLOOKUP(E585,'⚙️ Configuración Costos'!$A$5:$A$6,'⚙️ Configuración Costos'!$B$5:$B$6),""))</f>
        <v>332.85245901639348</v>
      </c>
      <c r="P585" s="19">
        <f t="shared" si="306"/>
        <v>82.574703737704922</v>
      </c>
      <c r="Q585" s="19">
        <f>IF(E585="HERRAJE",0,IFERROR(_xlfn.XLOOKUP(E585,'⚙️ Configuración Costos'!$E$5:$E$6,'⚙️ Configuración Costos'!$F$5:$F$6),""))</f>
        <v>9.5</v>
      </c>
      <c r="R585" s="19">
        <f t="shared" si="307"/>
        <v>20.196999999999999</v>
      </c>
      <c r="S585" s="37">
        <f t="shared" si="308"/>
        <v>102.77170373770493</v>
      </c>
      <c r="T585" s="94" t="str">
        <f t="shared" si="309"/>
        <v>OK</v>
      </c>
      <c r="U585" s="95" t="str">
        <f t="shared" si="310"/>
        <v/>
      </c>
      <c r="V585" s="96">
        <f t="shared" si="311"/>
        <v>0</v>
      </c>
    </row>
    <row r="586" spans="1:22" x14ac:dyDescent="0.2">
      <c r="A586" s="35">
        <v>1</v>
      </c>
      <c r="B586" s="6">
        <v>717</v>
      </c>
      <c r="C586" s="6">
        <v>346</v>
      </c>
      <c r="D586" s="43" t="s">
        <v>483</v>
      </c>
      <c r="E586" s="43" t="s">
        <v>85</v>
      </c>
      <c r="F586" s="44">
        <v>1</v>
      </c>
      <c r="G586" s="44">
        <v>1</v>
      </c>
      <c r="H586" s="44">
        <v>1</v>
      </c>
      <c r="I586" s="44">
        <v>1</v>
      </c>
      <c r="J586" s="44">
        <v>1</v>
      </c>
      <c r="K586" s="16" t="s">
        <v>37</v>
      </c>
      <c r="L586" s="46" t="s">
        <v>342</v>
      </c>
      <c r="M586" s="17">
        <f t="shared" si="304"/>
        <v>0.248082</v>
      </c>
      <c r="N586" s="18">
        <f t="shared" si="305"/>
        <v>2.1259999999999999</v>
      </c>
      <c r="O586" s="19">
        <f>IF(E586="HERRAJE",IFERROR(_xlfn.XLOOKUP(D586,'⚙️ Configuración Costos'!$A$11:$A$20,'⚙️ Configuración Costos'!$B$11:$B$20),""),IFERROR(_xlfn.XLOOKUP(E586,'⚙️ Configuración Costos'!$A$5:$A$6,'⚙️ Configuración Costos'!$B$5:$B$6),""))</f>
        <v>332.85245901639348</v>
      </c>
      <c r="P586" s="19">
        <f t="shared" si="306"/>
        <v>82.574703737704922</v>
      </c>
      <c r="Q586" s="19">
        <f>IF(E586="HERRAJE",0,IFERROR(_xlfn.XLOOKUP(E586,'⚙️ Configuración Costos'!$E$5:$E$6,'⚙️ Configuración Costos'!$F$5:$F$6),""))</f>
        <v>9.5</v>
      </c>
      <c r="R586" s="19">
        <f t="shared" si="307"/>
        <v>20.196999999999999</v>
      </c>
      <c r="S586" s="37">
        <f t="shared" si="308"/>
        <v>102.77170373770493</v>
      </c>
      <c r="T586" s="94" t="str">
        <f t="shared" si="309"/>
        <v>OK</v>
      </c>
      <c r="U586" s="95" t="str">
        <f t="shared" si="310"/>
        <v/>
      </c>
      <c r="V586" s="96">
        <f t="shared" si="311"/>
        <v>0</v>
      </c>
    </row>
    <row r="587" spans="1:22" x14ac:dyDescent="0.2">
      <c r="A587" s="35">
        <v>1</v>
      </c>
      <c r="B587" s="6">
        <v>566</v>
      </c>
      <c r="C587" s="6">
        <v>346</v>
      </c>
      <c r="D587" s="43" t="s">
        <v>469</v>
      </c>
      <c r="E587" s="43" t="s">
        <v>85</v>
      </c>
      <c r="F587" s="44">
        <v>1</v>
      </c>
      <c r="G587" s="44">
        <v>1</v>
      </c>
      <c r="H587" s="44">
        <v>1</v>
      </c>
      <c r="I587" s="44">
        <v>1</v>
      </c>
      <c r="J587" s="44">
        <v>1</v>
      </c>
      <c r="K587" s="16" t="s">
        <v>37</v>
      </c>
      <c r="L587" s="46" t="s">
        <v>343</v>
      </c>
      <c r="M587" s="17">
        <f t="shared" si="304"/>
        <v>0.19583600000000001</v>
      </c>
      <c r="N587" s="18">
        <f t="shared" si="305"/>
        <v>1.8240000000000001</v>
      </c>
      <c r="O587" s="19">
        <f>IF(E587="HERRAJE",IFERROR(_xlfn.XLOOKUP(D587,'⚙️ Configuración Costos'!$A$11:$A$20,'⚙️ Configuración Costos'!$B$11:$B$20),""),IFERROR(_xlfn.XLOOKUP(E587,'⚙️ Configuración Costos'!$A$5:$A$6,'⚙️ Configuración Costos'!$B$5:$B$6),""))</f>
        <v>332.85245901639348</v>
      </c>
      <c r="P587" s="19">
        <f t="shared" si="306"/>
        <v>65.184494163934431</v>
      </c>
      <c r="Q587" s="19">
        <f>IF(E587="HERRAJE",0,IFERROR(_xlfn.XLOOKUP(E587,'⚙️ Configuración Costos'!$E$5:$E$6,'⚙️ Configuración Costos'!$F$5:$F$6),""))</f>
        <v>9.5</v>
      </c>
      <c r="R587" s="19">
        <f t="shared" si="307"/>
        <v>17.327999999999999</v>
      </c>
      <c r="S587" s="37">
        <f t="shared" si="308"/>
        <v>82.512494163934434</v>
      </c>
      <c r="T587" s="94" t="str">
        <f t="shared" si="309"/>
        <v>OK</v>
      </c>
      <c r="U587" s="95" t="str">
        <f t="shared" si="310"/>
        <v/>
      </c>
      <c r="V587" s="96">
        <f t="shared" si="311"/>
        <v>0</v>
      </c>
    </row>
    <row r="588" spans="1:22" x14ac:dyDescent="0.2">
      <c r="A588" s="35">
        <v>1</v>
      </c>
      <c r="B588" s="6">
        <v>566</v>
      </c>
      <c r="C588" s="6">
        <v>346</v>
      </c>
      <c r="D588" s="43" t="s">
        <v>483</v>
      </c>
      <c r="E588" s="43" t="s">
        <v>85</v>
      </c>
      <c r="F588" s="44">
        <v>1</v>
      </c>
      <c r="G588" s="44">
        <v>1</v>
      </c>
      <c r="H588" s="44">
        <v>1</v>
      </c>
      <c r="I588" s="44">
        <v>1</v>
      </c>
      <c r="J588" s="44">
        <v>1</v>
      </c>
      <c r="K588" s="16" t="s">
        <v>37</v>
      </c>
      <c r="L588" s="46" t="s">
        <v>344</v>
      </c>
      <c r="M588" s="17">
        <f t="shared" si="304"/>
        <v>0.19583600000000001</v>
      </c>
      <c r="N588" s="18">
        <f t="shared" si="305"/>
        <v>1.8240000000000001</v>
      </c>
      <c r="O588" s="19">
        <f>IF(E588="HERRAJE",IFERROR(_xlfn.XLOOKUP(D588,'⚙️ Configuración Costos'!$A$11:$A$20,'⚙️ Configuración Costos'!$B$11:$B$20),""),IFERROR(_xlfn.XLOOKUP(E588,'⚙️ Configuración Costos'!$A$5:$A$6,'⚙️ Configuración Costos'!$B$5:$B$6),""))</f>
        <v>332.85245901639348</v>
      </c>
      <c r="P588" s="19">
        <f t="shared" si="306"/>
        <v>65.184494163934431</v>
      </c>
      <c r="Q588" s="19">
        <f>IF(E588="HERRAJE",0,IFERROR(_xlfn.XLOOKUP(E588,'⚙️ Configuración Costos'!$E$5:$E$6,'⚙️ Configuración Costos'!$F$5:$F$6),""))</f>
        <v>9.5</v>
      </c>
      <c r="R588" s="19">
        <f t="shared" si="307"/>
        <v>17.327999999999999</v>
      </c>
      <c r="S588" s="37">
        <f t="shared" si="308"/>
        <v>82.512494163934434</v>
      </c>
      <c r="T588" s="94" t="str">
        <f t="shared" si="309"/>
        <v>OK</v>
      </c>
      <c r="U588" s="95" t="str">
        <f t="shared" si="310"/>
        <v/>
      </c>
      <c r="V588" s="96">
        <f t="shared" si="311"/>
        <v>0</v>
      </c>
    </row>
    <row r="589" spans="1:22" x14ac:dyDescent="0.2">
      <c r="A589" s="35">
        <v>8</v>
      </c>
      <c r="B589" s="6">
        <v>0</v>
      </c>
      <c r="C589" s="6">
        <v>0</v>
      </c>
      <c r="D589" s="7" t="s">
        <v>90</v>
      </c>
      <c r="E589" s="7" t="s">
        <v>91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16" t="s">
        <v>37</v>
      </c>
      <c r="L589" s="47" t="s">
        <v>92</v>
      </c>
      <c r="M589" s="17">
        <f t="shared" si="304"/>
        <v>0</v>
      </c>
      <c r="N589" s="18">
        <f t="shared" si="305"/>
        <v>0</v>
      </c>
      <c r="O589" s="19">
        <f>IF(E589="HERRAJE",IFERROR(_xlfn.XLOOKUP(D589,'⚙️ Configuración Costos'!$A$11:$A$20,'⚙️ Configuración Costos'!$B$11:$B$20),""),IFERROR(_xlfn.XLOOKUP(E589,'⚙️ Configuración Costos'!$A$5:$A$6,'⚙️ Configuración Costos'!$B$5:$B$6),""))</f>
        <v>20</v>
      </c>
      <c r="P589" s="19">
        <f t="shared" si="306"/>
        <v>160</v>
      </c>
      <c r="Q589" s="19">
        <f>IF(E589="HERRAJE",0,IFERROR(_xlfn.XLOOKUP(E589,'⚙️ Configuración Costos'!$E$5:$E$6,'⚙️ Configuración Costos'!$F$5:$F$6),""))</f>
        <v>0</v>
      </c>
      <c r="R589" s="19">
        <f t="shared" si="307"/>
        <v>0</v>
      </c>
      <c r="S589" s="37">
        <f t="shared" si="308"/>
        <v>160</v>
      </c>
      <c r="T589" s="94" t="str">
        <f t="shared" si="309"/>
        <v>OK</v>
      </c>
      <c r="U589" s="95" t="str">
        <f t="shared" si="310"/>
        <v/>
      </c>
      <c r="V589" s="96">
        <f t="shared" si="311"/>
        <v>0</v>
      </c>
    </row>
    <row r="590" spans="1:22" x14ac:dyDescent="0.2">
      <c r="A590" s="35">
        <v>4</v>
      </c>
      <c r="B590" s="6">
        <v>0</v>
      </c>
      <c r="C590" s="6">
        <v>0</v>
      </c>
      <c r="D590" s="7" t="s">
        <v>93</v>
      </c>
      <c r="E590" s="7" t="s">
        <v>91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16" t="s">
        <v>37</v>
      </c>
      <c r="L590" s="47" t="s">
        <v>94</v>
      </c>
      <c r="M590" s="17">
        <f t="shared" si="304"/>
        <v>0</v>
      </c>
      <c r="N590" s="18">
        <f t="shared" si="305"/>
        <v>0</v>
      </c>
      <c r="O590" s="19">
        <f>IF(E590="HERRAJE",IFERROR(_xlfn.XLOOKUP(D590,'⚙️ Configuración Costos'!$A$11:$A$20,'⚙️ Configuración Costos'!$B$11:$B$20),""),IFERROR(_xlfn.XLOOKUP(E590,'⚙️ Configuración Costos'!$A$5:$A$6,'⚙️ Configuración Costos'!$B$5:$B$6),""))</f>
        <v>15</v>
      </c>
      <c r="P590" s="19">
        <f t="shared" si="306"/>
        <v>60</v>
      </c>
      <c r="Q590" s="19">
        <f>IF(E590="HERRAJE",0,IFERROR(_xlfn.XLOOKUP(E590,'⚙️ Configuración Costos'!$E$5:$E$6,'⚙️ Configuración Costos'!$F$5:$F$6),""))</f>
        <v>0</v>
      </c>
      <c r="R590" s="19">
        <f t="shared" si="307"/>
        <v>0</v>
      </c>
      <c r="S590" s="37">
        <f t="shared" si="308"/>
        <v>60</v>
      </c>
      <c r="T590" s="94" t="str">
        <f t="shared" si="309"/>
        <v>OK</v>
      </c>
      <c r="U590" s="95" t="str">
        <f t="shared" si="310"/>
        <v/>
      </c>
      <c r="V590" s="96">
        <f t="shared" si="311"/>
        <v>0</v>
      </c>
    </row>
    <row r="591" spans="1:22" x14ac:dyDescent="0.2">
      <c r="A591" s="35">
        <v>6</v>
      </c>
      <c r="B591" s="6">
        <v>0</v>
      </c>
      <c r="C591" s="6">
        <v>0</v>
      </c>
      <c r="D591" s="7" t="s">
        <v>186</v>
      </c>
      <c r="E591" s="7" t="s">
        <v>91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16" t="s">
        <v>37</v>
      </c>
      <c r="L591" s="47" t="s">
        <v>187</v>
      </c>
      <c r="M591" s="17">
        <f t="shared" si="304"/>
        <v>0</v>
      </c>
      <c r="N591" s="18">
        <f t="shared" si="305"/>
        <v>0</v>
      </c>
      <c r="O591" s="19">
        <f>IF(E591="HERRAJE",IFERROR(_xlfn.XLOOKUP(D591,'⚙️ Configuración Costos'!$A$11:$A$20,'⚙️ Configuración Costos'!$B$11:$B$20),""),IFERROR(_xlfn.XLOOKUP(E591,'⚙️ Configuración Costos'!$A$5:$A$6,'⚙️ Configuración Costos'!$B$5:$B$6),""))</f>
        <v>15</v>
      </c>
      <c r="P591" s="19">
        <f t="shared" si="306"/>
        <v>90</v>
      </c>
      <c r="Q591" s="19">
        <f>IF(E591="HERRAJE",0,IFERROR(_xlfn.XLOOKUP(E591,'⚙️ Configuración Costos'!$E$5:$E$6,'⚙️ Configuración Costos'!$F$5:$F$6),""))</f>
        <v>0</v>
      </c>
      <c r="R591" s="19">
        <f t="shared" si="307"/>
        <v>0</v>
      </c>
      <c r="S591" s="37">
        <f t="shared" si="308"/>
        <v>90</v>
      </c>
      <c r="T591" s="94" t="str">
        <f t="shared" si="309"/>
        <v>OK</v>
      </c>
      <c r="U591" s="95" t="str">
        <f t="shared" si="310"/>
        <v/>
      </c>
      <c r="V591" s="96">
        <f t="shared" si="311"/>
        <v>0</v>
      </c>
    </row>
    <row r="592" spans="1:22" x14ac:dyDescent="0.2">
      <c r="A592" s="35">
        <v>4</v>
      </c>
      <c r="B592" s="6">
        <v>0</v>
      </c>
      <c r="C592" s="6">
        <v>0</v>
      </c>
      <c r="D592" s="7" t="s">
        <v>95</v>
      </c>
      <c r="E592" s="7" t="s">
        <v>91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16" t="s">
        <v>37</v>
      </c>
      <c r="L592" s="47" t="s">
        <v>96</v>
      </c>
      <c r="M592" s="17">
        <f t="shared" si="304"/>
        <v>0</v>
      </c>
      <c r="N592" s="18">
        <f t="shared" si="305"/>
        <v>0</v>
      </c>
      <c r="O592" s="19">
        <f>IF(E592="HERRAJE",IFERROR(_xlfn.XLOOKUP(D592,'⚙️ Configuración Costos'!$A$11:$A$20,'⚙️ Configuración Costos'!$B$11:$B$20),""),IFERROR(_xlfn.XLOOKUP(E592,'⚙️ Configuración Costos'!$A$5:$A$6,'⚙️ Configuración Costos'!$B$5:$B$6),""))</f>
        <v>2</v>
      </c>
      <c r="P592" s="19">
        <f t="shared" si="306"/>
        <v>8</v>
      </c>
      <c r="Q592" s="19">
        <f>IF(E592="HERRAJE",0,IFERROR(_xlfn.XLOOKUP(E592,'⚙️ Configuración Costos'!$E$5:$E$6,'⚙️ Configuración Costos'!$F$5:$F$6),""))</f>
        <v>0</v>
      </c>
      <c r="R592" s="19">
        <f t="shared" si="307"/>
        <v>0</v>
      </c>
      <c r="S592" s="37">
        <f t="shared" si="308"/>
        <v>8</v>
      </c>
      <c r="T592" s="94" t="str">
        <f t="shared" si="309"/>
        <v>OK</v>
      </c>
      <c r="U592" s="95" t="str">
        <f t="shared" si="310"/>
        <v/>
      </c>
      <c r="V592" s="96">
        <f t="shared" si="311"/>
        <v>0</v>
      </c>
    </row>
    <row r="593" spans="1:22" x14ac:dyDescent="0.2">
      <c r="A593" s="36">
        <f>4*(IF(LEFT(D574,4)="Base",A574,0)+IF(LEFT(D574,4)="Piso",A574,0)+IF(LEFT(D574,5)="Techo",A574,0)+IF(LEFT(D575,4)="Base",A575,0)+IF(LEFT(D575,4)="Piso",A575,0)+IF(LEFT(D575,5)="Techo",A575,0)+IF(LEFT(D576,4)="Base",A576,0)+IF(LEFT(D576,4)="Piso",A576,0)+IF(LEFT(D576,5)="Techo",A576,0)+IF(LEFT(D577,4)="Base",A577,0)+IF(LEFT(D577,4)="Piso",A577,0)+IF(LEFT(D577,5)="Techo",A577,0)+IF(LEFT(D578,4)="Base",A578,0)+IF(LEFT(D578,4)="Piso",A578,0)+IF(LEFT(D578,5)="Techo",A578,0)+IF(LEFT(D579,4)="Base",A579,0)+IF(LEFT(D579,4)="Piso",A579,0)+IF(LEFT(D579,5)="Techo",A579,0)+IF(LEFT(D580,4)="Base",A580,0)+IF(LEFT(D580,4)="Piso",A580,0)+IF(LEFT(D580,5)="Techo",A580,0)+IF(LEFT(D581,4)="Base",A581,0)+IF(LEFT(D581,4)="Piso",A581,0)+IF(LEFT(D581,5)="Techo",A581,0)+IF(LEFT(D582,4)="Base",A582,0)+IF(LEFT(D582,4)="Piso",A582,0)+IF(LEFT(D582,5)="Techo",A582,0)+IF(LEFT(D583,4)="Base",A583,0)+IF(LEFT(D583,4)="Piso",A583,0)+IF(LEFT(D583,5)="Techo",A583,0)+IF(LEFT(D584,4)="Base",A584,0)+IF(LEFT(D584,4)="Piso",A584,0)+IF(LEFT(D584,5)="Techo",A584,0)+IF(LEFT(D585,4)="Base",A585,0)+IF(LEFT(D585,4)="Piso",A585,0)+IF(LEFT(D585,5)="Techo",A585,0)+IF(LEFT(D586,4)="Base",A586,0)+IF(LEFT(D586,4)="Piso",A586,0)+IF(LEFT(D586,5)="Techo",A586,0)+IF(LEFT(D587,4)="Base",A587,0)+IF(LEFT(D587,4)="Piso",A587,0)+IF(LEFT(D587,5)="Techo",A587,0)+IF(LEFT(D588,4)="Base",A588,0)+IF(LEFT(D588,4)="Piso",A588,0)+IF(LEFT(D588,5)="Techo",A588,0))+10*(IF(LEFT(D574,8)="Respaldo",A574,0)+IF(LEFT(D575,8)="Respaldo",A575,0)+IF(LEFT(D576,8)="Respaldo",A576,0)+IF(LEFT(D577,8)="Respaldo",A577,0)+IF(LEFT(D578,8)="Respaldo",A578,0)+IF(LEFT(D579,8)="Respaldo",A579,0)+IF(LEFT(D580,8)="Respaldo",A580,0)+IF(LEFT(D581,8)="Respaldo",A581,0)+IF(LEFT(D582,8)="Respaldo",A582,0)+IF(LEFT(D583,8)="Respaldo",A583,0)+IF(LEFT(D584,8)="Respaldo",A584,0)+IF(LEFT(D585,8)="Respaldo",A585,0)+IF(LEFT(D586,8)="Respaldo",A586,0)+IF(LEFT(D587,8)="Respaldo",A587,0)+IF(LEFT(D588,8)="Respaldo",A588,0))+2*(IF(LEFT(D574,8)="Manguete",A574,0)+IF(LEFT(D575,8)="Manguete",A575,0)+IF(LEFT(D576,8)="Manguete",A576,0)+IF(LEFT(D577,8)="Manguete",A577,0)+IF(LEFT(D578,8)="Manguete",A578,0)+IF(LEFT(D579,8)="Manguete",A579,0)+IF(LEFT(D580,8)="Manguete",A580,0)+IF(LEFT(D581,8)="Manguete",A581,0)+IF(LEFT(D582,8)="Manguete",A582,0)+IF(LEFT(D583,8)="Manguete",A583,0)+IF(LEFT(D584,8)="Manguete",A584,0)+IF(LEFT(D585,8)="Manguete",A585,0)+IF(LEFT(D586,8)="Manguete",A586,0)+IF(LEFT(D587,8)="Manguete",A587,0)+IF(LEFT(D588,8)="Manguete",A588,0))</f>
        <v>28</v>
      </c>
      <c r="B593" s="20">
        <v>0</v>
      </c>
      <c r="C593" s="20">
        <v>0</v>
      </c>
      <c r="D593" s="21" t="s">
        <v>400</v>
      </c>
      <c r="E593" s="21" t="s">
        <v>91</v>
      </c>
      <c r="F593" s="22">
        <v>0</v>
      </c>
      <c r="G593" s="22">
        <v>0</v>
      </c>
      <c r="H593" s="22">
        <v>0</v>
      </c>
      <c r="I593" s="22">
        <v>0</v>
      </c>
      <c r="J593" s="22">
        <v>0</v>
      </c>
      <c r="K593" s="16" t="s">
        <v>37</v>
      </c>
      <c r="L593" s="48" t="s">
        <v>360</v>
      </c>
      <c r="M593" s="17">
        <f t="shared" si="304"/>
        <v>0</v>
      </c>
      <c r="N593" s="18">
        <f t="shared" si="305"/>
        <v>0</v>
      </c>
      <c r="O593" s="19">
        <f>IF(E593="HERRAJE",IFERROR(_xlfn.XLOOKUP(D593,'⚙️ Configuración Costos'!$A$11:$A$20,'⚙️ Configuración Costos'!$B$11:$B$20),""),IFERROR(_xlfn.XLOOKUP(E593,'⚙️ Configuración Costos'!$A$5:$A$6,'⚙️ Configuración Costos'!$B$5:$B$6),""))</f>
        <v>3</v>
      </c>
      <c r="P593" s="19">
        <f t="shared" si="306"/>
        <v>84</v>
      </c>
      <c r="Q593" s="19">
        <f>IF(E593="HERRAJE",0,IFERROR(_xlfn.XLOOKUP(E593,'⚙️ Configuración Costos'!$E$5:$E$6,'⚙️ Configuración Costos'!$F$5:$F$6),""))</f>
        <v>0</v>
      </c>
      <c r="R593" s="19">
        <f t="shared" si="307"/>
        <v>0</v>
      </c>
      <c r="S593" s="37">
        <f t="shared" si="308"/>
        <v>84</v>
      </c>
      <c r="T593" s="94" t="str">
        <f t="shared" si="309"/>
        <v>OK</v>
      </c>
      <c r="U593" s="95" t="str">
        <f t="shared" si="310"/>
        <v/>
      </c>
      <c r="V593" s="96">
        <f t="shared" si="311"/>
        <v>0</v>
      </c>
    </row>
    <row r="594" spans="1:22" ht="16" thickBot="1" x14ac:dyDescent="0.25">
      <c r="A594" s="36">
        <f>6*(IF(LEFT(D574,4)="Base",A574,0)+IF(LEFT(D574,4)="Piso",A574,0)+IF(LEFT(D574,5)="Techo",A574,0)+IF(LEFT(D575,4)="Base",A575,0)+IF(LEFT(D575,4)="Piso",A575,0)+IF(LEFT(D575,5)="Techo",A575,0)+IF(LEFT(D576,4)="Base",A576,0)+IF(LEFT(D576,4)="Piso",A576,0)+IF(LEFT(D576,5)="Techo",A576,0)+IF(LEFT(D577,4)="Base",A577,0)+IF(LEFT(D577,4)="Piso",A577,0)+IF(LEFT(D577,5)="Techo",A577,0)+IF(LEFT(D578,4)="Base",A578,0)+IF(LEFT(D578,4)="Piso",A578,0)+IF(LEFT(D578,5)="Techo",A578,0)+IF(LEFT(D579,4)="Base",A579,0)+IF(LEFT(D579,4)="Piso",A579,0)+IF(LEFT(D579,5)="Techo",A579,0)+IF(LEFT(D580,4)="Base",A580,0)+IF(LEFT(D580,4)="Piso",A580,0)+IF(LEFT(D580,5)="Techo",A580,0)+IF(LEFT(D581,4)="Base",A581,0)+IF(LEFT(D581,4)="Piso",A581,0)+IF(LEFT(D581,5)="Techo",A581,0)+IF(LEFT(D582,4)="Base",A582,0)+IF(LEFT(D582,4)="Piso",A582,0)+IF(LEFT(D582,5)="Techo",A582,0)+IF(LEFT(D583,4)="Base",A583,0)+IF(LEFT(D583,4)="Piso",A583,0)+IF(LEFT(D583,5)="Techo",A583,0)+IF(LEFT(D584,4)="Base",A584,0)+IF(LEFT(D584,4)="Piso",A584,0)+IF(LEFT(D584,5)="Techo",A584,0)+IF(LEFT(D585,4)="Base",A585,0)+IF(LEFT(D585,4)="Piso",A585,0)+IF(LEFT(D585,5)="Techo",A585,0)+IF(LEFT(D586,4)="Base",A586,0)+IF(LEFT(D586,4)="Piso",A586,0)+IF(LEFT(D586,5)="Techo",A586,0)+IF(LEFT(D587,4)="Base",A587,0)+IF(LEFT(D587,4)="Piso",A587,0)+IF(LEFT(D587,5)="Techo",A587,0)+IF(LEFT(D588,4)="Base",A588,0)+IF(LEFT(D588,4)="Piso",A588,0)+IF(LEFT(D588,5)="Techo",A588,0))+10*(IF(LEFT(D574,8)="Respaldo",A574,0)+IF(LEFT(D575,8)="Respaldo",A575,0)+IF(LEFT(D576,8)="Respaldo",A576,0)+IF(LEFT(D577,8)="Respaldo",A577,0)+IF(LEFT(D578,8)="Respaldo",A578,0)+IF(LEFT(D579,8)="Respaldo",A579,0)+IF(LEFT(D580,8)="Respaldo",A580,0)+IF(LEFT(D581,8)="Respaldo",A581,0)+IF(LEFT(D582,8)="Respaldo",A582,0)+IF(LEFT(D583,8)="Respaldo",A583,0)+IF(LEFT(D584,8)="Respaldo",A584,0)+IF(LEFT(D585,8)="Respaldo",A585,0)+IF(LEFT(D586,8)="Respaldo",A586,0)+IF(LEFT(D587,8)="Respaldo",A587,0)+IF(LEFT(D588,8)="Respaldo",A588,0))+4*(IF(LEFT(D574,8)="Manguete",A574,0)+IF(LEFT(D575,8)="Manguete",A575,0)+IF(LEFT(D576,8)="Manguete",A576,0)+IF(LEFT(D577,8)="Manguete",A577,0)+IF(LEFT(D578,8)="Manguete",A578,0)+IF(LEFT(D579,8)="Manguete",A579,0)+IF(LEFT(D580,8)="Manguete",A580,0)+IF(LEFT(D581,8)="Manguete",A581,0)+IF(LEFT(D582,8)="Manguete",A582,0)+IF(LEFT(D583,8)="Manguete",A583,0)+IF(LEFT(D584,8)="Manguete",A584,0)+IF(LEFT(D585,8)="Manguete",A585,0)+IF(LEFT(D586,8)="Manguete",A586,0)+IF(LEFT(D587,8)="Manguete",A587,0)+IF(LEFT(D588,8)="Manguete",A588,0))</f>
        <v>38</v>
      </c>
      <c r="B594" s="20">
        <v>0</v>
      </c>
      <c r="C594" s="20">
        <v>0</v>
      </c>
      <c r="D594" s="21" t="s">
        <v>468</v>
      </c>
      <c r="E594" s="21" t="s">
        <v>91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16" t="s">
        <v>37</v>
      </c>
      <c r="L594" s="48" t="s">
        <v>361</v>
      </c>
      <c r="M594" s="17">
        <f t="shared" si="304"/>
        <v>0</v>
      </c>
      <c r="N594" s="18">
        <f t="shared" si="305"/>
        <v>0</v>
      </c>
      <c r="O594" s="19">
        <f>IF(E594="HERRAJE",IFERROR(_xlfn.XLOOKUP(D594,'⚙️ Configuración Costos'!$A$11:$A$20,'⚙️ Configuración Costos'!$B$11:$B$20),""),IFERROR(_xlfn.XLOOKUP(E594,'⚙️ Configuración Costos'!$A$5:$A$6,'⚙️ Configuración Costos'!$B$5:$B$6),""))</f>
        <v>1</v>
      </c>
      <c r="P594" s="19">
        <f t="shared" si="306"/>
        <v>38</v>
      </c>
      <c r="Q594" s="19">
        <f>IF(E594="HERRAJE",0,IFERROR(_xlfn.XLOOKUP(E594,'⚙️ Configuración Costos'!$E$5:$E$6,'⚙️ Configuración Costos'!$F$5:$F$6),""))</f>
        <v>0</v>
      </c>
      <c r="R594" s="19">
        <f t="shared" si="307"/>
        <v>0</v>
      </c>
      <c r="S594" s="37">
        <f t="shared" si="308"/>
        <v>38</v>
      </c>
      <c r="T594" s="94" t="str">
        <f t="shared" si="309"/>
        <v>OK</v>
      </c>
      <c r="U594" s="95" t="str">
        <f t="shared" si="310"/>
        <v/>
      </c>
      <c r="V594" s="96">
        <f t="shared" si="311"/>
        <v>0</v>
      </c>
    </row>
    <row r="595" spans="1:22" ht="16" thickTop="1" x14ac:dyDescent="0.2">
      <c r="A595" s="27" t="s">
        <v>99</v>
      </c>
      <c r="B595" s="27"/>
      <c r="C595" s="27"/>
      <c r="D595" s="28"/>
      <c r="E595" s="28"/>
      <c r="F595" s="29"/>
      <c r="G595" s="29"/>
      <c r="H595" s="29"/>
      <c r="I595" s="29"/>
      <c r="J595" s="29"/>
      <c r="K595" s="30"/>
      <c r="L595" s="49"/>
      <c r="M595" s="33">
        <f>SUM(M574:M594)</f>
        <v>6.4333480000000014</v>
      </c>
      <c r="N595" s="33">
        <f>SUM(N574:N594)</f>
        <v>26.64800000000001</v>
      </c>
      <c r="O595" s="33"/>
      <c r="P595" s="33">
        <f>SUM(P574:P594)</f>
        <v>2581.3557015081965</v>
      </c>
      <c r="Q595" s="33"/>
      <c r="R595" s="33">
        <f>SUM(R574:R594)</f>
        <v>253.15600000000006</v>
      </c>
      <c r="S595" s="33">
        <f>SUM(S574:S594)</f>
        <v>2834.5117015081969</v>
      </c>
      <c r="T595" s="97"/>
      <c r="U595" s="98"/>
      <c r="V595" s="99"/>
    </row>
    <row r="596" spans="1:22" x14ac:dyDescent="0.2">
      <c r="A596" s="186" t="s">
        <v>639</v>
      </c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8"/>
      <c r="T596" s="97"/>
      <c r="U596" s="98"/>
      <c r="V596" s="99"/>
    </row>
    <row r="597" spans="1:22" x14ac:dyDescent="0.2">
      <c r="A597" s="35">
        <v>1</v>
      </c>
      <c r="B597" s="6">
        <v>2100</v>
      </c>
      <c r="C597" s="6">
        <v>580</v>
      </c>
      <c r="D597" s="43" t="s">
        <v>63</v>
      </c>
      <c r="E597" s="43" t="s">
        <v>85</v>
      </c>
      <c r="F597" s="44">
        <v>1</v>
      </c>
      <c r="G597" s="44">
        <v>1</v>
      </c>
      <c r="H597" s="44">
        <v>1</v>
      </c>
      <c r="I597" s="44">
        <v>1</v>
      </c>
      <c r="J597" s="44">
        <v>1</v>
      </c>
      <c r="K597" s="16" t="s">
        <v>640</v>
      </c>
      <c r="L597" s="46" t="s">
        <v>296</v>
      </c>
      <c r="M597" s="17">
        <f t="shared" ref="M597:M612" si="312">IF(AND(ISNUMBER(B597),ISNUMBER(C597),B597&gt;0,C597&gt;0),A597*(B597*C597/1000000),0)</f>
        <v>1.218</v>
      </c>
      <c r="N597" s="18">
        <f t="shared" ref="N597:N612" si="313">IF(AND(ISNUMBER(B597),B597&gt;0),A597*(((G597+H597)*B597+(I597+J597)*C597)/1000),0)</f>
        <v>5.36</v>
      </c>
      <c r="O597" s="19">
        <f>IF(E597="HERRAJE",IFERROR(_xlfn.XLOOKUP(D597,'⚙️ Configuración Costos'!$A$11:$A$20,'⚙️ Configuración Costos'!$B$11:$B$20),""),IFERROR(_xlfn.XLOOKUP(E597,'⚙️ Configuración Costos'!$A$5:$A$6,'⚙️ Configuración Costos'!$B$5:$B$6),""))</f>
        <v>332.85245901639348</v>
      </c>
      <c r="P597" s="19">
        <f t="shared" ref="P597:P612" si="314">IF(E597="HERRAJE",A597*O597,M597*O597)</f>
        <v>405.41429508196723</v>
      </c>
      <c r="Q597" s="19">
        <f>IF(E597="HERRAJE",0,IFERROR(_xlfn.XLOOKUP(E597,'⚙️ Configuración Costos'!$E$5:$E$6,'⚙️ Configuración Costos'!$F$5:$F$6),""))</f>
        <v>9.5</v>
      </c>
      <c r="R597" s="19">
        <f t="shared" ref="R597:R612" si="315">N597*Q597</f>
        <v>50.92</v>
      </c>
      <c r="S597" s="37">
        <f t="shared" ref="S597:S612" si="316">P597+R597</f>
        <v>456.33429508196724</v>
      </c>
      <c r="T597" s="94" t="str">
        <f t="shared" ref="T597:T612" si="317">IF(K597="","SIN ID MÓDULO",IF(E597="HERRAJE",IF(OR(O597="",O597&lt;=0),"SIN PRECIO HERRAJE","OK"),IF(OR(O597="",O597&lt;=0),"SIN PRECIO MATERIAL",IF(AND(N597&gt;0,OR(Q597="",Q597&lt;=0)),"SIN PRECIO CINTILLA","OK"))))</f>
        <v>OK</v>
      </c>
      <c r="U597" s="95" t="str">
        <f t="shared" ref="U597:U612" si="318">IF(T597="OK","",IF(T597="SIN PRECIO HERRAJE","Capturar precio: "&amp;D597,IF(T597="SIN PRECIO MATERIAL","Configurar material: "&amp;E597,IF(T597="SIN PRECIO CINTILLA","Configurar cintilla: "&amp;E597,IF(T597="SIN ID MÓDULO","Revisar ID del módulo","")))))</f>
        <v/>
      </c>
      <c r="V597" s="96">
        <f t="shared" ref="V597:V612" si="319">IF(T597="OK",0,IF(T597="",0,1))</f>
        <v>0</v>
      </c>
    </row>
    <row r="598" spans="1:22" x14ac:dyDescent="0.2">
      <c r="A598" s="35">
        <v>1</v>
      </c>
      <c r="B598" s="6">
        <v>2100</v>
      </c>
      <c r="C598" s="6">
        <v>580</v>
      </c>
      <c r="D598" s="43" t="s">
        <v>66</v>
      </c>
      <c r="E598" s="43" t="s">
        <v>85</v>
      </c>
      <c r="F598" s="44">
        <v>1</v>
      </c>
      <c r="G598" s="44">
        <v>1</v>
      </c>
      <c r="H598" s="44">
        <v>1</v>
      </c>
      <c r="I598" s="44">
        <v>1</v>
      </c>
      <c r="J598" s="44">
        <v>1</v>
      </c>
      <c r="K598" s="16" t="s">
        <v>640</v>
      </c>
      <c r="L598" s="46" t="s">
        <v>297</v>
      </c>
      <c r="M598" s="17">
        <f t="shared" si="312"/>
        <v>1.218</v>
      </c>
      <c r="N598" s="18">
        <f t="shared" si="313"/>
        <v>5.36</v>
      </c>
      <c r="O598" s="19">
        <f>IF(E598="HERRAJE",IFERROR(_xlfn.XLOOKUP(D598,'⚙️ Configuración Costos'!$A$11:$A$20,'⚙️ Configuración Costos'!$B$11:$B$20),""),IFERROR(_xlfn.XLOOKUP(E598,'⚙️ Configuración Costos'!$A$5:$A$6,'⚙️ Configuración Costos'!$B$5:$B$6),""))</f>
        <v>332.85245901639348</v>
      </c>
      <c r="P598" s="19">
        <f t="shared" si="314"/>
        <v>405.41429508196723</v>
      </c>
      <c r="Q598" s="19">
        <f>IF(E598="HERRAJE",0,IFERROR(_xlfn.XLOOKUP(E598,'⚙️ Configuración Costos'!$E$5:$E$6,'⚙️ Configuración Costos'!$F$5:$F$6),""))</f>
        <v>9.5</v>
      </c>
      <c r="R598" s="19">
        <f t="shared" si="315"/>
        <v>50.92</v>
      </c>
      <c r="S598" s="37">
        <f t="shared" si="316"/>
        <v>456.33429508196724</v>
      </c>
      <c r="T598" s="94" t="str">
        <f t="shared" si="317"/>
        <v>OK</v>
      </c>
      <c r="U598" s="95" t="str">
        <f t="shared" si="318"/>
        <v/>
      </c>
      <c r="V598" s="96">
        <f t="shared" si="319"/>
        <v>0</v>
      </c>
    </row>
    <row r="599" spans="1:22" x14ac:dyDescent="0.2">
      <c r="A599" s="35">
        <v>1</v>
      </c>
      <c r="B599" s="6">
        <v>689</v>
      </c>
      <c r="C599" s="6">
        <v>569</v>
      </c>
      <c r="D599" s="43" t="s">
        <v>298</v>
      </c>
      <c r="E599" s="43" t="s">
        <v>85</v>
      </c>
      <c r="F599" s="44">
        <v>1</v>
      </c>
      <c r="G599" s="44">
        <v>0</v>
      </c>
      <c r="H599" s="44">
        <v>0</v>
      </c>
      <c r="I599" s="44">
        <v>0</v>
      </c>
      <c r="J599" s="44">
        <v>0</v>
      </c>
      <c r="K599" s="16" t="s">
        <v>640</v>
      </c>
      <c r="L599" s="46" t="s">
        <v>324</v>
      </c>
      <c r="M599" s="17">
        <f t="shared" si="312"/>
        <v>0.39204099999999997</v>
      </c>
      <c r="N599" s="18">
        <f t="shared" si="313"/>
        <v>0</v>
      </c>
      <c r="O599" s="19">
        <f>IF(E599="HERRAJE",IFERROR(_xlfn.XLOOKUP(D599,'⚙️ Configuración Costos'!$A$11:$A$20,'⚙️ Configuración Costos'!$B$11:$B$20),""),IFERROR(_xlfn.XLOOKUP(E599,'⚙️ Configuración Costos'!$A$5:$A$6,'⚙️ Configuración Costos'!$B$5:$B$6),""))</f>
        <v>332.85245901639348</v>
      </c>
      <c r="P599" s="19">
        <f t="shared" si="314"/>
        <v>130.49181088524591</v>
      </c>
      <c r="Q599" s="19">
        <f>IF(E599="HERRAJE",0,IFERROR(_xlfn.XLOOKUP(E599,'⚙️ Configuración Costos'!$E$5:$E$6,'⚙️ Configuración Costos'!$F$5:$F$6),""))</f>
        <v>9.5</v>
      </c>
      <c r="R599" s="19">
        <f t="shared" si="315"/>
        <v>0</v>
      </c>
      <c r="S599" s="37">
        <f t="shared" si="316"/>
        <v>130.49181088524591</v>
      </c>
      <c r="T599" s="94" t="str">
        <f t="shared" si="317"/>
        <v>OK</v>
      </c>
      <c r="U599" s="95" t="str">
        <f t="shared" si="318"/>
        <v/>
      </c>
      <c r="V599" s="96">
        <f t="shared" si="319"/>
        <v>0</v>
      </c>
    </row>
    <row r="600" spans="1:22" x14ac:dyDescent="0.2">
      <c r="A600" s="35">
        <v>1</v>
      </c>
      <c r="B600" s="6">
        <v>569</v>
      </c>
      <c r="C600" s="6">
        <v>580</v>
      </c>
      <c r="D600" s="43" t="s">
        <v>300</v>
      </c>
      <c r="E600" s="43" t="s">
        <v>85</v>
      </c>
      <c r="F600" s="44">
        <v>1</v>
      </c>
      <c r="G600" s="44">
        <v>1</v>
      </c>
      <c r="H600" s="44">
        <v>1</v>
      </c>
      <c r="I600" s="44">
        <v>0</v>
      </c>
      <c r="J600" s="44">
        <v>0</v>
      </c>
      <c r="K600" s="16" t="s">
        <v>640</v>
      </c>
      <c r="L600" s="46" t="s">
        <v>310</v>
      </c>
      <c r="M600" s="17">
        <f t="shared" si="312"/>
        <v>0.33001999999999998</v>
      </c>
      <c r="N600" s="18">
        <f t="shared" si="313"/>
        <v>1.1379999999999999</v>
      </c>
      <c r="O600" s="19">
        <f>IF(E600="HERRAJE",IFERROR(_xlfn.XLOOKUP(D600,'⚙️ Configuración Costos'!$A$11:$A$20,'⚙️ Configuración Costos'!$B$11:$B$20),""),IFERROR(_xlfn.XLOOKUP(E600,'⚙️ Configuración Costos'!$A$5:$A$6,'⚙️ Configuración Costos'!$B$5:$B$6),""))</f>
        <v>332.85245901639348</v>
      </c>
      <c r="P600" s="19">
        <f t="shared" si="314"/>
        <v>109.84796852459017</v>
      </c>
      <c r="Q600" s="19">
        <f>IF(E600="HERRAJE",0,IFERROR(_xlfn.XLOOKUP(E600,'⚙️ Configuración Costos'!$E$5:$E$6,'⚙️ Configuración Costos'!$F$5:$F$6),""))</f>
        <v>9.5</v>
      </c>
      <c r="R600" s="19">
        <f t="shared" si="315"/>
        <v>10.811</v>
      </c>
      <c r="S600" s="37">
        <f t="shared" si="316"/>
        <v>120.65896852459016</v>
      </c>
      <c r="T600" s="94" t="str">
        <f t="shared" si="317"/>
        <v>OK</v>
      </c>
      <c r="U600" s="95" t="str">
        <f t="shared" si="318"/>
        <v/>
      </c>
      <c r="V600" s="96">
        <f t="shared" si="319"/>
        <v>0</v>
      </c>
    </row>
    <row r="601" spans="1:22" x14ac:dyDescent="0.2">
      <c r="A601" s="35">
        <v>1</v>
      </c>
      <c r="B601" s="6">
        <v>569</v>
      </c>
      <c r="C601" s="6">
        <v>580</v>
      </c>
      <c r="D601" s="43" t="s">
        <v>300</v>
      </c>
      <c r="E601" s="43" t="s">
        <v>85</v>
      </c>
      <c r="F601" s="44">
        <v>1</v>
      </c>
      <c r="G601" s="44">
        <v>1</v>
      </c>
      <c r="H601" s="44">
        <v>1</v>
      </c>
      <c r="I601" s="44">
        <v>0</v>
      </c>
      <c r="J601" s="44">
        <v>0</v>
      </c>
      <c r="K601" s="16" t="s">
        <v>640</v>
      </c>
      <c r="L601" s="46" t="s">
        <v>310</v>
      </c>
      <c r="M601" s="17">
        <f t="shared" si="312"/>
        <v>0.33001999999999998</v>
      </c>
      <c r="N601" s="18">
        <f t="shared" si="313"/>
        <v>1.1379999999999999</v>
      </c>
      <c r="O601" s="19">
        <f>IF(E601="HERRAJE",IFERROR(_xlfn.XLOOKUP(D601,'⚙️ Configuración Costos'!$A$11:$A$20,'⚙️ Configuración Costos'!$B$11:$B$20),""),IFERROR(_xlfn.XLOOKUP(E601,'⚙️ Configuración Costos'!$A$5:$A$6,'⚙️ Configuración Costos'!$B$5:$B$6),""))</f>
        <v>332.85245901639348</v>
      </c>
      <c r="P601" s="19">
        <f t="shared" si="314"/>
        <v>109.84796852459017</v>
      </c>
      <c r="Q601" s="19">
        <f>IF(E601="HERRAJE",0,IFERROR(_xlfn.XLOOKUP(E601,'⚙️ Configuración Costos'!$E$5:$E$6,'⚙️ Configuración Costos'!$F$5:$F$6),""))</f>
        <v>9.5</v>
      </c>
      <c r="R601" s="19">
        <f t="shared" si="315"/>
        <v>10.811</v>
      </c>
      <c r="S601" s="37">
        <f t="shared" si="316"/>
        <v>120.65896852459016</v>
      </c>
      <c r="T601" s="94" t="str">
        <f t="shared" si="317"/>
        <v>OK</v>
      </c>
      <c r="U601" s="95" t="str">
        <f t="shared" si="318"/>
        <v/>
      </c>
      <c r="V601" s="96">
        <f t="shared" si="319"/>
        <v>0</v>
      </c>
    </row>
    <row r="602" spans="1:22" x14ac:dyDescent="0.2">
      <c r="A602" s="35">
        <v>1</v>
      </c>
      <c r="B602" s="6">
        <v>569</v>
      </c>
      <c r="C602" s="6">
        <v>490</v>
      </c>
      <c r="D602" s="43" t="s">
        <v>488</v>
      </c>
      <c r="E602" s="43" t="s">
        <v>85</v>
      </c>
      <c r="F602" s="44">
        <v>1</v>
      </c>
      <c r="G602" s="44">
        <v>1</v>
      </c>
      <c r="H602" s="44">
        <v>1</v>
      </c>
      <c r="I602" s="44">
        <v>0</v>
      </c>
      <c r="J602" s="44">
        <v>0</v>
      </c>
      <c r="K602" s="16" t="s">
        <v>640</v>
      </c>
      <c r="L602" s="46" t="s">
        <v>641</v>
      </c>
      <c r="M602" s="17">
        <f t="shared" si="312"/>
        <v>0.27881</v>
      </c>
      <c r="N602" s="18">
        <f t="shared" si="313"/>
        <v>1.1379999999999999</v>
      </c>
      <c r="O602" s="19">
        <f>IF(E602="HERRAJE",IFERROR(_xlfn.XLOOKUP(D602,'⚙️ Configuración Costos'!$A$11:$A$20,'⚙️ Configuración Costos'!$B$11:$B$20),""),IFERROR(_xlfn.XLOOKUP(E602,'⚙️ Configuración Costos'!$A$5:$A$6,'⚙️ Configuración Costos'!$B$5:$B$6),""))</f>
        <v>332.85245901639348</v>
      </c>
      <c r="P602" s="19">
        <f t="shared" si="314"/>
        <v>92.802594098360672</v>
      </c>
      <c r="Q602" s="19">
        <f>IF(E602="HERRAJE",0,IFERROR(_xlfn.XLOOKUP(E602,'⚙️ Configuración Costos'!$E$5:$E$6,'⚙️ Configuración Costos'!$F$5:$F$6),""))</f>
        <v>9.5</v>
      </c>
      <c r="R602" s="19">
        <f t="shared" si="315"/>
        <v>10.811</v>
      </c>
      <c r="S602" s="37">
        <f t="shared" si="316"/>
        <v>103.61359409836066</v>
      </c>
      <c r="T602" s="94" t="str">
        <f t="shared" si="317"/>
        <v>OK</v>
      </c>
      <c r="U602" s="95" t="str">
        <f t="shared" si="318"/>
        <v/>
      </c>
      <c r="V602" s="96">
        <f t="shared" si="319"/>
        <v>0</v>
      </c>
    </row>
    <row r="603" spans="1:22" x14ac:dyDescent="0.2">
      <c r="A603" s="35">
        <v>1</v>
      </c>
      <c r="B603" s="6">
        <v>569</v>
      </c>
      <c r="C603" s="6">
        <v>580</v>
      </c>
      <c r="D603" s="43" t="s">
        <v>302</v>
      </c>
      <c r="E603" s="43" t="s">
        <v>85</v>
      </c>
      <c r="F603" s="44">
        <v>1</v>
      </c>
      <c r="G603" s="44">
        <v>1</v>
      </c>
      <c r="H603" s="44">
        <v>1</v>
      </c>
      <c r="I603" s="44">
        <v>0</v>
      </c>
      <c r="J603" s="44">
        <v>0</v>
      </c>
      <c r="K603" s="16" t="s">
        <v>640</v>
      </c>
      <c r="L603" s="46" t="s">
        <v>311</v>
      </c>
      <c r="M603" s="17">
        <f t="shared" si="312"/>
        <v>0.33001999999999998</v>
      </c>
      <c r="N603" s="18">
        <f t="shared" si="313"/>
        <v>1.1379999999999999</v>
      </c>
      <c r="O603" s="19">
        <f>IF(E603="HERRAJE",IFERROR(_xlfn.XLOOKUP(D603,'⚙️ Configuración Costos'!$A$11:$A$20,'⚙️ Configuración Costos'!$B$11:$B$20),""),IFERROR(_xlfn.XLOOKUP(E603,'⚙️ Configuración Costos'!$A$5:$A$6,'⚙️ Configuración Costos'!$B$5:$B$6),""))</f>
        <v>332.85245901639348</v>
      </c>
      <c r="P603" s="19">
        <f t="shared" si="314"/>
        <v>109.84796852459017</v>
      </c>
      <c r="Q603" s="19">
        <f>IF(E603="HERRAJE",0,IFERROR(_xlfn.XLOOKUP(E603,'⚙️ Configuración Costos'!$E$5:$E$6,'⚙️ Configuración Costos'!$F$5:$F$6),""))</f>
        <v>9.5</v>
      </c>
      <c r="R603" s="19">
        <f t="shared" si="315"/>
        <v>10.811</v>
      </c>
      <c r="S603" s="37">
        <f t="shared" si="316"/>
        <v>120.65896852459016</v>
      </c>
      <c r="T603" s="94" t="str">
        <f t="shared" si="317"/>
        <v>OK</v>
      </c>
      <c r="U603" s="95" t="str">
        <f t="shared" si="318"/>
        <v/>
      </c>
      <c r="V603" s="96">
        <f t="shared" si="319"/>
        <v>0</v>
      </c>
    </row>
    <row r="604" spans="1:22" x14ac:dyDescent="0.2">
      <c r="A604" s="35">
        <v>1</v>
      </c>
      <c r="B604" s="6">
        <v>569</v>
      </c>
      <c r="C604" s="6">
        <v>580</v>
      </c>
      <c r="D604" s="43" t="s">
        <v>302</v>
      </c>
      <c r="E604" s="43" t="s">
        <v>85</v>
      </c>
      <c r="F604" s="44">
        <v>1</v>
      </c>
      <c r="G604" s="44">
        <v>1</v>
      </c>
      <c r="H604" s="44">
        <v>1</v>
      </c>
      <c r="I604" s="44">
        <v>0</v>
      </c>
      <c r="J604" s="44">
        <v>0</v>
      </c>
      <c r="K604" s="16" t="s">
        <v>640</v>
      </c>
      <c r="L604" s="46" t="s">
        <v>311</v>
      </c>
      <c r="M604" s="17">
        <f t="shared" si="312"/>
        <v>0.33001999999999998</v>
      </c>
      <c r="N604" s="18">
        <f t="shared" si="313"/>
        <v>1.1379999999999999</v>
      </c>
      <c r="O604" s="19">
        <f>IF(E604="HERRAJE",IFERROR(_xlfn.XLOOKUP(D604,'⚙️ Configuración Costos'!$A$11:$A$20,'⚙️ Configuración Costos'!$B$11:$B$20),""),IFERROR(_xlfn.XLOOKUP(E604,'⚙️ Configuración Costos'!$A$5:$A$6,'⚙️ Configuración Costos'!$B$5:$B$6),""))</f>
        <v>332.85245901639348</v>
      </c>
      <c r="P604" s="19">
        <f t="shared" si="314"/>
        <v>109.84796852459017</v>
      </c>
      <c r="Q604" s="19">
        <f>IF(E604="HERRAJE",0,IFERROR(_xlfn.XLOOKUP(E604,'⚙️ Configuración Costos'!$E$5:$E$6,'⚙️ Configuración Costos'!$F$5:$F$6),""))</f>
        <v>9.5</v>
      </c>
      <c r="R604" s="19">
        <f t="shared" si="315"/>
        <v>10.811</v>
      </c>
      <c r="S604" s="37">
        <f t="shared" si="316"/>
        <v>120.65896852459016</v>
      </c>
      <c r="T604" s="94" t="str">
        <f t="shared" si="317"/>
        <v>OK</v>
      </c>
      <c r="U604" s="95" t="str">
        <f t="shared" si="318"/>
        <v/>
      </c>
      <c r="V604" s="96">
        <f t="shared" si="319"/>
        <v>0</v>
      </c>
    </row>
    <row r="605" spans="1:22" x14ac:dyDescent="0.2">
      <c r="A605" s="35">
        <v>1</v>
      </c>
      <c r="B605" s="6">
        <v>569</v>
      </c>
      <c r="C605" s="6">
        <v>539</v>
      </c>
      <c r="D605" s="43" t="s">
        <v>491</v>
      </c>
      <c r="E605" s="43" t="s">
        <v>85</v>
      </c>
      <c r="F605" s="44">
        <v>1</v>
      </c>
      <c r="G605" s="44">
        <v>0</v>
      </c>
      <c r="H605" s="44">
        <v>0</v>
      </c>
      <c r="I605" s="44">
        <v>0</v>
      </c>
      <c r="J605" s="44">
        <v>0</v>
      </c>
      <c r="K605" s="16" t="s">
        <v>640</v>
      </c>
      <c r="L605" s="46" t="s">
        <v>642</v>
      </c>
      <c r="M605" s="17">
        <f t="shared" si="312"/>
        <v>0.30669099999999999</v>
      </c>
      <c r="N605" s="18">
        <f t="shared" si="313"/>
        <v>0</v>
      </c>
      <c r="O605" s="19">
        <f>IF(E605="HERRAJE",IFERROR(_xlfn.XLOOKUP(D605,'⚙️ Configuración Costos'!$A$11:$A$20,'⚙️ Configuración Costos'!$B$11:$B$20),""),IFERROR(_xlfn.XLOOKUP(E605,'⚙️ Configuración Costos'!$A$5:$A$6,'⚙️ Configuración Costos'!$B$5:$B$6),""))</f>
        <v>332.85245901639348</v>
      </c>
      <c r="P605" s="19">
        <f t="shared" si="314"/>
        <v>102.08285350819673</v>
      </c>
      <c r="Q605" s="19">
        <f>IF(E605="HERRAJE",0,IFERROR(_xlfn.XLOOKUP(E605,'⚙️ Configuración Costos'!$E$5:$E$6,'⚙️ Configuración Costos'!$F$5:$F$6),""))</f>
        <v>9.5</v>
      </c>
      <c r="R605" s="19">
        <f t="shared" si="315"/>
        <v>0</v>
      </c>
      <c r="S605" s="37">
        <f t="shared" si="316"/>
        <v>102.08285350819673</v>
      </c>
      <c r="T605" s="94" t="str">
        <f t="shared" si="317"/>
        <v>OK</v>
      </c>
      <c r="U605" s="95" t="str">
        <f t="shared" si="318"/>
        <v/>
      </c>
      <c r="V605" s="96">
        <f t="shared" si="319"/>
        <v>0</v>
      </c>
    </row>
    <row r="606" spans="1:22" x14ac:dyDescent="0.2">
      <c r="A606" s="35">
        <v>1</v>
      </c>
      <c r="B606" s="6">
        <v>569</v>
      </c>
      <c r="C606" s="6">
        <v>490</v>
      </c>
      <c r="D606" s="43" t="s">
        <v>488</v>
      </c>
      <c r="E606" s="43" t="s">
        <v>85</v>
      </c>
      <c r="F606" s="44">
        <v>1</v>
      </c>
      <c r="G606" s="44">
        <v>1</v>
      </c>
      <c r="H606" s="44">
        <v>0</v>
      </c>
      <c r="I606" s="44">
        <v>0</v>
      </c>
      <c r="J606" s="44">
        <v>0</v>
      </c>
      <c r="K606" s="16" t="s">
        <v>640</v>
      </c>
      <c r="L606" s="46" t="s">
        <v>326</v>
      </c>
      <c r="M606" s="17">
        <f t="shared" si="312"/>
        <v>0.27881</v>
      </c>
      <c r="N606" s="18">
        <f t="shared" si="313"/>
        <v>0.56899999999999995</v>
      </c>
      <c r="O606" s="19">
        <f>IF(E606="HERRAJE",IFERROR(_xlfn.XLOOKUP(D606,'⚙️ Configuración Costos'!$A$11:$A$20,'⚙️ Configuración Costos'!$B$11:$B$20),""),IFERROR(_xlfn.XLOOKUP(E606,'⚙️ Configuración Costos'!$A$5:$A$6,'⚙️ Configuración Costos'!$B$5:$B$6),""))</f>
        <v>332.85245901639348</v>
      </c>
      <c r="P606" s="19">
        <f t="shared" si="314"/>
        <v>92.802594098360672</v>
      </c>
      <c r="Q606" s="19">
        <f>IF(E606="HERRAJE",0,IFERROR(_xlfn.XLOOKUP(E606,'⚙️ Configuración Costos'!$E$5:$E$6,'⚙️ Configuración Costos'!$F$5:$F$6),""))</f>
        <v>9.5</v>
      </c>
      <c r="R606" s="19">
        <f t="shared" si="315"/>
        <v>5.4055</v>
      </c>
      <c r="S606" s="37">
        <f t="shared" si="316"/>
        <v>98.208094098360675</v>
      </c>
      <c r="T606" s="94" t="str">
        <f t="shared" si="317"/>
        <v>OK</v>
      </c>
      <c r="U606" s="95" t="str">
        <f t="shared" si="318"/>
        <v/>
      </c>
      <c r="V606" s="96">
        <f t="shared" si="319"/>
        <v>0</v>
      </c>
    </row>
    <row r="607" spans="1:22" x14ac:dyDescent="0.2">
      <c r="A607" s="35">
        <v>1</v>
      </c>
      <c r="B607" s="6">
        <v>569</v>
      </c>
      <c r="C607" s="6">
        <v>120</v>
      </c>
      <c r="D607" s="43" t="s">
        <v>492</v>
      </c>
      <c r="E607" s="43" t="s">
        <v>85</v>
      </c>
      <c r="F607" s="44">
        <v>1</v>
      </c>
      <c r="G607" s="44">
        <v>0</v>
      </c>
      <c r="H607" s="44">
        <v>1</v>
      </c>
      <c r="I607" s="44">
        <v>0</v>
      </c>
      <c r="J607" s="44">
        <v>0</v>
      </c>
      <c r="K607" s="16" t="s">
        <v>640</v>
      </c>
      <c r="L607" s="46" t="s">
        <v>328</v>
      </c>
      <c r="M607" s="17">
        <f t="shared" si="312"/>
        <v>6.8279999999999993E-2</v>
      </c>
      <c r="N607" s="18">
        <f t="shared" si="313"/>
        <v>0.56899999999999995</v>
      </c>
      <c r="O607" s="19">
        <f>IF(E607="HERRAJE",IFERROR(_xlfn.XLOOKUP(D607,'⚙️ Configuración Costos'!$A$11:$A$20,'⚙️ Configuración Costos'!$B$11:$B$20),""),IFERROR(_xlfn.XLOOKUP(E607,'⚙️ Configuración Costos'!$A$5:$A$6,'⚙️ Configuración Costos'!$B$5:$B$6),""))</f>
        <v>332.85245901639348</v>
      </c>
      <c r="P607" s="19">
        <f t="shared" si="314"/>
        <v>22.727165901639346</v>
      </c>
      <c r="Q607" s="19">
        <f>IF(E607="HERRAJE",0,IFERROR(_xlfn.XLOOKUP(E607,'⚙️ Configuración Costos'!$E$5:$E$6,'⚙️ Configuración Costos'!$F$5:$F$6),""))</f>
        <v>9.5</v>
      </c>
      <c r="R607" s="19">
        <f t="shared" si="315"/>
        <v>5.4055</v>
      </c>
      <c r="S607" s="37">
        <f t="shared" si="316"/>
        <v>28.132665901639346</v>
      </c>
      <c r="T607" s="94" t="str">
        <f t="shared" si="317"/>
        <v>OK</v>
      </c>
      <c r="U607" s="95" t="str">
        <f t="shared" si="318"/>
        <v/>
      </c>
      <c r="V607" s="96">
        <f t="shared" si="319"/>
        <v>0</v>
      </c>
    </row>
    <row r="608" spans="1:22" x14ac:dyDescent="0.2">
      <c r="A608" s="35">
        <v>3</v>
      </c>
      <c r="B608" s="6">
        <v>512</v>
      </c>
      <c r="C608" s="6">
        <v>469</v>
      </c>
      <c r="D608" s="7" t="s">
        <v>485</v>
      </c>
      <c r="E608" s="7" t="s">
        <v>85</v>
      </c>
      <c r="F608" s="8">
        <v>1</v>
      </c>
      <c r="G608" s="8">
        <v>0</v>
      </c>
      <c r="H608" s="8">
        <v>0</v>
      </c>
      <c r="I608" s="8">
        <v>0</v>
      </c>
      <c r="J608" s="8">
        <v>0</v>
      </c>
      <c r="K608" s="23" t="s">
        <v>640</v>
      </c>
      <c r="L608" s="47" t="s">
        <v>269</v>
      </c>
      <c r="M608" s="17">
        <f t="shared" si="312"/>
        <v>0.72038400000000002</v>
      </c>
      <c r="N608" s="18">
        <f t="shared" si="313"/>
        <v>0</v>
      </c>
      <c r="O608" s="19">
        <f>IF(E608="HERRAJE",IFERROR(_xlfn.XLOOKUP(D608,'⚙️ Configuración Costos'!$A$11:$A$20,'⚙️ Configuración Costos'!$B$11:$B$20),""),IFERROR(_xlfn.XLOOKUP(E608,'⚙️ Configuración Costos'!$A$5:$A$6,'⚙️ Configuración Costos'!$B$5:$B$6),""))</f>
        <v>332.85245901639348</v>
      </c>
      <c r="P608" s="19">
        <f t="shared" si="314"/>
        <v>239.7815858360656</v>
      </c>
      <c r="Q608" s="19">
        <f>IF(E608="HERRAJE",0,IFERROR(_xlfn.XLOOKUP(E608,'⚙️ Configuración Costos'!$E$5:$E$6,'⚙️ Configuración Costos'!$F$5:$F$6),""))</f>
        <v>9.5</v>
      </c>
      <c r="R608" s="19">
        <f t="shared" si="315"/>
        <v>0</v>
      </c>
      <c r="S608" s="37">
        <f t="shared" si="316"/>
        <v>239.7815858360656</v>
      </c>
      <c r="T608" s="94" t="str">
        <f t="shared" si="317"/>
        <v>OK</v>
      </c>
      <c r="U608" s="95" t="str">
        <f t="shared" si="318"/>
        <v/>
      </c>
      <c r="V608" s="96">
        <f t="shared" si="319"/>
        <v>0</v>
      </c>
    </row>
    <row r="609" spans="1:22" x14ac:dyDescent="0.2">
      <c r="A609" s="35">
        <v>2</v>
      </c>
      <c r="B609" s="6">
        <v>512</v>
      </c>
      <c r="C609" s="6">
        <v>230</v>
      </c>
      <c r="D609" s="7" t="s">
        <v>486</v>
      </c>
      <c r="E609" s="7" t="s">
        <v>85</v>
      </c>
      <c r="F609" s="8">
        <v>1</v>
      </c>
      <c r="G609" s="8">
        <v>1</v>
      </c>
      <c r="H609" s="8">
        <v>1</v>
      </c>
      <c r="I609" s="8">
        <v>0</v>
      </c>
      <c r="J609" s="8">
        <v>0</v>
      </c>
      <c r="K609" s="23" t="s">
        <v>640</v>
      </c>
      <c r="L609" s="47" t="s">
        <v>270</v>
      </c>
      <c r="M609" s="17">
        <f t="shared" si="312"/>
        <v>0.23552000000000001</v>
      </c>
      <c r="N609" s="18">
        <f t="shared" si="313"/>
        <v>2.048</v>
      </c>
      <c r="O609" s="19">
        <f>IF(E609="HERRAJE",IFERROR(_xlfn.XLOOKUP(D609,'⚙️ Configuración Costos'!$A$11:$A$20,'⚙️ Configuración Costos'!$B$11:$B$20),""),IFERROR(_xlfn.XLOOKUP(E609,'⚙️ Configuración Costos'!$A$5:$A$6,'⚙️ Configuración Costos'!$B$5:$B$6),""))</f>
        <v>332.85245901639348</v>
      </c>
      <c r="P609" s="19">
        <f t="shared" si="314"/>
        <v>78.393411147541002</v>
      </c>
      <c r="Q609" s="19">
        <f>IF(E609="HERRAJE",0,IFERROR(_xlfn.XLOOKUP(E609,'⚙️ Configuración Costos'!$E$5:$E$6,'⚙️ Configuración Costos'!$F$5:$F$6),""))</f>
        <v>9.5</v>
      </c>
      <c r="R609" s="19">
        <f t="shared" si="315"/>
        <v>19.456</v>
      </c>
      <c r="S609" s="37">
        <f t="shared" si="316"/>
        <v>97.849411147541005</v>
      </c>
      <c r="T609" s="94" t="str">
        <f t="shared" si="317"/>
        <v>OK</v>
      </c>
      <c r="U609" s="95" t="str">
        <f t="shared" si="318"/>
        <v/>
      </c>
      <c r="V609" s="96">
        <f t="shared" si="319"/>
        <v>0</v>
      </c>
    </row>
    <row r="610" spans="1:22" x14ac:dyDescent="0.2">
      <c r="A610" s="35">
        <v>4</v>
      </c>
      <c r="B610" s="6">
        <v>512</v>
      </c>
      <c r="C610" s="6">
        <v>100</v>
      </c>
      <c r="D610" s="7" t="s">
        <v>486</v>
      </c>
      <c r="E610" s="7" t="s">
        <v>85</v>
      </c>
      <c r="F610" s="8">
        <v>1</v>
      </c>
      <c r="G610" s="8">
        <v>1</v>
      </c>
      <c r="H610" s="8">
        <v>1</v>
      </c>
      <c r="I610" s="8">
        <v>0</v>
      </c>
      <c r="J610" s="8">
        <v>0</v>
      </c>
      <c r="K610" s="23" t="s">
        <v>640</v>
      </c>
      <c r="L610" s="47" t="s">
        <v>271</v>
      </c>
      <c r="M610" s="17">
        <f t="shared" si="312"/>
        <v>0.20480000000000001</v>
      </c>
      <c r="N610" s="18">
        <f t="shared" si="313"/>
        <v>4.0960000000000001</v>
      </c>
      <c r="O610" s="19">
        <f>IF(E610="HERRAJE",IFERROR(_xlfn.XLOOKUP(D610,'⚙️ Configuración Costos'!$A$11:$A$20,'⚙️ Configuración Costos'!$B$11:$B$20),""),IFERROR(_xlfn.XLOOKUP(E610,'⚙️ Configuración Costos'!$A$5:$A$6,'⚙️ Configuración Costos'!$B$5:$B$6),""))</f>
        <v>332.85245901639348</v>
      </c>
      <c r="P610" s="19">
        <f t="shared" si="314"/>
        <v>68.168183606557392</v>
      </c>
      <c r="Q610" s="19">
        <f>IF(E610="HERRAJE",0,IFERROR(_xlfn.XLOOKUP(E610,'⚙️ Configuración Costos'!$E$5:$E$6,'⚙️ Configuración Costos'!$F$5:$F$6),""))</f>
        <v>9.5</v>
      </c>
      <c r="R610" s="19">
        <f t="shared" si="315"/>
        <v>38.911999999999999</v>
      </c>
      <c r="S610" s="37">
        <f t="shared" si="316"/>
        <v>107.0801836065574</v>
      </c>
      <c r="T610" s="94" t="str">
        <f t="shared" si="317"/>
        <v>OK</v>
      </c>
      <c r="U610" s="95" t="str">
        <f t="shared" si="318"/>
        <v/>
      </c>
      <c r="V610" s="96">
        <f t="shared" si="319"/>
        <v>0</v>
      </c>
    </row>
    <row r="611" spans="1:22" x14ac:dyDescent="0.2">
      <c r="A611" s="35">
        <v>2</v>
      </c>
      <c r="B611" s="6">
        <v>500</v>
      </c>
      <c r="C611" s="6">
        <v>230</v>
      </c>
      <c r="D611" s="7" t="s">
        <v>484</v>
      </c>
      <c r="E611" s="7" t="s">
        <v>85</v>
      </c>
      <c r="F611" s="8">
        <v>1</v>
      </c>
      <c r="G611" s="8">
        <v>1</v>
      </c>
      <c r="H611" s="8">
        <v>1</v>
      </c>
      <c r="I611" s="8">
        <v>1</v>
      </c>
      <c r="J611" s="8">
        <v>1</v>
      </c>
      <c r="K611" s="23" t="s">
        <v>640</v>
      </c>
      <c r="L611" s="47" t="s">
        <v>243</v>
      </c>
      <c r="M611" s="17">
        <f t="shared" si="312"/>
        <v>0.23</v>
      </c>
      <c r="N611" s="18">
        <f t="shared" si="313"/>
        <v>2.92</v>
      </c>
      <c r="O611" s="19">
        <f>IF(E611="HERRAJE",IFERROR(_xlfn.XLOOKUP(D611,'⚙️ Configuración Costos'!$A$11:$A$20,'⚙️ Configuración Costos'!$B$11:$B$20),""),IFERROR(_xlfn.XLOOKUP(E611,'⚙️ Configuración Costos'!$A$5:$A$6,'⚙️ Configuración Costos'!$B$5:$B$6),""))</f>
        <v>332.85245901639348</v>
      </c>
      <c r="P611" s="19">
        <f t="shared" si="314"/>
        <v>76.55606557377051</v>
      </c>
      <c r="Q611" s="19">
        <f>IF(E611="HERRAJE",0,IFERROR(_xlfn.XLOOKUP(E611,'⚙️ Configuración Costos'!$E$5:$E$6,'⚙️ Configuración Costos'!$F$5:$F$6),""))</f>
        <v>9.5</v>
      </c>
      <c r="R611" s="19">
        <f t="shared" si="315"/>
        <v>27.74</v>
      </c>
      <c r="S611" s="37">
        <f t="shared" si="316"/>
        <v>104.29606557377051</v>
      </c>
      <c r="T611" s="94" t="str">
        <f t="shared" si="317"/>
        <v>OK</v>
      </c>
      <c r="U611" s="95" t="str">
        <f t="shared" si="318"/>
        <v/>
      </c>
      <c r="V611" s="96">
        <f t="shared" si="319"/>
        <v>0</v>
      </c>
    </row>
    <row r="612" spans="1:22" x14ac:dyDescent="0.2">
      <c r="A612" s="35">
        <v>4</v>
      </c>
      <c r="B612" s="6">
        <v>500</v>
      </c>
      <c r="C612" s="6">
        <v>100</v>
      </c>
      <c r="D612" s="7" t="s">
        <v>484</v>
      </c>
      <c r="E612" s="7" t="s">
        <v>85</v>
      </c>
      <c r="F612" s="8">
        <v>1</v>
      </c>
      <c r="G612" s="8">
        <v>1</v>
      </c>
      <c r="H612" s="8">
        <v>1</v>
      </c>
      <c r="I612" s="8">
        <v>1</v>
      </c>
      <c r="J612" s="8">
        <v>1</v>
      </c>
      <c r="K612" s="23" t="s">
        <v>640</v>
      </c>
      <c r="L612" s="47" t="s">
        <v>244</v>
      </c>
      <c r="M612" s="17">
        <f t="shared" si="312"/>
        <v>0.2</v>
      </c>
      <c r="N612" s="18">
        <f t="shared" si="313"/>
        <v>4.8</v>
      </c>
      <c r="O612" s="19">
        <f>IF(E612="HERRAJE",IFERROR(_xlfn.XLOOKUP(D612,'⚙️ Configuración Costos'!$A$11:$A$20,'⚙️ Configuración Costos'!$B$11:$B$20),""),IFERROR(_xlfn.XLOOKUP(E612,'⚙️ Configuración Costos'!$A$5:$A$6,'⚙️ Configuración Costos'!$B$5:$B$6),""))</f>
        <v>332.85245901639348</v>
      </c>
      <c r="P612" s="19">
        <f t="shared" si="314"/>
        <v>66.570491803278699</v>
      </c>
      <c r="Q612" s="19">
        <f>IF(E612="HERRAJE",0,IFERROR(_xlfn.XLOOKUP(E612,'⚙️ Configuración Costos'!$E$5:$E$6,'⚙️ Configuración Costos'!$F$5:$F$6),""))</f>
        <v>9.5</v>
      </c>
      <c r="R612" s="19">
        <f t="shared" si="315"/>
        <v>45.6</v>
      </c>
      <c r="S612" s="37">
        <f t="shared" si="316"/>
        <v>112.17049180327871</v>
      </c>
      <c r="T612" s="94" t="str">
        <f t="shared" si="317"/>
        <v>OK</v>
      </c>
      <c r="U612" s="95" t="str">
        <f t="shared" si="318"/>
        <v/>
      </c>
      <c r="V612" s="96">
        <f t="shared" si="319"/>
        <v>0</v>
      </c>
    </row>
    <row r="613" spans="1:22" x14ac:dyDescent="0.2">
      <c r="A613" s="35">
        <v>1</v>
      </c>
      <c r="B613" s="6">
        <v>566</v>
      </c>
      <c r="C613" s="6">
        <v>596</v>
      </c>
      <c r="D613" s="43" t="s">
        <v>84</v>
      </c>
      <c r="E613" s="43" t="s">
        <v>85</v>
      </c>
      <c r="F613" s="44">
        <v>1</v>
      </c>
      <c r="G613" s="44">
        <v>1</v>
      </c>
      <c r="H613" s="44">
        <v>1</v>
      </c>
      <c r="I613" s="44">
        <v>1</v>
      </c>
      <c r="J613" s="44">
        <v>1</v>
      </c>
      <c r="K613" s="16" t="s">
        <v>640</v>
      </c>
      <c r="L613" s="46" t="s">
        <v>643</v>
      </c>
      <c r="M613" s="17">
        <f>IF(AND(ISNUMBER(B613),ISNUMBER(C613),B613&gt;0,C613&gt;0),A613*(B613*C613/1000000),0)</f>
        <v>0.33733600000000002</v>
      </c>
      <c r="N613" s="18">
        <f>IF(AND(ISNUMBER(B613),B613&gt;0),A613*(((G613+H613)*B613+(I613+J613)*C613)/1000),0)</f>
        <v>2.3239999999999998</v>
      </c>
      <c r="O613" s="19">
        <f>IF(E613="HERRAJE",IFERROR(_xlfn.XLOOKUP(D613,'⚙️ Configuración Costos'!$A$11:$A$20,'⚙️ Configuración Costos'!$B$11:$B$20),""),IFERROR(_xlfn.XLOOKUP(E613,'⚙️ Configuración Costos'!$A$5:$A$6,'⚙️ Configuración Costos'!$B$5:$B$6),""))</f>
        <v>332.85245901639348</v>
      </c>
      <c r="P613" s="19">
        <f>IF(E613="HERRAJE",A613*O613,M613*O613)</f>
        <v>112.28311711475412</v>
      </c>
      <c r="Q613" s="19">
        <f>IF(E613="HERRAJE",0,IFERROR(_xlfn.XLOOKUP(E613,'⚙️ Configuración Costos'!$E$5:$E$6,'⚙️ Configuración Costos'!$F$5:$F$6),""))</f>
        <v>9.5</v>
      </c>
      <c r="R613" s="19">
        <f>N613*Q613</f>
        <v>22.077999999999999</v>
      </c>
      <c r="S613" s="37">
        <f>P613+R613</f>
        <v>134.36111711475411</v>
      </c>
      <c r="T613" s="94" t="str">
        <f>IF(K613="","SIN ID MÓDULO",IF(E613="HERRAJE",IF(OR(O613="",O613&lt;=0),"SIN PRECIO HERRAJE","OK"),IF(OR(O613="",O613&lt;=0),"SIN PRECIO MATERIAL",IF(AND(N613&gt;0,OR(Q613="",Q613&lt;=0)),"SIN PRECIO CINTILLA","OK"))))</f>
        <v>OK</v>
      </c>
      <c r="U613" s="95" t="str">
        <f>IF(T613="OK","",IF(T613="SIN PRECIO HERRAJE","Capturar precio: "&amp;D613,IF(T613="SIN PRECIO MATERIAL","Configurar material: "&amp;E613,IF(T613="SIN PRECIO CINTILLA","Configurar cintilla: "&amp;E613,IF(T613="SIN ID MÓDULO","Revisar ID del módulo","")))))</f>
        <v/>
      </c>
      <c r="V613" s="96">
        <f>IF(T613="OK",0,IF(T613="",0,1))</f>
        <v>0</v>
      </c>
    </row>
    <row r="614" spans="1:22" x14ac:dyDescent="0.2">
      <c r="A614" s="35">
        <v>1</v>
      </c>
      <c r="B614" s="6">
        <v>596</v>
      </c>
      <c r="C614" s="6">
        <v>356</v>
      </c>
      <c r="D614" s="7" t="s">
        <v>250</v>
      </c>
      <c r="E614" s="7" t="s">
        <v>85</v>
      </c>
      <c r="F614" s="8">
        <v>1</v>
      </c>
      <c r="G614" s="8">
        <v>1</v>
      </c>
      <c r="H614" s="8">
        <v>1</v>
      </c>
      <c r="I614" s="8">
        <v>1</v>
      </c>
      <c r="J614" s="8">
        <v>1</v>
      </c>
      <c r="K614" s="23" t="s">
        <v>640</v>
      </c>
      <c r="L614" s="47" t="s">
        <v>272</v>
      </c>
      <c r="M614" s="17">
        <f t="shared" ref="M614:M617" si="320">IF(AND(ISNUMBER(B614),ISNUMBER(C614),B614&gt;0,C614&gt;0),A614*(B614*C614/1000000),0)</f>
        <v>0.212176</v>
      </c>
      <c r="N614" s="18">
        <f t="shared" ref="N614:N617" si="321">IF(AND(ISNUMBER(B614),B614&gt;0),A614*(((G614+H614)*B614+(I614+J614)*C614)/1000),0)</f>
        <v>1.9039999999999999</v>
      </c>
      <c r="O614" s="19">
        <f>IF(E614="HERRAJE",IFERROR(_xlfn.XLOOKUP(D614,'⚙️ Configuración Costos'!$A$11:$A$20,'⚙️ Configuración Costos'!$B$11:$B$20),""),IFERROR(_xlfn.XLOOKUP(E614,'⚙️ Configuración Costos'!$A$5:$A$6,'⚙️ Configuración Costos'!$B$5:$B$6),""))</f>
        <v>332.85245901639348</v>
      </c>
      <c r="P614" s="19">
        <f t="shared" ref="P614:P617" si="322">IF(E614="HERRAJE",A614*O614,M614*O614)</f>
        <v>70.623303344262311</v>
      </c>
      <c r="Q614" s="19">
        <f>IF(E614="HERRAJE",0,IFERROR(_xlfn.XLOOKUP(E614,'⚙️ Configuración Costos'!$E$5:$E$6,'⚙️ Configuración Costos'!$F$5:$F$6),""))</f>
        <v>9.5</v>
      </c>
      <c r="R614" s="19">
        <f t="shared" ref="R614:R617" si="323">N614*Q614</f>
        <v>18.088000000000001</v>
      </c>
      <c r="S614" s="37">
        <f t="shared" ref="S614:S617" si="324">P614+R614</f>
        <v>88.711303344262319</v>
      </c>
      <c r="T614" s="94" t="str">
        <f t="shared" ref="T614:T617" si="325">IF(K614="","SIN ID MÓDULO",IF(E614="HERRAJE",IF(OR(O614="",O614&lt;=0),"SIN PRECIO HERRAJE","OK"),IF(OR(O614="",O614&lt;=0),"SIN PRECIO MATERIAL",IF(AND(N614&gt;0,OR(Q614="",Q614&lt;=0)),"SIN PRECIO CINTILLA","OK"))))</f>
        <v>OK</v>
      </c>
      <c r="U614" s="95" t="str">
        <f t="shared" ref="U614:U617" si="326">IF(T614="OK","",IF(T614="SIN PRECIO HERRAJE","Capturar precio: "&amp;D614,IF(T614="SIN PRECIO MATERIAL","Configurar material: "&amp;E614,IF(T614="SIN PRECIO CINTILLA","Configurar cintilla: "&amp;E614,IF(T614="SIN ID MÓDULO","Revisar ID del módulo","")))))</f>
        <v/>
      </c>
      <c r="V614" s="96">
        <f t="shared" ref="V614:V617" si="327">IF(T614="OK",0,IF(T614="",0,1))</f>
        <v>0</v>
      </c>
    </row>
    <row r="615" spans="1:22" x14ac:dyDescent="0.2">
      <c r="A615" s="35">
        <v>1</v>
      </c>
      <c r="B615" s="6">
        <v>596</v>
      </c>
      <c r="C615" s="6">
        <v>176</v>
      </c>
      <c r="D615" s="7" t="s">
        <v>252</v>
      </c>
      <c r="E615" s="7" t="s">
        <v>85</v>
      </c>
      <c r="F615" s="8">
        <v>1</v>
      </c>
      <c r="G615" s="8">
        <v>1</v>
      </c>
      <c r="H615" s="8">
        <v>1</v>
      </c>
      <c r="I615" s="8">
        <v>1</v>
      </c>
      <c r="J615" s="8">
        <v>1</v>
      </c>
      <c r="K615" s="23" t="s">
        <v>640</v>
      </c>
      <c r="L615" s="47" t="s">
        <v>273</v>
      </c>
      <c r="M615" s="17">
        <f t="shared" si="320"/>
        <v>0.104896</v>
      </c>
      <c r="N615" s="18">
        <f t="shared" si="321"/>
        <v>1.544</v>
      </c>
      <c r="O615" s="19">
        <f>IF(E615="HERRAJE",IFERROR(_xlfn.XLOOKUP(D615,'⚙️ Configuración Costos'!$A$11:$A$20,'⚙️ Configuración Costos'!$B$11:$B$20),""),IFERROR(_xlfn.XLOOKUP(E615,'⚙️ Configuración Costos'!$A$5:$A$6,'⚙️ Configuración Costos'!$B$5:$B$6),""))</f>
        <v>332.85245901639348</v>
      </c>
      <c r="P615" s="19">
        <f t="shared" si="322"/>
        <v>34.914891540983611</v>
      </c>
      <c r="Q615" s="19">
        <f>IF(E615="HERRAJE",0,IFERROR(_xlfn.XLOOKUP(E615,'⚙️ Configuración Costos'!$E$5:$E$6,'⚙️ Configuración Costos'!$F$5:$F$6),""))</f>
        <v>9.5</v>
      </c>
      <c r="R615" s="19">
        <f t="shared" si="323"/>
        <v>14.668000000000001</v>
      </c>
      <c r="S615" s="37">
        <f t="shared" si="324"/>
        <v>49.58289154098361</v>
      </c>
      <c r="T615" s="94" t="str">
        <f t="shared" si="325"/>
        <v>OK</v>
      </c>
      <c r="U615" s="95" t="str">
        <f t="shared" si="326"/>
        <v/>
      </c>
      <c r="V615" s="96">
        <f t="shared" si="327"/>
        <v>0</v>
      </c>
    </row>
    <row r="616" spans="1:22" x14ac:dyDescent="0.2">
      <c r="A616" s="35">
        <v>1</v>
      </c>
      <c r="B616" s="6">
        <v>596</v>
      </c>
      <c r="C616" s="6">
        <v>176</v>
      </c>
      <c r="D616" s="7" t="s">
        <v>254</v>
      </c>
      <c r="E616" s="7" t="s">
        <v>85</v>
      </c>
      <c r="F616" s="8">
        <v>1</v>
      </c>
      <c r="G616" s="8">
        <v>1</v>
      </c>
      <c r="H616" s="8">
        <v>1</v>
      </c>
      <c r="I616" s="8">
        <v>1</v>
      </c>
      <c r="J616" s="8">
        <v>1</v>
      </c>
      <c r="K616" s="23" t="s">
        <v>640</v>
      </c>
      <c r="L616" s="47" t="s">
        <v>274</v>
      </c>
      <c r="M616" s="17">
        <f t="shared" si="320"/>
        <v>0.104896</v>
      </c>
      <c r="N616" s="18">
        <f t="shared" si="321"/>
        <v>1.544</v>
      </c>
      <c r="O616" s="19">
        <f>IF(E616="HERRAJE",IFERROR(_xlfn.XLOOKUP(D616,'⚙️ Configuración Costos'!$A$11:$A$20,'⚙️ Configuración Costos'!$B$11:$B$20),""),IFERROR(_xlfn.XLOOKUP(E616,'⚙️ Configuración Costos'!$A$5:$A$6,'⚙️ Configuración Costos'!$B$5:$B$6),""))</f>
        <v>332.85245901639348</v>
      </c>
      <c r="P616" s="19">
        <f t="shared" si="322"/>
        <v>34.914891540983611</v>
      </c>
      <c r="Q616" s="19">
        <f>IF(E616="HERRAJE",0,IFERROR(_xlfn.XLOOKUP(E616,'⚙️ Configuración Costos'!$E$5:$E$6,'⚙️ Configuración Costos'!$F$5:$F$6),""))</f>
        <v>9.5</v>
      </c>
      <c r="R616" s="19">
        <f t="shared" si="323"/>
        <v>14.668000000000001</v>
      </c>
      <c r="S616" s="37">
        <f t="shared" si="324"/>
        <v>49.58289154098361</v>
      </c>
      <c r="T616" s="94" t="str">
        <f t="shared" si="325"/>
        <v>OK</v>
      </c>
      <c r="U616" s="95" t="str">
        <f t="shared" si="326"/>
        <v/>
      </c>
      <c r="V616" s="96">
        <f t="shared" si="327"/>
        <v>0</v>
      </c>
    </row>
    <row r="617" spans="1:22" x14ac:dyDescent="0.2">
      <c r="A617" s="35">
        <v>3</v>
      </c>
      <c r="B617" s="6">
        <v>0</v>
      </c>
      <c r="C617" s="6">
        <v>0</v>
      </c>
      <c r="D617" s="7" t="s">
        <v>256</v>
      </c>
      <c r="E617" s="7" t="s">
        <v>91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23" t="s">
        <v>640</v>
      </c>
      <c r="L617" s="47" t="s">
        <v>257</v>
      </c>
      <c r="M617" s="17">
        <f t="shared" si="320"/>
        <v>0</v>
      </c>
      <c r="N617" s="18">
        <f t="shared" si="321"/>
        <v>0</v>
      </c>
      <c r="O617" s="19">
        <f>IF(E617="HERRAJE",IFERROR(_xlfn.XLOOKUP(D617,'⚙️ Configuración Costos'!$A$11:$A$20,'⚙️ Configuración Costos'!$B$11:$B$20),""),IFERROR(_xlfn.XLOOKUP(E617,'⚙️ Configuración Costos'!$A$5:$A$6,'⚙️ Configuración Costos'!$B$5:$B$6),""))</f>
        <v>125</v>
      </c>
      <c r="P617" s="19">
        <f t="shared" si="322"/>
        <v>375</v>
      </c>
      <c r="Q617" s="19">
        <f>IF(E617="HERRAJE",0,IFERROR(_xlfn.XLOOKUP(E617,'⚙️ Configuración Costos'!$E$5:$E$6,'⚙️ Configuración Costos'!$F$5:$F$6),""))</f>
        <v>0</v>
      </c>
      <c r="R617" s="19">
        <f t="shared" si="323"/>
        <v>0</v>
      </c>
      <c r="S617" s="37">
        <f t="shared" si="324"/>
        <v>375</v>
      </c>
      <c r="T617" s="94" t="str">
        <f t="shared" si="325"/>
        <v>OK</v>
      </c>
      <c r="U617" s="95" t="str">
        <f t="shared" si="326"/>
        <v/>
      </c>
      <c r="V617" s="96">
        <f t="shared" si="327"/>
        <v>0</v>
      </c>
    </row>
    <row r="618" spans="1:22" x14ac:dyDescent="0.2">
      <c r="A618" s="35">
        <v>2</v>
      </c>
      <c r="B618" s="6">
        <v>0</v>
      </c>
      <c r="C618" s="6">
        <v>0</v>
      </c>
      <c r="D618" s="7" t="s">
        <v>90</v>
      </c>
      <c r="E618" s="7" t="s">
        <v>91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16" t="s">
        <v>640</v>
      </c>
      <c r="L618" s="47" t="s">
        <v>92</v>
      </c>
      <c r="M618" s="17">
        <f t="shared" ref="M618:M623" si="328">IF(AND(ISNUMBER(B618),ISNUMBER(C618),B618&gt;0,C618&gt;0),A618*(B618*C618/1000000),0)</f>
        <v>0</v>
      </c>
      <c r="N618" s="18">
        <f t="shared" ref="N618:N623" si="329">IF(AND(ISNUMBER(B618),B618&gt;0),A618*(((G618+H618)*B618+(I618+J618)*C618)/1000),0)</f>
        <v>0</v>
      </c>
      <c r="O618" s="19">
        <f>IF(E618="HERRAJE",IFERROR(_xlfn.XLOOKUP(D618,'⚙️ Configuración Costos'!$A$11:$A$20,'⚙️ Configuración Costos'!$B$11:$B$20),""),IFERROR(_xlfn.XLOOKUP(E618,'⚙️ Configuración Costos'!$A$5:$A$6,'⚙️ Configuración Costos'!$B$5:$B$6),""))</f>
        <v>20</v>
      </c>
      <c r="P618" s="19">
        <f t="shared" ref="P618:P623" si="330">IF(E618="HERRAJE",A618*O618,M618*O618)</f>
        <v>40</v>
      </c>
      <c r="Q618" s="19">
        <f>IF(E618="HERRAJE",0,IFERROR(_xlfn.XLOOKUP(E618,'⚙️ Configuración Costos'!$E$5:$E$6,'⚙️ Configuración Costos'!$F$5:$F$6),""))</f>
        <v>0</v>
      </c>
      <c r="R618" s="19">
        <f t="shared" ref="R618:R623" si="331">N618*Q618</f>
        <v>0</v>
      </c>
      <c r="S618" s="37">
        <f t="shared" ref="S618:S623" si="332">P618+R618</f>
        <v>40</v>
      </c>
      <c r="T618" s="94" t="str">
        <f t="shared" ref="T618:T623" si="333">IF(K618="","SIN ID MÓDULO",IF(E618="HERRAJE",IF(OR(O618="",O618&lt;=0),"SIN PRECIO HERRAJE","OK"),IF(OR(O618="",O618&lt;=0),"SIN PRECIO MATERIAL",IF(AND(N618&gt;0,OR(Q618="",Q618&lt;=0)),"SIN PRECIO CINTILLA","OK"))))</f>
        <v>OK</v>
      </c>
      <c r="U618" s="95" t="str">
        <f t="shared" ref="U618:U623" si="334">IF(T618="OK","",IF(T618="SIN PRECIO HERRAJE","Capturar precio: "&amp;D618,IF(T618="SIN PRECIO MATERIAL","Configurar material: "&amp;E618,IF(T618="SIN PRECIO CINTILLA","Configurar cintilla: "&amp;E618,IF(T618="SIN ID MÓDULO","Revisar ID del módulo","")))))</f>
        <v/>
      </c>
      <c r="V618" s="96">
        <f t="shared" ref="V618:V623" si="335">IF(T618="OK",0,IF(T618="",0,1))</f>
        <v>0</v>
      </c>
    </row>
    <row r="619" spans="1:22" x14ac:dyDescent="0.2">
      <c r="A619" s="35">
        <v>4</v>
      </c>
      <c r="B619" s="6">
        <v>0</v>
      </c>
      <c r="C619" s="6">
        <v>0</v>
      </c>
      <c r="D619" s="7" t="s">
        <v>93</v>
      </c>
      <c r="E619" s="7" t="s">
        <v>91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16" t="s">
        <v>640</v>
      </c>
      <c r="L619" s="47" t="s">
        <v>94</v>
      </c>
      <c r="M619" s="17">
        <f t="shared" si="328"/>
        <v>0</v>
      </c>
      <c r="N619" s="18">
        <f t="shared" si="329"/>
        <v>0</v>
      </c>
      <c r="O619" s="19">
        <f>IF(E619="HERRAJE",IFERROR(_xlfn.XLOOKUP(D619,'⚙️ Configuración Costos'!$A$11:$A$20,'⚙️ Configuración Costos'!$B$11:$B$20),""),IFERROR(_xlfn.XLOOKUP(E619,'⚙️ Configuración Costos'!$A$5:$A$6,'⚙️ Configuración Costos'!$B$5:$B$6),""))</f>
        <v>15</v>
      </c>
      <c r="P619" s="19">
        <f t="shared" si="330"/>
        <v>60</v>
      </c>
      <c r="Q619" s="19">
        <f>IF(E619="HERRAJE",0,IFERROR(_xlfn.XLOOKUP(E619,'⚙️ Configuración Costos'!$E$5:$E$6,'⚙️ Configuración Costos'!$F$5:$F$6),""))</f>
        <v>0</v>
      </c>
      <c r="R619" s="19">
        <f t="shared" si="331"/>
        <v>0</v>
      </c>
      <c r="S619" s="37">
        <f t="shared" si="332"/>
        <v>60</v>
      </c>
      <c r="T619" s="94" t="str">
        <f t="shared" si="333"/>
        <v>OK</v>
      </c>
      <c r="U619" s="95" t="str">
        <f t="shared" si="334"/>
        <v/>
      </c>
      <c r="V619" s="96">
        <f t="shared" si="335"/>
        <v>0</v>
      </c>
    </row>
    <row r="620" spans="1:22" x14ac:dyDescent="0.2">
      <c r="A620" s="35">
        <v>6</v>
      </c>
      <c r="B620" s="6">
        <v>0</v>
      </c>
      <c r="C620" s="6">
        <v>0</v>
      </c>
      <c r="D620" s="7" t="s">
        <v>186</v>
      </c>
      <c r="E620" s="7" t="s">
        <v>91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16" t="s">
        <v>640</v>
      </c>
      <c r="L620" s="47" t="s">
        <v>187</v>
      </c>
      <c r="M620" s="17">
        <f t="shared" si="328"/>
        <v>0</v>
      </c>
      <c r="N620" s="18">
        <f t="shared" si="329"/>
        <v>0</v>
      </c>
      <c r="O620" s="19">
        <f>IF(E620="HERRAJE",IFERROR(_xlfn.XLOOKUP(D620,'⚙️ Configuración Costos'!$A$11:$A$20,'⚙️ Configuración Costos'!$B$11:$B$20),""),IFERROR(_xlfn.XLOOKUP(E620,'⚙️ Configuración Costos'!$A$5:$A$6,'⚙️ Configuración Costos'!$B$5:$B$6),""))</f>
        <v>15</v>
      </c>
      <c r="P620" s="19">
        <f t="shared" si="330"/>
        <v>90</v>
      </c>
      <c r="Q620" s="19">
        <f>IF(E620="HERRAJE",0,IFERROR(_xlfn.XLOOKUP(E620,'⚙️ Configuración Costos'!$E$5:$E$6,'⚙️ Configuración Costos'!$F$5:$F$6),""))</f>
        <v>0</v>
      </c>
      <c r="R620" s="19">
        <f t="shared" si="331"/>
        <v>0</v>
      </c>
      <c r="S620" s="37">
        <f t="shared" si="332"/>
        <v>90</v>
      </c>
      <c r="T620" s="94" t="str">
        <f t="shared" si="333"/>
        <v>OK</v>
      </c>
      <c r="U620" s="95" t="str">
        <f t="shared" si="334"/>
        <v/>
      </c>
      <c r="V620" s="96">
        <f t="shared" si="335"/>
        <v>0</v>
      </c>
    </row>
    <row r="621" spans="1:22" x14ac:dyDescent="0.2">
      <c r="A621" s="35">
        <v>4</v>
      </c>
      <c r="B621" s="6">
        <v>0</v>
      </c>
      <c r="C621" s="6">
        <v>0</v>
      </c>
      <c r="D621" s="7" t="s">
        <v>95</v>
      </c>
      <c r="E621" s="7" t="s">
        <v>91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16" t="s">
        <v>640</v>
      </c>
      <c r="L621" s="47" t="s">
        <v>96</v>
      </c>
      <c r="M621" s="17">
        <f t="shared" si="328"/>
        <v>0</v>
      </c>
      <c r="N621" s="18">
        <f t="shared" si="329"/>
        <v>0</v>
      </c>
      <c r="O621" s="19">
        <f>IF(E621="HERRAJE",IFERROR(_xlfn.XLOOKUP(D621,'⚙️ Configuración Costos'!$A$11:$A$20,'⚙️ Configuración Costos'!$B$11:$B$20),""),IFERROR(_xlfn.XLOOKUP(E621,'⚙️ Configuración Costos'!$A$5:$A$6,'⚙️ Configuración Costos'!$B$5:$B$6),""))</f>
        <v>2</v>
      </c>
      <c r="P621" s="19">
        <f t="shared" si="330"/>
        <v>8</v>
      </c>
      <c r="Q621" s="19">
        <f>IF(E621="HERRAJE",0,IFERROR(_xlfn.XLOOKUP(E621,'⚙️ Configuración Costos'!$E$5:$E$6,'⚙️ Configuración Costos'!$F$5:$F$6),""))</f>
        <v>0</v>
      </c>
      <c r="R621" s="19">
        <f t="shared" si="331"/>
        <v>0</v>
      </c>
      <c r="S621" s="37">
        <f t="shared" si="332"/>
        <v>8</v>
      </c>
      <c r="T621" s="94" t="str">
        <f t="shared" si="333"/>
        <v>OK</v>
      </c>
      <c r="U621" s="95" t="str">
        <f t="shared" si="334"/>
        <v/>
      </c>
      <c r="V621" s="96">
        <f t="shared" si="335"/>
        <v>0</v>
      </c>
    </row>
    <row r="622" spans="1:22" x14ac:dyDescent="0.2">
      <c r="A622" s="36" cm="1">
        <f t="array" ref="A622">4*SUMPRODUCT(A596:A606,--(((LEFT(D596:D606,4)="Base")+(LEFT(D596:D606,4)="Piso")+(LEFT(D596:D606,5)="Techo"))&gt;0))+10*SUMPRODUCT(A596:A606,--(LEFT(D596:D606,8)="Respaldo"))+2*SUMPRODUCT(A596:A606,--(LEFT(D596:D606,8)="Manguete"))</f>
        <v>26</v>
      </c>
      <c r="B622" s="20">
        <v>0</v>
      </c>
      <c r="C622" s="20">
        <v>0</v>
      </c>
      <c r="D622" s="21" t="s">
        <v>400</v>
      </c>
      <c r="E622" s="21" t="s">
        <v>91</v>
      </c>
      <c r="F622" s="22">
        <v>0</v>
      </c>
      <c r="G622" s="22">
        <v>0</v>
      </c>
      <c r="H622" s="22">
        <v>0</v>
      </c>
      <c r="I622" s="22">
        <v>0</v>
      </c>
      <c r="J622" s="22">
        <v>0</v>
      </c>
      <c r="K622" s="16" t="s">
        <v>640</v>
      </c>
      <c r="L622" s="48" t="s">
        <v>360</v>
      </c>
      <c r="M622" s="17">
        <f t="shared" si="328"/>
        <v>0</v>
      </c>
      <c r="N622" s="18">
        <f t="shared" si="329"/>
        <v>0</v>
      </c>
      <c r="O622" s="19">
        <f>IF(E622="HERRAJE",IFERROR(_xlfn.XLOOKUP(D622,'⚙️ Configuración Costos'!$A$11:$A$20,'⚙️ Configuración Costos'!$B$11:$B$20),""),IFERROR(_xlfn.XLOOKUP(E622,'⚙️ Configuración Costos'!$A$5:$A$6,'⚙️ Configuración Costos'!$B$5:$B$6),""))</f>
        <v>3</v>
      </c>
      <c r="P622" s="19">
        <f t="shared" si="330"/>
        <v>78</v>
      </c>
      <c r="Q622" s="19">
        <f>IF(E622="HERRAJE",0,IFERROR(_xlfn.XLOOKUP(E622,'⚙️ Configuración Costos'!$E$5:$E$6,'⚙️ Configuración Costos'!$F$5:$F$6),""))</f>
        <v>0</v>
      </c>
      <c r="R622" s="19">
        <f t="shared" si="331"/>
        <v>0</v>
      </c>
      <c r="S622" s="37">
        <f t="shared" si="332"/>
        <v>78</v>
      </c>
      <c r="T622" s="94" t="str">
        <f t="shared" si="333"/>
        <v>OK</v>
      </c>
      <c r="U622" s="95" t="str">
        <f t="shared" si="334"/>
        <v/>
      </c>
      <c r="V622" s="96">
        <f t="shared" si="335"/>
        <v>0</v>
      </c>
    </row>
    <row r="623" spans="1:22" ht="16" thickBot="1" x14ac:dyDescent="0.25">
      <c r="A623" s="36" cm="1">
        <f t="array" ref="A623">6*SUMPRODUCT(A596:A606,--(((LEFT(D596:D606,4)="Base")+(LEFT(D596:D606,4)="Piso")+(LEFT(D596:D606,5)="Techo"))&gt;0))+10*SUMPRODUCT(A596:A606,--(LEFT(D596:D606,8)="Respaldo"))+4*SUMPRODUCT(A596:A606,--(LEFT(D596:D606,8)="Manguete"))</f>
        <v>34</v>
      </c>
      <c r="B623" s="20">
        <v>0</v>
      </c>
      <c r="C623" s="20">
        <v>0</v>
      </c>
      <c r="D623" s="21" t="s">
        <v>468</v>
      </c>
      <c r="E623" s="21" t="s">
        <v>91</v>
      </c>
      <c r="F623" s="22">
        <v>0</v>
      </c>
      <c r="G623" s="22">
        <v>0</v>
      </c>
      <c r="H623" s="22">
        <v>0</v>
      </c>
      <c r="I623" s="22">
        <v>0</v>
      </c>
      <c r="J623" s="22">
        <v>0</v>
      </c>
      <c r="K623" s="16" t="s">
        <v>640</v>
      </c>
      <c r="L623" s="48" t="s">
        <v>361</v>
      </c>
      <c r="M623" s="17">
        <f t="shared" si="328"/>
        <v>0</v>
      </c>
      <c r="N623" s="18">
        <f t="shared" si="329"/>
        <v>0</v>
      </c>
      <c r="O623" s="19">
        <f>IF(E623="HERRAJE",IFERROR(_xlfn.XLOOKUP(D623,'⚙️ Configuración Costos'!$A$11:$A$20,'⚙️ Configuración Costos'!$B$11:$B$20),""),IFERROR(_xlfn.XLOOKUP(E623,'⚙️ Configuración Costos'!$A$5:$A$6,'⚙️ Configuración Costos'!$B$5:$B$6),""))</f>
        <v>1</v>
      </c>
      <c r="P623" s="19">
        <f t="shared" si="330"/>
        <v>34</v>
      </c>
      <c r="Q623" s="19">
        <f>IF(E623="HERRAJE",0,IFERROR(_xlfn.XLOOKUP(E623,'⚙️ Configuración Costos'!$E$5:$E$6,'⚙️ Configuración Costos'!$F$5:$F$6),""))</f>
        <v>0</v>
      </c>
      <c r="R623" s="19">
        <f t="shared" si="331"/>
        <v>0</v>
      </c>
      <c r="S623" s="37">
        <f t="shared" si="332"/>
        <v>34</v>
      </c>
      <c r="T623" s="94" t="str">
        <f t="shared" si="333"/>
        <v>OK</v>
      </c>
      <c r="U623" s="95" t="str">
        <f t="shared" si="334"/>
        <v/>
      </c>
      <c r="V623" s="96">
        <f t="shared" si="335"/>
        <v>0</v>
      </c>
    </row>
    <row r="624" spans="1:22" ht="16" thickTop="1" x14ac:dyDescent="0.2">
      <c r="A624" s="27" t="s">
        <v>99</v>
      </c>
      <c r="B624" s="27"/>
      <c r="C624" s="27"/>
      <c r="D624" s="28"/>
      <c r="E624" s="28"/>
      <c r="F624" s="29"/>
      <c r="G624" s="29"/>
      <c r="H624" s="29"/>
      <c r="I624" s="29"/>
      <c r="J624" s="29"/>
      <c r="K624" s="30"/>
      <c r="L624" s="49"/>
      <c r="M624" s="33">
        <f>SUM(M597:M623)</f>
        <v>7.4307200000000009</v>
      </c>
      <c r="N624" s="33">
        <f>SUM(N597:N623)</f>
        <v>38.727999999999994</v>
      </c>
      <c r="O624" s="33"/>
      <c r="P624" s="33">
        <f>SUM(P597:P623)</f>
        <v>3158.3334242622959</v>
      </c>
      <c r="Q624" s="33"/>
      <c r="R624" s="33">
        <f>SUM(R597:R623)</f>
        <v>367.91600000000005</v>
      </c>
      <c r="S624" s="33">
        <f>SUM(S597:S623)</f>
        <v>3526.2494242622961</v>
      </c>
      <c r="T624" s="97"/>
      <c r="U624" s="98"/>
      <c r="V624" s="99"/>
    </row>
    <row r="625" spans="1:22" x14ac:dyDescent="0.2">
      <c r="A625" s="186" t="s">
        <v>637</v>
      </c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8"/>
      <c r="T625" s="97"/>
      <c r="U625" s="98"/>
      <c r="V625" s="99"/>
    </row>
    <row r="626" spans="1:22" x14ac:dyDescent="0.2">
      <c r="A626" s="35">
        <v>1</v>
      </c>
      <c r="B626" s="6">
        <v>2100</v>
      </c>
      <c r="C626" s="6">
        <v>580</v>
      </c>
      <c r="D626" s="43" t="s">
        <v>63</v>
      </c>
      <c r="E626" s="43" t="s">
        <v>85</v>
      </c>
      <c r="F626" s="44">
        <v>1</v>
      </c>
      <c r="G626" s="44">
        <v>1</v>
      </c>
      <c r="H626" s="44">
        <v>1</v>
      </c>
      <c r="I626" s="44">
        <v>1</v>
      </c>
      <c r="J626" s="44">
        <v>1</v>
      </c>
      <c r="K626" s="16" t="s">
        <v>638</v>
      </c>
      <c r="L626" s="46" t="s">
        <v>346</v>
      </c>
      <c r="M626" s="17">
        <f t="shared" ref="M626:M647" si="336">IF(AND(ISNUMBER(B626),ISNUMBER(C626),B626&gt;0,C626&gt;0),A626*(B626*C626/1000000),0)</f>
        <v>1.218</v>
      </c>
      <c r="N626" s="18">
        <f t="shared" ref="N626:N647" si="337">IF(AND(ISNUMBER(B626),B626&gt;0),A626*(((G626+H626)*B626+(I626+J626)*C626)/1000),0)</f>
        <v>5.36</v>
      </c>
      <c r="O626" s="19">
        <f>IF(E626="HERRAJE",IFERROR(_xlfn.XLOOKUP(D626,'⚙️ Configuración Costos'!$A$11:$A$20,'⚙️ Configuración Costos'!$B$11:$B$20),""),IFERROR(_xlfn.XLOOKUP(E626,'⚙️ Configuración Costos'!$A$5:$A$6,'⚙️ Configuración Costos'!$B$5:$B$6),""))</f>
        <v>332.85245901639348</v>
      </c>
      <c r="P626" s="19">
        <f t="shared" ref="P626:P647" si="338">IF(E626="HERRAJE",A626*O626,M626*O626)</f>
        <v>405.41429508196723</v>
      </c>
      <c r="Q626" s="19">
        <f>IF(E626="HERRAJE",0,IFERROR(_xlfn.XLOOKUP(E626,'⚙️ Configuración Costos'!$E$5:$E$6,'⚙️ Configuración Costos'!$F$5:$F$6),""))</f>
        <v>9.5</v>
      </c>
      <c r="R626" s="19">
        <f t="shared" ref="R626:R647" si="339">N626*Q626</f>
        <v>50.92</v>
      </c>
      <c r="S626" s="37">
        <f t="shared" ref="S626:S647" si="340">P626+R626</f>
        <v>456.33429508196724</v>
      </c>
      <c r="T626" s="94" t="str">
        <f t="shared" ref="T626:T647" si="341">IF(K626="","SIN ID MÓDULO",IF(E626="HERRAJE",IF(OR(O626="",O626&lt;=0),"SIN PRECIO HERRAJE","OK"),IF(OR(O626="",O626&lt;=0),"SIN PRECIO MATERIAL",IF(AND(N626&gt;0,OR(Q626="",Q626&lt;=0)),"SIN PRECIO CINTILLA","OK"))))</f>
        <v>OK</v>
      </c>
      <c r="U626" s="95" t="str">
        <f t="shared" ref="U626:U647" si="342">IF(T626="OK","",IF(T626="SIN PRECIO HERRAJE","Capturar precio: "&amp;D626,IF(T626="SIN PRECIO MATERIAL","Configurar material: "&amp;E626,IF(T626="SIN PRECIO CINTILLA","Configurar cintilla: "&amp;E626,IF(T626="SIN ID MÓDULO","Revisar ID del módulo","")))))</f>
        <v/>
      </c>
      <c r="V626" s="96">
        <f t="shared" ref="V626:V647" si="343">IF(T626="OK",0,IF(T626="",0,1))</f>
        <v>0</v>
      </c>
    </row>
    <row r="627" spans="1:22" x14ac:dyDescent="0.2">
      <c r="A627" s="35">
        <v>1</v>
      </c>
      <c r="B627" s="6">
        <v>2100</v>
      </c>
      <c r="C627" s="6">
        <v>580</v>
      </c>
      <c r="D627" s="43" t="s">
        <v>66</v>
      </c>
      <c r="E627" s="43" t="s">
        <v>85</v>
      </c>
      <c r="F627" s="44">
        <v>1</v>
      </c>
      <c r="G627" s="44">
        <v>1</v>
      </c>
      <c r="H627" s="44">
        <v>1</v>
      </c>
      <c r="I627" s="44">
        <v>1</v>
      </c>
      <c r="J627" s="44">
        <v>1</v>
      </c>
      <c r="K627" s="16" t="s">
        <v>638</v>
      </c>
      <c r="L627" s="46" t="s">
        <v>348</v>
      </c>
      <c r="M627" s="17">
        <f t="shared" si="336"/>
        <v>1.218</v>
      </c>
      <c r="N627" s="18">
        <f t="shared" si="337"/>
        <v>5.36</v>
      </c>
      <c r="O627" s="19">
        <f>IF(E627="HERRAJE",IFERROR(_xlfn.XLOOKUP(D627,'⚙️ Configuración Costos'!$A$11:$A$20,'⚙️ Configuración Costos'!$B$11:$B$20),""),IFERROR(_xlfn.XLOOKUP(E627,'⚙️ Configuración Costos'!$A$5:$A$6,'⚙️ Configuración Costos'!$B$5:$B$6),""))</f>
        <v>332.85245901639348</v>
      </c>
      <c r="P627" s="19">
        <f t="shared" si="338"/>
        <v>405.41429508196723</v>
      </c>
      <c r="Q627" s="19">
        <f>IF(E627="HERRAJE",0,IFERROR(_xlfn.XLOOKUP(E627,'⚙️ Configuración Costos'!$E$5:$E$6,'⚙️ Configuración Costos'!$F$5:$F$6),""))</f>
        <v>9.5</v>
      </c>
      <c r="R627" s="19">
        <f t="shared" si="339"/>
        <v>50.92</v>
      </c>
      <c r="S627" s="37">
        <f t="shared" si="340"/>
        <v>456.33429508196724</v>
      </c>
      <c r="T627" s="94" t="str">
        <f t="shared" si="341"/>
        <v>OK</v>
      </c>
      <c r="U627" s="95" t="str">
        <f t="shared" si="342"/>
        <v/>
      </c>
      <c r="V627" s="96">
        <f t="shared" si="343"/>
        <v>0</v>
      </c>
    </row>
    <row r="628" spans="1:22" x14ac:dyDescent="0.2">
      <c r="A628" s="35">
        <v>1</v>
      </c>
      <c r="B628" s="6">
        <v>689</v>
      </c>
      <c r="C628" s="6">
        <v>669</v>
      </c>
      <c r="D628" s="43" t="s">
        <v>298</v>
      </c>
      <c r="E628" s="43" t="s">
        <v>85</v>
      </c>
      <c r="F628" s="44">
        <v>1</v>
      </c>
      <c r="G628" s="44">
        <v>0</v>
      </c>
      <c r="H628" s="44">
        <v>0</v>
      </c>
      <c r="I628" s="44">
        <v>0</v>
      </c>
      <c r="J628" s="44">
        <v>0</v>
      </c>
      <c r="K628" s="16" t="s">
        <v>638</v>
      </c>
      <c r="L628" s="46" t="s">
        <v>333</v>
      </c>
      <c r="M628" s="17">
        <f t="shared" si="336"/>
        <v>0.46094099999999999</v>
      </c>
      <c r="N628" s="18">
        <f t="shared" si="337"/>
        <v>0</v>
      </c>
      <c r="O628" s="19">
        <f>IF(E628="HERRAJE",IFERROR(_xlfn.XLOOKUP(D628,'⚙️ Configuración Costos'!$A$11:$A$20,'⚙️ Configuración Costos'!$B$11:$B$20),""),IFERROR(_xlfn.XLOOKUP(E628,'⚙️ Configuración Costos'!$A$5:$A$6,'⚙️ Configuración Costos'!$B$5:$B$6),""))</f>
        <v>332.85245901639348</v>
      </c>
      <c r="P628" s="19">
        <f t="shared" si="338"/>
        <v>153.42534531147541</v>
      </c>
      <c r="Q628" s="19">
        <f>IF(E628="HERRAJE",0,IFERROR(_xlfn.XLOOKUP(E628,'⚙️ Configuración Costos'!$E$5:$E$6,'⚙️ Configuración Costos'!$F$5:$F$6),""))</f>
        <v>9.5</v>
      </c>
      <c r="R628" s="19">
        <f t="shared" si="339"/>
        <v>0</v>
      </c>
      <c r="S628" s="37">
        <f t="shared" si="340"/>
        <v>153.42534531147541</v>
      </c>
      <c r="T628" s="94" t="str">
        <f t="shared" si="341"/>
        <v>OK</v>
      </c>
      <c r="U628" s="95" t="str">
        <f t="shared" si="342"/>
        <v/>
      </c>
      <c r="V628" s="96">
        <f t="shared" si="343"/>
        <v>0</v>
      </c>
    </row>
    <row r="629" spans="1:22" x14ac:dyDescent="0.2">
      <c r="A629" s="35">
        <v>1</v>
      </c>
      <c r="B629" s="6">
        <v>669</v>
      </c>
      <c r="C629" s="6">
        <v>580</v>
      </c>
      <c r="D629" s="43" t="s">
        <v>300</v>
      </c>
      <c r="E629" s="43" t="s">
        <v>85</v>
      </c>
      <c r="F629" s="44">
        <v>1</v>
      </c>
      <c r="G629" s="44">
        <v>1</v>
      </c>
      <c r="H629" s="44">
        <v>1</v>
      </c>
      <c r="I629" s="44">
        <v>0</v>
      </c>
      <c r="J629" s="44">
        <v>0</v>
      </c>
      <c r="K629" s="16" t="s">
        <v>638</v>
      </c>
      <c r="L629" s="46" t="s">
        <v>380</v>
      </c>
      <c r="M629" s="17">
        <f t="shared" si="336"/>
        <v>0.38801999999999998</v>
      </c>
      <c r="N629" s="18">
        <f t="shared" si="337"/>
        <v>1.3380000000000001</v>
      </c>
      <c r="O629" s="19">
        <f>IF(E629="HERRAJE",IFERROR(_xlfn.XLOOKUP(D629,'⚙️ Configuración Costos'!$A$11:$A$20,'⚙️ Configuración Costos'!$B$11:$B$20),""),IFERROR(_xlfn.XLOOKUP(E629,'⚙️ Configuración Costos'!$A$5:$A$6,'⚙️ Configuración Costos'!$B$5:$B$6),""))</f>
        <v>332.85245901639348</v>
      </c>
      <c r="P629" s="19">
        <f t="shared" si="338"/>
        <v>129.15341114754099</v>
      </c>
      <c r="Q629" s="19">
        <f>IF(E629="HERRAJE",0,IFERROR(_xlfn.XLOOKUP(E629,'⚙️ Configuración Costos'!$E$5:$E$6,'⚙️ Configuración Costos'!$F$5:$F$6),""))</f>
        <v>9.5</v>
      </c>
      <c r="R629" s="19">
        <f t="shared" si="339"/>
        <v>12.711</v>
      </c>
      <c r="S629" s="37">
        <f t="shared" si="340"/>
        <v>141.86441114754101</v>
      </c>
      <c r="T629" s="94" t="str">
        <f t="shared" si="341"/>
        <v>OK</v>
      </c>
      <c r="U629" s="95" t="str">
        <f t="shared" si="342"/>
        <v/>
      </c>
      <c r="V629" s="96">
        <f t="shared" si="343"/>
        <v>0</v>
      </c>
    </row>
    <row r="630" spans="1:22" x14ac:dyDescent="0.2">
      <c r="A630" s="35">
        <v>1</v>
      </c>
      <c r="B630" s="6">
        <v>669</v>
      </c>
      <c r="C630" s="6">
        <v>580</v>
      </c>
      <c r="D630" s="43" t="s">
        <v>300</v>
      </c>
      <c r="E630" s="43" t="s">
        <v>85</v>
      </c>
      <c r="F630" s="44">
        <v>1</v>
      </c>
      <c r="G630" s="44">
        <v>1</v>
      </c>
      <c r="H630" s="44">
        <v>1</v>
      </c>
      <c r="I630" s="44">
        <v>0</v>
      </c>
      <c r="J630" s="44">
        <v>0</v>
      </c>
      <c r="K630" s="16" t="s">
        <v>638</v>
      </c>
      <c r="L630" s="46" t="s">
        <v>380</v>
      </c>
      <c r="M630" s="17">
        <f t="shared" si="336"/>
        <v>0.38801999999999998</v>
      </c>
      <c r="N630" s="18">
        <f t="shared" si="337"/>
        <v>1.3380000000000001</v>
      </c>
      <c r="O630" s="19">
        <f>IF(E630="HERRAJE",IFERROR(_xlfn.XLOOKUP(D630,'⚙️ Configuración Costos'!$A$11:$A$20,'⚙️ Configuración Costos'!$B$11:$B$20),""),IFERROR(_xlfn.XLOOKUP(E630,'⚙️ Configuración Costos'!$A$5:$A$6,'⚙️ Configuración Costos'!$B$5:$B$6),""))</f>
        <v>332.85245901639348</v>
      </c>
      <c r="P630" s="19">
        <f t="shared" si="338"/>
        <v>129.15341114754099</v>
      </c>
      <c r="Q630" s="19">
        <f>IF(E630="HERRAJE",0,IFERROR(_xlfn.XLOOKUP(E630,'⚙️ Configuración Costos'!$E$5:$E$6,'⚙️ Configuración Costos'!$F$5:$F$6),""))</f>
        <v>9.5</v>
      </c>
      <c r="R630" s="19">
        <f t="shared" si="339"/>
        <v>12.711</v>
      </c>
      <c r="S630" s="37">
        <f t="shared" si="340"/>
        <v>141.86441114754101</v>
      </c>
      <c r="T630" s="94" t="str">
        <f t="shared" si="341"/>
        <v>OK</v>
      </c>
      <c r="U630" s="95" t="str">
        <f t="shared" si="342"/>
        <v/>
      </c>
      <c r="V630" s="96">
        <f t="shared" si="343"/>
        <v>0</v>
      </c>
    </row>
    <row r="631" spans="1:22" x14ac:dyDescent="0.2">
      <c r="A631" s="35">
        <v>1</v>
      </c>
      <c r="B631" s="6">
        <v>669</v>
      </c>
      <c r="C631" s="6">
        <v>490</v>
      </c>
      <c r="D631" s="43" t="s">
        <v>488</v>
      </c>
      <c r="E631" s="43" t="s">
        <v>85</v>
      </c>
      <c r="F631" s="44">
        <v>1</v>
      </c>
      <c r="G631" s="44">
        <v>1</v>
      </c>
      <c r="H631" s="44">
        <v>1</v>
      </c>
      <c r="I631" s="44">
        <v>0</v>
      </c>
      <c r="J631" s="44">
        <v>0</v>
      </c>
      <c r="K631" s="16" t="s">
        <v>638</v>
      </c>
      <c r="L631" s="46" t="s">
        <v>381</v>
      </c>
      <c r="M631" s="17">
        <f t="shared" si="336"/>
        <v>0.32780999999999999</v>
      </c>
      <c r="N631" s="18">
        <f t="shared" si="337"/>
        <v>1.3380000000000001</v>
      </c>
      <c r="O631" s="19">
        <f>IF(E631="HERRAJE",IFERROR(_xlfn.XLOOKUP(D631,'⚙️ Configuración Costos'!$A$11:$A$20,'⚙️ Configuración Costos'!$B$11:$B$20),""),IFERROR(_xlfn.XLOOKUP(E631,'⚙️ Configuración Costos'!$A$5:$A$6,'⚙️ Configuración Costos'!$B$5:$B$6),""))</f>
        <v>332.85245901639348</v>
      </c>
      <c r="P631" s="19">
        <f t="shared" si="338"/>
        <v>109.11236459016395</v>
      </c>
      <c r="Q631" s="19">
        <f>IF(E631="HERRAJE",0,IFERROR(_xlfn.XLOOKUP(E631,'⚙️ Configuración Costos'!$E$5:$E$6,'⚙️ Configuración Costos'!$F$5:$F$6),""))</f>
        <v>9.5</v>
      </c>
      <c r="R631" s="19">
        <f t="shared" si="339"/>
        <v>12.711</v>
      </c>
      <c r="S631" s="37">
        <f t="shared" si="340"/>
        <v>121.82336459016395</v>
      </c>
      <c r="T631" s="94" t="str">
        <f t="shared" si="341"/>
        <v>OK</v>
      </c>
      <c r="U631" s="95" t="str">
        <f t="shared" si="342"/>
        <v/>
      </c>
      <c r="V631" s="96">
        <f t="shared" si="343"/>
        <v>0</v>
      </c>
    </row>
    <row r="632" spans="1:22" x14ac:dyDescent="0.2">
      <c r="A632" s="35">
        <v>1</v>
      </c>
      <c r="B632" s="6">
        <v>669</v>
      </c>
      <c r="C632" s="6">
        <v>580</v>
      </c>
      <c r="D632" s="43" t="s">
        <v>302</v>
      </c>
      <c r="E632" s="43" t="s">
        <v>85</v>
      </c>
      <c r="F632" s="44">
        <v>1</v>
      </c>
      <c r="G632" s="44">
        <v>1</v>
      </c>
      <c r="H632" s="44">
        <v>1</v>
      </c>
      <c r="I632" s="44">
        <v>0</v>
      </c>
      <c r="J632" s="44">
        <v>0</v>
      </c>
      <c r="K632" s="16" t="s">
        <v>638</v>
      </c>
      <c r="L632" s="46" t="s">
        <v>382</v>
      </c>
      <c r="M632" s="17">
        <f t="shared" si="336"/>
        <v>0.38801999999999998</v>
      </c>
      <c r="N632" s="18">
        <f t="shared" si="337"/>
        <v>1.3380000000000001</v>
      </c>
      <c r="O632" s="19">
        <f>IF(E632="HERRAJE",IFERROR(_xlfn.XLOOKUP(D632,'⚙️ Configuración Costos'!$A$11:$A$20,'⚙️ Configuración Costos'!$B$11:$B$20),""),IFERROR(_xlfn.XLOOKUP(E632,'⚙️ Configuración Costos'!$A$5:$A$6,'⚙️ Configuración Costos'!$B$5:$B$6),""))</f>
        <v>332.85245901639348</v>
      </c>
      <c r="P632" s="19">
        <f t="shared" si="338"/>
        <v>129.15341114754099</v>
      </c>
      <c r="Q632" s="19">
        <f>IF(E632="HERRAJE",0,IFERROR(_xlfn.XLOOKUP(E632,'⚙️ Configuración Costos'!$E$5:$E$6,'⚙️ Configuración Costos'!$F$5:$F$6),""))</f>
        <v>9.5</v>
      </c>
      <c r="R632" s="19">
        <f t="shared" si="339"/>
        <v>12.711</v>
      </c>
      <c r="S632" s="37">
        <f t="shared" si="340"/>
        <v>141.86441114754101</v>
      </c>
      <c r="T632" s="94" t="str">
        <f t="shared" si="341"/>
        <v>OK</v>
      </c>
      <c r="U632" s="95" t="str">
        <f t="shared" si="342"/>
        <v/>
      </c>
      <c r="V632" s="96">
        <f t="shared" si="343"/>
        <v>0</v>
      </c>
    </row>
    <row r="633" spans="1:22" x14ac:dyDescent="0.2">
      <c r="A633" s="35">
        <v>1</v>
      </c>
      <c r="B633" s="6">
        <v>669</v>
      </c>
      <c r="C633" s="6">
        <v>580</v>
      </c>
      <c r="D633" s="43" t="s">
        <v>302</v>
      </c>
      <c r="E633" s="43" t="s">
        <v>85</v>
      </c>
      <c r="F633" s="44">
        <v>1</v>
      </c>
      <c r="G633" s="44">
        <v>1</v>
      </c>
      <c r="H633" s="44">
        <v>1</v>
      </c>
      <c r="I633" s="44">
        <v>0</v>
      </c>
      <c r="J633" s="44">
        <v>0</v>
      </c>
      <c r="K633" s="16" t="s">
        <v>638</v>
      </c>
      <c r="L633" s="46" t="s">
        <v>382</v>
      </c>
      <c r="M633" s="17">
        <f t="shared" si="336"/>
        <v>0.38801999999999998</v>
      </c>
      <c r="N633" s="18">
        <f t="shared" si="337"/>
        <v>1.3380000000000001</v>
      </c>
      <c r="O633" s="19">
        <f>IF(E633="HERRAJE",IFERROR(_xlfn.XLOOKUP(D633,'⚙️ Configuración Costos'!$A$11:$A$20,'⚙️ Configuración Costos'!$B$11:$B$20),""),IFERROR(_xlfn.XLOOKUP(E633,'⚙️ Configuración Costos'!$A$5:$A$6,'⚙️ Configuración Costos'!$B$5:$B$6),""))</f>
        <v>332.85245901639348</v>
      </c>
      <c r="P633" s="19">
        <f t="shared" si="338"/>
        <v>129.15341114754099</v>
      </c>
      <c r="Q633" s="19">
        <f>IF(E633="HERRAJE",0,IFERROR(_xlfn.XLOOKUP(E633,'⚙️ Configuración Costos'!$E$5:$E$6,'⚙️ Configuración Costos'!$F$5:$F$6),""))</f>
        <v>9.5</v>
      </c>
      <c r="R633" s="19">
        <f t="shared" si="339"/>
        <v>12.711</v>
      </c>
      <c r="S633" s="37">
        <f t="shared" si="340"/>
        <v>141.86441114754101</v>
      </c>
      <c r="T633" s="94" t="str">
        <f t="shared" si="341"/>
        <v>OK</v>
      </c>
      <c r="U633" s="95" t="str">
        <f t="shared" si="342"/>
        <v/>
      </c>
      <c r="V633" s="96">
        <f t="shared" si="343"/>
        <v>0</v>
      </c>
    </row>
    <row r="634" spans="1:22" x14ac:dyDescent="0.2">
      <c r="A634" s="35">
        <v>1</v>
      </c>
      <c r="B634" s="6">
        <v>669</v>
      </c>
      <c r="C634" s="6">
        <v>539</v>
      </c>
      <c r="D634" s="43" t="s">
        <v>491</v>
      </c>
      <c r="E634" s="43" t="s">
        <v>85</v>
      </c>
      <c r="F634" s="44">
        <v>1</v>
      </c>
      <c r="G634" s="44">
        <v>0</v>
      </c>
      <c r="H634" s="44">
        <v>0</v>
      </c>
      <c r="I634" s="44">
        <v>0</v>
      </c>
      <c r="J634" s="44">
        <v>0</v>
      </c>
      <c r="K634" s="16" t="s">
        <v>638</v>
      </c>
      <c r="L634" s="46" t="s">
        <v>337</v>
      </c>
      <c r="M634" s="17">
        <f t="shared" si="336"/>
        <v>0.36059099999999999</v>
      </c>
      <c r="N634" s="18">
        <f t="shared" si="337"/>
        <v>0</v>
      </c>
      <c r="O634" s="19">
        <f>IF(E634="HERRAJE",IFERROR(_xlfn.XLOOKUP(D634,'⚙️ Configuración Costos'!$A$11:$A$20,'⚙️ Configuración Costos'!$B$11:$B$20),""),IFERROR(_xlfn.XLOOKUP(E634,'⚙️ Configuración Costos'!$A$5:$A$6,'⚙️ Configuración Costos'!$B$5:$B$6),""))</f>
        <v>332.85245901639348</v>
      </c>
      <c r="P634" s="19">
        <f t="shared" si="338"/>
        <v>120.02360104918034</v>
      </c>
      <c r="Q634" s="19">
        <f>IF(E634="HERRAJE",0,IFERROR(_xlfn.XLOOKUP(E634,'⚙️ Configuración Costos'!$E$5:$E$6,'⚙️ Configuración Costos'!$F$5:$F$6),""))</f>
        <v>9.5</v>
      </c>
      <c r="R634" s="19">
        <f t="shared" si="339"/>
        <v>0</v>
      </c>
      <c r="S634" s="37">
        <f t="shared" si="340"/>
        <v>120.02360104918034</v>
      </c>
      <c r="T634" s="94" t="str">
        <f t="shared" si="341"/>
        <v>OK</v>
      </c>
      <c r="U634" s="95" t="str">
        <f t="shared" si="342"/>
        <v/>
      </c>
      <c r="V634" s="96">
        <f t="shared" si="343"/>
        <v>0</v>
      </c>
    </row>
    <row r="635" spans="1:22" x14ac:dyDescent="0.2">
      <c r="A635" s="35">
        <v>1</v>
      </c>
      <c r="B635" s="6">
        <v>669</v>
      </c>
      <c r="C635" s="6">
        <v>490</v>
      </c>
      <c r="D635" s="43" t="s">
        <v>488</v>
      </c>
      <c r="E635" s="43" t="s">
        <v>85</v>
      </c>
      <c r="F635" s="44">
        <v>1</v>
      </c>
      <c r="G635" s="44">
        <v>1</v>
      </c>
      <c r="H635" s="44">
        <v>0</v>
      </c>
      <c r="I635" s="44">
        <v>0</v>
      </c>
      <c r="J635" s="44">
        <v>0</v>
      </c>
      <c r="K635" s="16" t="s">
        <v>638</v>
      </c>
      <c r="L635" s="46" t="s">
        <v>338</v>
      </c>
      <c r="M635" s="17">
        <f t="shared" si="336"/>
        <v>0.32780999999999999</v>
      </c>
      <c r="N635" s="18">
        <f t="shared" si="337"/>
        <v>0.66900000000000004</v>
      </c>
      <c r="O635" s="19">
        <f>IF(E635="HERRAJE",IFERROR(_xlfn.XLOOKUP(D635,'⚙️ Configuración Costos'!$A$11:$A$20,'⚙️ Configuración Costos'!$B$11:$B$20),""),IFERROR(_xlfn.XLOOKUP(E635,'⚙️ Configuración Costos'!$A$5:$A$6,'⚙️ Configuración Costos'!$B$5:$B$6),""))</f>
        <v>332.85245901639348</v>
      </c>
      <c r="P635" s="19">
        <f t="shared" si="338"/>
        <v>109.11236459016395</v>
      </c>
      <c r="Q635" s="19">
        <f>IF(E635="HERRAJE",0,IFERROR(_xlfn.XLOOKUP(E635,'⚙️ Configuración Costos'!$E$5:$E$6,'⚙️ Configuración Costos'!$F$5:$F$6),""))</f>
        <v>9.5</v>
      </c>
      <c r="R635" s="19">
        <f t="shared" si="339"/>
        <v>6.3555000000000001</v>
      </c>
      <c r="S635" s="37">
        <f t="shared" si="340"/>
        <v>115.46786459016396</v>
      </c>
      <c r="T635" s="94" t="str">
        <f t="shared" si="341"/>
        <v>OK</v>
      </c>
      <c r="U635" s="95" t="str">
        <f t="shared" si="342"/>
        <v/>
      </c>
      <c r="V635" s="96">
        <f t="shared" si="343"/>
        <v>0</v>
      </c>
    </row>
    <row r="636" spans="1:22" x14ac:dyDescent="0.2">
      <c r="A636" s="35">
        <v>1</v>
      </c>
      <c r="B636" s="6">
        <v>669</v>
      </c>
      <c r="C636" s="6">
        <v>120</v>
      </c>
      <c r="D636" s="43" t="s">
        <v>492</v>
      </c>
      <c r="E636" s="43" t="s">
        <v>85</v>
      </c>
      <c r="F636" s="44">
        <v>1</v>
      </c>
      <c r="G636" s="44">
        <v>0</v>
      </c>
      <c r="H636" s="44">
        <v>1</v>
      </c>
      <c r="I636" s="44">
        <v>0</v>
      </c>
      <c r="J636" s="44">
        <v>0</v>
      </c>
      <c r="K636" s="16" t="s">
        <v>638</v>
      </c>
      <c r="L636" s="46" t="s">
        <v>340</v>
      </c>
      <c r="M636" s="17">
        <f t="shared" si="336"/>
        <v>8.0280000000000004E-2</v>
      </c>
      <c r="N636" s="18">
        <f t="shared" si="337"/>
        <v>0.66900000000000004</v>
      </c>
      <c r="O636" s="19">
        <f>IF(E636="HERRAJE",IFERROR(_xlfn.XLOOKUP(D636,'⚙️ Configuración Costos'!$A$11:$A$20,'⚙️ Configuración Costos'!$B$11:$B$20),""),IFERROR(_xlfn.XLOOKUP(E636,'⚙️ Configuración Costos'!$A$5:$A$6,'⚙️ Configuración Costos'!$B$5:$B$6),""))</f>
        <v>332.85245901639348</v>
      </c>
      <c r="P636" s="19">
        <f t="shared" si="338"/>
        <v>26.72139540983607</v>
      </c>
      <c r="Q636" s="19">
        <f>IF(E636="HERRAJE",0,IFERROR(_xlfn.XLOOKUP(E636,'⚙️ Configuración Costos'!$E$5:$E$6,'⚙️ Configuración Costos'!$F$5:$F$6),""))</f>
        <v>9.5</v>
      </c>
      <c r="R636" s="19">
        <f t="shared" si="339"/>
        <v>6.3555000000000001</v>
      </c>
      <c r="S636" s="37">
        <f t="shared" si="340"/>
        <v>33.076895409836069</v>
      </c>
      <c r="T636" s="94" t="str">
        <f t="shared" si="341"/>
        <v>OK</v>
      </c>
      <c r="U636" s="95" t="str">
        <f t="shared" si="342"/>
        <v/>
      </c>
      <c r="V636" s="96">
        <f t="shared" si="343"/>
        <v>0</v>
      </c>
    </row>
    <row r="637" spans="1:22" x14ac:dyDescent="0.2">
      <c r="A637" s="35">
        <v>3</v>
      </c>
      <c r="B637" s="6">
        <v>612</v>
      </c>
      <c r="C637" s="6">
        <v>469</v>
      </c>
      <c r="D637" s="7" t="s">
        <v>485</v>
      </c>
      <c r="E637" s="7" t="s">
        <v>85</v>
      </c>
      <c r="F637" s="8">
        <v>1</v>
      </c>
      <c r="G637" s="8">
        <v>0</v>
      </c>
      <c r="H637" s="8">
        <v>0</v>
      </c>
      <c r="I637" s="8">
        <v>0</v>
      </c>
      <c r="J637" s="8">
        <v>0</v>
      </c>
      <c r="K637" s="23" t="s">
        <v>638</v>
      </c>
      <c r="L637" s="47" t="s">
        <v>269</v>
      </c>
      <c r="M637" s="17">
        <f t="shared" si="336"/>
        <v>0.86108399999999996</v>
      </c>
      <c r="N637" s="18">
        <f t="shared" si="337"/>
        <v>0</v>
      </c>
      <c r="O637" s="19">
        <f>IF(E637="HERRAJE",IFERROR(_xlfn.XLOOKUP(D637,'⚙️ Configuración Costos'!$A$11:$A$20,'⚙️ Configuración Costos'!$B$11:$B$20),""),IFERROR(_xlfn.XLOOKUP(E637,'⚙️ Configuración Costos'!$A$5:$A$6,'⚙️ Configuración Costos'!$B$5:$B$6),""))</f>
        <v>332.85245901639348</v>
      </c>
      <c r="P637" s="19">
        <f t="shared" si="338"/>
        <v>286.61392681967214</v>
      </c>
      <c r="Q637" s="19">
        <f>IF(E637="HERRAJE",0,IFERROR(_xlfn.XLOOKUP(E637,'⚙️ Configuración Costos'!$E$5:$E$6,'⚙️ Configuración Costos'!$F$5:$F$6),""))</f>
        <v>9.5</v>
      </c>
      <c r="R637" s="19">
        <f t="shared" si="339"/>
        <v>0</v>
      </c>
      <c r="S637" s="37">
        <f t="shared" si="340"/>
        <v>286.61392681967214</v>
      </c>
      <c r="T637" s="94" t="str">
        <f t="shared" si="341"/>
        <v>OK</v>
      </c>
      <c r="U637" s="95" t="str">
        <f t="shared" si="342"/>
        <v/>
      </c>
      <c r="V637" s="96">
        <f t="shared" si="343"/>
        <v>0</v>
      </c>
    </row>
    <row r="638" spans="1:22" x14ac:dyDescent="0.2">
      <c r="A638" s="35">
        <v>2</v>
      </c>
      <c r="B638" s="6">
        <v>612</v>
      </c>
      <c r="C638" s="6">
        <v>230</v>
      </c>
      <c r="D638" s="7" t="s">
        <v>486</v>
      </c>
      <c r="E638" s="7" t="s">
        <v>85</v>
      </c>
      <c r="F638" s="8">
        <v>1</v>
      </c>
      <c r="G638" s="8">
        <v>1</v>
      </c>
      <c r="H638" s="8">
        <v>1</v>
      </c>
      <c r="I638" s="8">
        <v>0</v>
      </c>
      <c r="J638" s="8">
        <v>0</v>
      </c>
      <c r="K638" s="23" t="s">
        <v>638</v>
      </c>
      <c r="L638" s="47" t="s">
        <v>270</v>
      </c>
      <c r="M638" s="17">
        <f t="shared" si="336"/>
        <v>0.28151999999999999</v>
      </c>
      <c r="N638" s="18">
        <f t="shared" si="337"/>
        <v>2.448</v>
      </c>
      <c r="O638" s="19">
        <f>IF(E638="HERRAJE",IFERROR(_xlfn.XLOOKUP(D638,'⚙️ Configuración Costos'!$A$11:$A$20,'⚙️ Configuración Costos'!$B$11:$B$20),""),IFERROR(_xlfn.XLOOKUP(E638,'⚙️ Configuración Costos'!$A$5:$A$6,'⚙️ Configuración Costos'!$B$5:$B$6),""))</f>
        <v>332.85245901639348</v>
      </c>
      <c r="P638" s="19">
        <f t="shared" si="338"/>
        <v>93.704624262295084</v>
      </c>
      <c r="Q638" s="19">
        <f>IF(E638="HERRAJE",0,IFERROR(_xlfn.XLOOKUP(E638,'⚙️ Configuración Costos'!$E$5:$E$6,'⚙️ Configuración Costos'!$F$5:$F$6),""))</f>
        <v>9.5</v>
      </c>
      <c r="R638" s="19">
        <f t="shared" si="339"/>
        <v>23.256</v>
      </c>
      <c r="S638" s="37">
        <f t="shared" si="340"/>
        <v>116.96062426229508</v>
      </c>
      <c r="T638" s="94" t="str">
        <f t="shared" si="341"/>
        <v>OK</v>
      </c>
      <c r="U638" s="95" t="str">
        <f t="shared" si="342"/>
        <v/>
      </c>
      <c r="V638" s="96">
        <f t="shared" si="343"/>
        <v>0</v>
      </c>
    </row>
    <row r="639" spans="1:22" x14ac:dyDescent="0.2">
      <c r="A639" s="35">
        <v>4</v>
      </c>
      <c r="B639" s="6">
        <v>612</v>
      </c>
      <c r="C639" s="6">
        <v>100</v>
      </c>
      <c r="D639" s="7" t="s">
        <v>486</v>
      </c>
      <c r="E639" s="7" t="s">
        <v>85</v>
      </c>
      <c r="F639" s="8">
        <v>1</v>
      </c>
      <c r="G639" s="8">
        <v>1</v>
      </c>
      <c r="H639" s="8">
        <v>1</v>
      </c>
      <c r="I639" s="8">
        <v>0</v>
      </c>
      <c r="J639" s="8">
        <v>0</v>
      </c>
      <c r="K639" s="23" t="s">
        <v>638</v>
      </c>
      <c r="L639" s="47" t="s">
        <v>271</v>
      </c>
      <c r="M639" s="17">
        <f t="shared" si="336"/>
        <v>0.24479999999999999</v>
      </c>
      <c r="N639" s="18">
        <f t="shared" si="337"/>
        <v>4.8959999999999999</v>
      </c>
      <c r="O639" s="19">
        <f>IF(E639="HERRAJE",IFERROR(_xlfn.XLOOKUP(D639,'⚙️ Configuración Costos'!$A$11:$A$20,'⚙️ Configuración Costos'!$B$11:$B$20),""),IFERROR(_xlfn.XLOOKUP(E639,'⚙️ Configuración Costos'!$A$5:$A$6,'⚙️ Configuración Costos'!$B$5:$B$6),""))</f>
        <v>332.85245901639348</v>
      </c>
      <c r="P639" s="19">
        <f t="shared" si="338"/>
        <v>81.482281967213126</v>
      </c>
      <c r="Q639" s="19">
        <f>IF(E639="HERRAJE",0,IFERROR(_xlfn.XLOOKUP(E639,'⚙️ Configuración Costos'!$E$5:$E$6,'⚙️ Configuración Costos'!$F$5:$F$6),""))</f>
        <v>9.5</v>
      </c>
      <c r="R639" s="19">
        <f t="shared" si="339"/>
        <v>46.512</v>
      </c>
      <c r="S639" s="37">
        <f t="shared" si="340"/>
        <v>127.99428196721313</v>
      </c>
      <c r="T639" s="94" t="str">
        <f t="shared" si="341"/>
        <v>OK</v>
      </c>
      <c r="U639" s="95" t="str">
        <f t="shared" si="342"/>
        <v/>
      </c>
      <c r="V639" s="96">
        <f t="shared" si="343"/>
        <v>0</v>
      </c>
    </row>
    <row r="640" spans="1:22" x14ac:dyDescent="0.2">
      <c r="A640" s="35">
        <v>2</v>
      </c>
      <c r="B640" s="6">
        <v>500</v>
      </c>
      <c r="C640" s="6">
        <v>230</v>
      </c>
      <c r="D640" s="7" t="s">
        <v>484</v>
      </c>
      <c r="E640" s="7" t="s">
        <v>85</v>
      </c>
      <c r="F640" s="8">
        <v>1</v>
      </c>
      <c r="G640" s="8">
        <v>1</v>
      </c>
      <c r="H640" s="8">
        <v>1</v>
      </c>
      <c r="I640" s="8">
        <v>1</v>
      </c>
      <c r="J640" s="8">
        <v>1</v>
      </c>
      <c r="K640" s="23" t="s">
        <v>638</v>
      </c>
      <c r="L640" s="47" t="s">
        <v>243</v>
      </c>
      <c r="M640" s="17">
        <f t="shared" si="336"/>
        <v>0.23</v>
      </c>
      <c r="N640" s="18">
        <f t="shared" si="337"/>
        <v>2.92</v>
      </c>
      <c r="O640" s="19">
        <f>IF(E640="HERRAJE",IFERROR(_xlfn.XLOOKUP(D640,'⚙️ Configuración Costos'!$A$11:$A$20,'⚙️ Configuración Costos'!$B$11:$B$20),""),IFERROR(_xlfn.XLOOKUP(E640,'⚙️ Configuración Costos'!$A$5:$A$6,'⚙️ Configuración Costos'!$B$5:$B$6),""))</f>
        <v>332.85245901639348</v>
      </c>
      <c r="P640" s="19">
        <f t="shared" si="338"/>
        <v>76.55606557377051</v>
      </c>
      <c r="Q640" s="19">
        <f>IF(E640="HERRAJE",0,IFERROR(_xlfn.XLOOKUP(E640,'⚙️ Configuración Costos'!$E$5:$E$6,'⚙️ Configuración Costos'!$F$5:$F$6),""))</f>
        <v>9.5</v>
      </c>
      <c r="R640" s="19">
        <f t="shared" si="339"/>
        <v>27.74</v>
      </c>
      <c r="S640" s="37">
        <f t="shared" si="340"/>
        <v>104.29606557377051</v>
      </c>
      <c r="T640" s="94" t="str">
        <f t="shared" si="341"/>
        <v>OK</v>
      </c>
      <c r="U640" s="95" t="str">
        <f t="shared" si="342"/>
        <v/>
      </c>
      <c r="V640" s="96">
        <f t="shared" si="343"/>
        <v>0</v>
      </c>
    </row>
    <row r="641" spans="1:22" x14ac:dyDescent="0.2">
      <c r="A641" s="35">
        <v>4</v>
      </c>
      <c r="B641" s="6">
        <v>500</v>
      </c>
      <c r="C641" s="6">
        <v>100</v>
      </c>
      <c r="D641" s="7" t="s">
        <v>484</v>
      </c>
      <c r="E641" s="7" t="s">
        <v>85</v>
      </c>
      <c r="F641" s="8">
        <v>1</v>
      </c>
      <c r="G641" s="8">
        <v>1</v>
      </c>
      <c r="H641" s="8">
        <v>1</v>
      </c>
      <c r="I641" s="8">
        <v>1</v>
      </c>
      <c r="J641" s="8">
        <v>1</v>
      </c>
      <c r="K641" s="23" t="s">
        <v>638</v>
      </c>
      <c r="L641" s="47" t="s">
        <v>244</v>
      </c>
      <c r="M641" s="17">
        <f t="shared" si="336"/>
        <v>0.2</v>
      </c>
      <c r="N641" s="18">
        <f t="shared" si="337"/>
        <v>4.8</v>
      </c>
      <c r="O641" s="19">
        <f>IF(E641="HERRAJE",IFERROR(_xlfn.XLOOKUP(D641,'⚙️ Configuración Costos'!$A$11:$A$20,'⚙️ Configuración Costos'!$B$11:$B$20),""),IFERROR(_xlfn.XLOOKUP(E641,'⚙️ Configuración Costos'!$A$5:$A$6,'⚙️ Configuración Costos'!$B$5:$B$6),""))</f>
        <v>332.85245901639348</v>
      </c>
      <c r="P641" s="19">
        <f t="shared" si="338"/>
        <v>66.570491803278699</v>
      </c>
      <c r="Q641" s="19">
        <f>IF(E641="HERRAJE",0,IFERROR(_xlfn.XLOOKUP(E641,'⚙️ Configuración Costos'!$E$5:$E$6,'⚙️ Configuración Costos'!$F$5:$F$6),""))</f>
        <v>9.5</v>
      </c>
      <c r="R641" s="19">
        <f t="shared" si="339"/>
        <v>45.6</v>
      </c>
      <c r="S641" s="37">
        <f t="shared" si="340"/>
        <v>112.17049180327871</v>
      </c>
      <c r="T641" s="94" t="str">
        <f t="shared" si="341"/>
        <v>OK</v>
      </c>
      <c r="U641" s="95" t="str">
        <f t="shared" si="342"/>
        <v/>
      </c>
      <c r="V641" s="96">
        <f t="shared" si="343"/>
        <v>0</v>
      </c>
    </row>
    <row r="642" spans="1:22" x14ac:dyDescent="0.2">
      <c r="A642" s="35">
        <v>1</v>
      </c>
      <c r="B642" s="6">
        <v>566</v>
      </c>
      <c r="C642" s="6">
        <v>346</v>
      </c>
      <c r="D642" s="43" t="s">
        <v>469</v>
      </c>
      <c r="E642" s="43" t="s">
        <v>85</v>
      </c>
      <c r="F642" s="44">
        <v>1</v>
      </c>
      <c r="G642" s="44">
        <v>1</v>
      </c>
      <c r="H642" s="44">
        <v>1</v>
      </c>
      <c r="I642" s="44">
        <v>1</v>
      </c>
      <c r="J642" s="44">
        <v>1</v>
      </c>
      <c r="K642" s="16" t="s">
        <v>638</v>
      </c>
      <c r="L642" s="46" t="s">
        <v>343</v>
      </c>
      <c r="M642" s="17">
        <f>IF(AND(ISNUMBER(B642),ISNUMBER(C642),B642&gt;0,C642&gt;0),A642*(B642*C642/1000000),0)</f>
        <v>0.19583600000000001</v>
      </c>
      <c r="N642" s="18">
        <f>IF(AND(ISNUMBER(B642),B642&gt;0),A642*(((G642+H642)*B642+(I642+J642)*C642)/1000),0)</f>
        <v>1.8240000000000001</v>
      </c>
      <c r="O642" s="19">
        <f>IF(E642="HERRAJE",IFERROR(_xlfn.XLOOKUP(D642,'⚙️ Configuración Costos'!$A$11:$A$20,'⚙️ Configuración Costos'!$B$11:$B$20),""),IFERROR(_xlfn.XLOOKUP(E642,'⚙️ Configuración Costos'!$A$5:$A$6,'⚙️ Configuración Costos'!$B$5:$B$6),""))</f>
        <v>332.85245901639348</v>
      </c>
      <c r="P642" s="19">
        <f>IF(E642="HERRAJE",A642*O642,M642*O642)</f>
        <v>65.184494163934431</v>
      </c>
      <c r="Q642" s="19">
        <f>IF(E642="HERRAJE",0,IFERROR(_xlfn.XLOOKUP(E642,'⚙️ Configuración Costos'!$E$5:$E$6,'⚙️ Configuración Costos'!$F$5:$F$6),""))</f>
        <v>9.5</v>
      </c>
      <c r="R642" s="19">
        <f>N642*Q642</f>
        <v>17.327999999999999</v>
      </c>
      <c r="S642" s="37">
        <f>P642+R642</f>
        <v>82.512494163934434</v>
      </c>
      <c r="T642" s="94" t="str">
        <f>IF(K642="","SIN ID MÓDULO",IF(E642="HERRAJE",IF(OR(O642="",O642&lt;=0),"SIN PRECIO HERRAJE","OK"),IF(OR(O642="",O642&lt;=0),"SIN PRECIO MATERIAL",IF(AND(N642&gt;0,OR(Q642="",Q642&lt;=0)),"SIN PRECIO CINTILLA","OK"))))</f>
        <v>OK</v>
      </c>
      <c r="U642" s="95" t="str">
        <f>IF(T642="OK","",IF(T642="SIN PRECIO HERRAJE","Capturar precio: "&amp;D642,IF(T642="SIN PRECIO MATERIAL","Configurar material: "&amp;E642,IF(T642="SIN PRECIO CINTILLA","Configurar cintilla: "&amp;E642,IF(T642="SIN ID MÓDULO","Revisar ID del módulo","")))))</f>
        <v/>
      </c>
      <c r="V642" s="96">
        <f>IF(T642="OK",0,IF(T642="",0,1))</f>
        <v>0</v>
      </c>
    </row>
    <row r="643" spans="1:22" x14ac:dyDescent="0.2">
      <c r="A643" s="35">
        <v>1</v>
      </c>
      <c r="B643" s="6">
        <v>566</v>
      </c>
      <c r="C643" s="6">
        <v>346</v>
      </c>
      <c r="D643" s="43" t="s">
        <v>470</v>
      </c>
      <c r="E643" s="43" t="s">
        <v>85</v>
      </c>
      <c r="F643" s="44">
        <v>1</v>
      </c>
      <c r="G643" s="44">
        <v>1</v>
      </c>
      <c r="H643" s="44">
        <v>1</v>
      </c>
      <c r="I643" s="44">
        <v>1</v>
      </c>
      <c r="J643" s="44">
        <v>1</v>
      </c>
      <c r="K643" s="16" t="s">
        <v>638</v>
      </c>
      <c r="L643" s="46" t="s">
        <v>344</v>
      </c>
      <c r="M643" s="17">
        <f>IF(AND(ISNUMBER(B643),ISNUMBER(C643),B643&gt;0,C643&gt;0),A643*(B643*C643/1000000),0)</f>
        <v>0.19583600000000001</v>
      </c>
      <c r="N643" s="18">
        <f>IF(AND(ISNUMBER(B643),B643&gt;0),A643*(((G643+H643)*B643+(I643+J643)*C643)/1000),0)</f>
        <v>1.8240000000000001</v>
      </c>
      <c r="O643" s="19">
        <f>IF(E643="HERRAJE",IFERROR(_xlfn.XLOOKUP(D643,'⚙️ Configuración Costos'!$A$11:$A$20,'⚙️ Configuración Costos'!$B$11:$B$20),""),IFERROR(_xlfn.XLOOKUP(E643,'⚙️ Configuración Costos'!$A$5:$A$6,'⚙️ Configuración Costos'!$B$5:$B$6),""))</f>
        <v>332.85245901639348</v>
      </c>
      <c r="P643" s="19">
        <f>IF(E643="HERRAJE",A643*O643,M643*O643)</f>
        <v>65.184494163934431</v>
      </c>
      <c r="Q643" s="19">
        <f>IF(E643="HERRAJE",0,IFERROR(_xlfn.XLOOKUP(E643,'⚙️ Configuración Costos'!$E$5:$E$6,'⚙️ Configuración Costos'!$F$5:$F$6),""))</f>
        <v>9.5</v>
      </c>
      <c r="R643" s="19">
        <f>N643*Q643</f>
        <v>17.327999999999999</v>
      </c>
      <c r="S643" s="37">
        <f>P643+R643</f>
        <v>82.512494163934434</v>
      </c>
      <c r="T643" s="94" t="str">
        <f>IF(K643="","SIN ID MÓDULO",IF(E643="HERRAJE",IF(OR(O643="",O643&lt;=0),"SIN PRECIO HERRAJE","OK"),IF(OR(O643="",O643&lt;=0),"SIN PRECIO MATERIAL",IF(AND(N643&gt;0,OR(Q643="",Q643&lt;=0)),"SIN PRECIO CINTILLA","OK"))))</f>
        <v>OK</v>
      </c>
      <c r="U643" s="95" t="str">
        <f>IF(T643="OK","",IF(T643="SIN PRECIO HERRAJE","Capturar precio: "&amp;D643,IF(T643="SIN PRECIO MATERIAL","Configurar material: "&amp;E643,IF(T643="SIN PRECIO CINTILLA","Configurar cintilla: "&amp;E643,IF(T643="SIN ID MÓDULO","Revisar ID del módulo","")))))</f>
        <v/>
      </c>
      <c r="V643" s="96">
        <f>IF(T643="OK",0,IF(T643="",0,1))</f>
        <v>0</v>
      </c>
    </row>
    <row r="644" spans="1:22" x14ac:dyDescent="0.2">
      <c r="A644" s="35">
        <v>1</v>
      </c>
      <c r="B644" s="6">
        <v>696</v>
      </c>
      <c r="C644" s="6">
        <v>356</v>
      </c>
      <c r="D644" s="7" t="s">
        <v>250</v>
      </c>
      <c r="E644" s="7" t="s">
        <v>85</v>
      </c>
      <c r="F644" s="8">
        <v>1</v>
      </c>
      <c r="G644" s="8">
        <v>1</v>
      </c>
      <c r="H644" s="8">
        <v>1</v>
      </c>
      <c r="I644" s="8">
        <v>1</v>
      </c>
      <c r="J644" s="8">
        <v>1</v>
      </c>
      <c r="K644" s="23" t="s">
        <v>638</v>
      </c>
      <c r="L644" s="47" t="s">
        <v>272</v>
      </c>
      <c r="M644" s="17">
        <f t="shared" si="336"/>
        <v>0.247776</v>
      </c>
      <c r="N644" s="18">
        <f t="shared" si="337"/>
        <v>2.1040000000000001</v>
      </c>
      <c r="O644" s="19">
        <f>IF(E644="HERRAJE",IFERROR(_xlfn.XLOOKUP(D644,'⚙️ Configuración Costos'!$A$11:$A$20,'⚙️ Configuración Costos'!$B$11:$B$20),""),IFERROR(_xlfn.XLOOKUP(E644,'⚙️ Configuración Costos'!$A$5:$A$6,'⚙️ Configuración Costos'!$B$5:$B$6),""))</f>
        <v>332.85245901639348</v>
      </c>
      <c r="P644" s="19">
        <f t="shared" si="338"/>
        <v>82.472850885245904</v>
      </c>
      <c r="Q644" s="19">
        <f>IF(E644="HERRAJE",0,IFERROR(_xlfn.XLOOKUP(E644,'⚙️ Configuración Costos'!$E$5:$E$6,'⚙️ Configuración Costos'!$F$5:$F$6),""))</f>
        <v>9.5</v>
      </c>
      <c r="R644" s="19">
        <f t="shared" si="339"/>
        <v>19.988</v>
      </c>
      <c r="S644" s="37">
        <f t="shared" si="340"/>
        <v>102.4608508852459</v>
      </c>
      <c r="T644" s="94" t="str">
        <f t="shared" si="341"/>
        <v>OK</v>
      </c>
      <c r="U644" s="95" t="str">
        <f t="shared" si="342"/>
        <v/>
      </c>
      <c r="V644" s="96">
        <f t="shared" si="343"/>
        <v>0</v>
      </c>
    </row>
    <row r="645" spans="1:22" x14ac:dyDescent="0.2">
      <c r="A645" s="35">
        <v>1</v>
      </c>
      <c r="B645" s="6">
        <v>696</v>
      </c>
      <c r="C645" s="6">
        <v>176</v>
      </c>
      <c r="D645" s="7" t="s">
        <v>252</v>
      </c>
      <c r="E645" s="7" t="s">
        <v>85</v>
      </c>
      <c r="F645" s="8">
        <v>1</v>
      </c>
      <c r="G645" s="8">
        <v>1</v>
      </c>
      <c r="H645" s="8">
        <v>1</v>
      </c>
      <c r="I645" s="8">
        <v>1</v>
      </c>
      <c r="J645" s="8">
        <v>1</v>
      </c>
      <c r="K645" s="23" t="s">
        <v>638</v>
      </c>
      <c r="L645" s="47" t="s">
        <v>273</v>
      </c>
      <c r="M645" s="17">
        <f t="shared" si="336"/>
        <v>0.12249599999999999</v>
      </c>
      <c r="N645" s="18">
        <f t="shared" si="337"/>
        <v>1.744</v>
      </c>
      <c r="O645" s="19">
        <f>IF(E645="HERRAJE",IFERROR(_xlfn.XLOOKUP(D645,'⚙️ Configuración Costos'!$A$11:$A$20,'⚙️ Configuración Costos'!$B$11:$B$20),""),IFERROR(_xlfn.XLOOKUP(E645,'⚙️ Configuración Costos'!$A$5:$A$6,'⚙️ Configuración Costos'!$B$5:$B$6),""))</f>
        <v>332.85245901639348</v>
      </c>
      <c r="P645" s="19">
        <f t="shared" si="338"/>
        <v>40.773094819672131</v>
      </c>
      <c r="Q645" s="19">
        <f>IF(E645="HERRAJE",0,IFERROR(_xlfn.XLOOKUP(E645,'⚙️ Configuración Costos'!$E$5:$E$6,'⚙️ Configuración Costos'!$F$5:$F$6),""))</f>
        <v>9.5</v>
      </c>
      <c r="R645" s="19">
        <f t="shared" si="339"/>
        <v>16.568000000000001</v>
      </c>
      <c r="S645" s="37">
        <f t="shared" si="340"/>
        <v>57.341094819672136</v>
      </c>
      <c r="T645" s="94" t="str">
        <f t="shared" si="341"/>
        <v>OK</v>
      </c>
      <c r="U645" s="95" t="str">
        <f t="shared" si="342"/>
        <v/>
      </c>
      <c r="V645" s="96">
        <f t="shared" si="343"/>
        <v>0</v>
      </c>
    </row>
    <row r="646" spans="1:22" x14ac:dyDescent="0.2">
      <c r="A646" s="35">
        <v>1</v>
      </c>
      <c r="B646" s="6">
        <v>696</v>
      </c>
      <c r="C646" s="6">
        <v>176</v>
      </c>
      <c r="D646" s="7" t="s">
        <v>254</v>
      </c>
      <c r="E646" s="7" t="s">
        <v>85</v>
      </c>
      <c r="F646" s="8">
        <v>1</v>
      </c>
      <c r="G646" s="8">
        <v>1</v>
      </c>
      <c r="H646" s="8">
        <v>1</v>
      </c>
      <c r="I646" s="8">
        <v>1</v>
      </c>
      <c r="J646" s="8">
        <v>1</v>
      </c>
      <c r="K646" s="23" t="s">
        <v>638</v>
      </c>
      <c r="L646" s="47" t="s">
        <v>274</v>
      </c>
      <c r="M646" s="17">
        <f t="shared" si="336"/>
        <v>0.12249599999999999</v>
      </c>
      <c r="N646" s="18">
        <f t="shared" si="337"/>
        <v>1.744</v>
      </c>
      <c r="O646" s="19">
        <f>IF(E646="HERRAJE",IFERROR(_xlfn.XLOOKUP(D646,'⚙️ Configuración Costos'!$A$11:$A$20,'⚙️ Configuración Costos'!$B$11:$B$20),""),IFERROR(_xlfn.XLOOKUP(E646,'⚙️ Configuración Costos'!$A$5:$A$6,'⚙️ Configuración Costos'!$B$5:$B$6),""))</f>
        <v>332.85245901639348</v>
      </c>
      <c r="P646" s="19">
        <f t="shared" si="338"/>
        <v>40.773094819672131</v>
      </c>
      <c r="Q646" s="19">
        <f>IF(E646="HERRAJE",0,IFERROR(_xlfn.XLOOKUP(E646,'⚙️ Configuración Costos'!$E$5:$E$6,'⚙️ Configuración Costos'!$F$5:$F$6),""))</f>
        <v>9.5</v>
      </c>
      <c r="R646" s="19">
        <f t="shared" si="339"/>
        <v>16.568000000000001</v>
      </c>
      <c r="S646" s="37">
        <f t="shared" si="340"/>
        <v>57.341094819672136</v>
      </c>
      <c r="T646" s="94" t="str">
        <f t="shared" si="341"/>
        <v>OK</v>
      </c>
      <c r="U646" s="95" t="str">
        <f t="shared" si="342"/>
        <v/>
      </c>
      <c r="V646" s="96">
        <f t="shared" si="343"/>
        <v>0</v>
      </c>
    </row>
    <row r="647" spans="1:22" x14ac:dyDescent="0.2">
      <c r="A647" s="35">
        <v>3</v>
      </c>
      <c r="B647" s="6">
        <v>0</v>
      </c>
      <c r="C647" s="6">
        <v>0</v>
      </c>
      <c r="D647" s="7" t="s">
        <v>256</v>
      </c>
      <c r="E647" s="7" t="s">
        <v>91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23" t="s">
        <v>638</v>
      </c>
      <c r="L647" s="47" t="s">
        <v>257</v>
      </c>
      <c r="M647" s="17">
        <f t="shared" si="336"/>
        <v>0</v>
      </c>
      <c r="N647" s="18">
        <f t="shared" si="337"/>
        <v>0</v>
      </c>
      <c r="O647" s="19">
        <f>IF(E647="HERRAJE",IFERROR(_xlfn.XLOOKUP(D647,'⚙️ Configuración Costos'!$A$11:$A$20,'⚙️ Configuración Costos'!$B$11:$B$20),""),IFERROR(_xlfn.XLOOKUP(E647,'⚙️ Configuración Costos'!$A$5:$A$6,'⚙️ Configuración Costos'!$B$5:$B$6),""))</f>
        <v>125</v>
      </c>
      <c r="P647" s="19">
        <f t="shared" si="338"/>
        <v>375</v>
      </c>
      <c r="Q647" s="19">
        <f>IF(E647="HERRAJE",0,IFERROR(_xlfn.XLOOKUP(E647,'⚙️ Configuración Costos'!$E$5:$E$6,'⚙️ Configuración Costos'!$F$5:$F$6),""))</f>
        <v>0</v>
      </c>
      <c r="R647" s="19">
        <f t="shared" si="339"/>
        <v>0</v>
      </c>
      <c r="S647" s="37">
        <f t="shared" si="340"/>
        <v>375</v>
      </c>
      <c r="T647" s="94" t="str">
        <f t="shared" si="341"/>
        <v>OK</v>
      </c>
      <c r="U647" s="95" t="str">
        <f t="shared" si="342"/>
        <v/>
      </c>
      <c r="V647" s="96">
        <f t="shared" si="343"/>
        <v>0</v>
      </c>
    </row>
    <row r="648" spans="1:22" x14ac:dyDescent="0.2">
      <c r="A648" s="35">
        <v>4</v>
      </c>
      <c r="B648" s="6">
        <v>0</v>
      </c>
      <c r="C648" s="6">
        <v>0</v>
      </c>
      <c r="D648" s="7" t="s">
        <v>90</v>
      </c>
      <c r="E648" s="7" t="s">
        <v>91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16" t="s">
        <v>638</v>
      </c>
      <c r="L648" s="47" t="s">
        <v>92</v>
      </c>
      <c r="M648" s="17">
        <f t="shared" ref="M648:M653" si="344">IF(AND(ISNUMBER(B648),ISNUMBER(C648),B648&gt;0,C648&gt;0),A648*(B648*C648/1000000),0)</f>
        <v>0</v>
      </c>
      <c r="N648" s="18">
        <f t="shared" ref="N648:N653" si="345">IF(AND(ISNUMBER(B648),B648&gt;0),A648*(((G648+H648)*B648+(I648+J648)*C648)/1000),0)</f>
        <v>0</v>
      </c>
      <c r="O648" s="19">
        <f>IF(E648="HERRAJE",IFERROR(_xlfn.XLOOKUP(D648,'⚙️ Configuración Costos'!$A$11:$A$20,'⚙️ Configuración Costos'!$B$11:$B$20),""),IFERROR(_xlfn.XLOOKUP(E648,'⚙️ Configuración Costos'!$A$5:$A$6,'⚙️ Configuración Costos'!$B$5:$B$6),""))</f>
        <v>20</v>
      </c>
      <c r="P648" s="19">
        <f t="shared" ref="P648:P653" si="346">IF(E648="HERRAJE",A648*O648,M648*O648)</f>
        <v>80</v>
      </c>
      <c r="Q648" s="19">
        <f>IF(E648="HERRAJE",0,IFERROR(_xlfn.XLOOKUP(E648,'⚙️ Configuración Costos'!$E$5:$E$6,'⚙️ Configuración Costos'!$F$5:$F$6),""))</f>
        <v>0</v>
      </c>
      <c r="R648" s="19">
        <f t="shared" ref="R648:R653" si="347">N648*Q648</f>
        <v>0</v>
      </c>
      <c r="S648" s="37">
        <f t="shared" ref="S648:S653" si="348">P648+R648</f>
        <v>80</v>
      </c>
      <c r="T648" s="94" t="str">
        <f t="shared" ref="T648:T653" si="349">IF(K648="","SIN ID MÓDULO",IF(E648="HERRAJE",IF(OR(O648="",O648&lt;=0),"SIN PRECIO HERRAJE","OK"),IF(OR(O648="",O648&lt;=0),"SIN PRECIO MATERIAL",IF(AND(N648&gt;0,OR(Q648="",Q648&lt;=0)),"SIN PRECIO CINTILLA","OK"))))</f>
        <v>OK</v>
      </c>
      <c r="U648" s="95" t="str">
        <f t="shared" ref="U648:U653" si="350">IF(T648="OK","",IF(T648="SIN PRECIO HERRAJE","Capturar precio: "&amp;D648,IF(T648="SIN PRECIO MATERIAL","Configurar material: "&amp;E648,IF(T648="SIN PRECIO CINTILLA","Configurar cintilla: "&amp;E648,IF(T648="SIN ID MÓDULO","Revisar ID del módulo","")))))</f>
        <v/>
      </c>
      <c r="V648" s="96">
        <f t="shared" ref="V648:V653" si="351">IF(T648="OK",0,IF(T648="",0,1))</f>
        <v>0</v>
      </c>
    </row>
    <row r="649" spans="1:22" x14ac:dyDescent="0.2">
      <c r="A649" s="35">
        <v>5</v>
      </c>
      <c r="B649" s="6">
        <v>0</v>
      </c>
      <c r="C649" s="6">
        <v>0</v>
      </c>
      <c r="D649" s="7" t="s">
        <v>93</v>
      </c>
      <c r="E649" s="7" t="s">
        <v>91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16" t="s">
        <v>638</v>
      </c>
      <c r="L649" s="47" t="s">
        <v>94</v>
      </c>
      <c r="M649" s="17">
        <f t="shared" si="344"/>
        <v>0</v>
      </c>
      <c r="N649" s="18">
        <f t="shared" si="345"/>
        <v>0</v>
      </c>
      <c r="O649" s="19">
        <f>IF(E649="HERRAJE",IFERROR(_xlfn.XLOOKUP(D649,'⚙️ Configuración Costos'!$A$11:$A$20,'⚙️ Configuración Costos'!$B$11:$B$20),""),IFERROR(_xlfn.XLOOKUP(E649,'⚙️ Configuración Costos'!$A$5:$A$6,'⚙️ Configuración Costos'!$B$5:$B$6),""))</f>
        <v>15</v>
      </c>
      <c r="P649" s="19">
        <f t="shared" si="346"/>
        <v>75</v>
      </c>
      <c r="Q649" s="19">
        <f>IF(E649="HERRAJE",0,IFERROR(_xlfn.XLOOKUP(E649,'⚙️ Configuración Costos'!$E$5:$E$6,'⚙️ Configuración Costos'!$F$5:$F$6),""))</f>
        <v>0</v>
      </c>
      <c r="R649" s="19">
        <f t="shared" si="347"/>
        <v>0</v>
      </c>
      <c r="S649" s="37">
        <f t="shared" si="348"/>
        <v>75</v>
      </c>
      <c r="T649" s="94" t="str">
        <f t="shared" si="349"/>
        <v>OK</v>
      </c>
      <c r="U649" s="95" t="str">
        <f t="shared" si="350"/>
        <v/>
      </c>
      <c r="V649" s="96">
        <f t="shared" si="351"/>
        <v>0</v>
      </c>
    </row>
    <row r="650" spans="1:22" x14ac:dyDescent="0.2">
      <c r="A650" s="35">
        <v>6</v>
      </c>
      <c r="B650" s="6">
        <v>0</v>
      </c>
      <c r="C650" s="6">
        <v>0</v>
      </c>
      <c r="D650" s="7" t="s">
        <v>186</v>
      </c>
      <c r="E650" s="7" t="s">
        <v>91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16" t="s">
        <v>638</v>
      </c>
      <c r="L650" s="47" t="s">
        <v>187</v>
      </c>
      <c r="M650" s="17">
        <f t="shared" si="344"/>
        <v>0</v>
      </c>
      <c r="N650" s="18">
        <f t="shared" si="345"/>
        <v>0</v>
      </c>
      <c r="O650" s="19">
        <f>IF(E650="HERRAJE",IFERROR(_xlfn.XLOOKUP(D650,'⚙️ Configuración Costos'!$A$11:$A$20,'⚙️ Configuración Costos'!$B$11:$B$20),""),IFERROR(_xlfn.XLOOKUP(E650,'⚙️ Configuración Costos'!$A$5:$A$6,'⚙️ Configuración Costos'!$B$5:$B$6),""))</f>
        <v>15</v>
      </c>
      <c r="P650" s="19">
        <f t="shared" si="346"/>
        <v>90</v>
      </c>
      <c r="Q650" s="19">
        <f>IF(E650="HERRAJE",0,IFERROR(_xlfn.XLOOKUP(E650,'⚙️ Configuración Costos'!$E$5:$E$6,'⚙️ Configuración Costos'!$F$5:$F$6),""))</f>
        <v>0</v>
      </c>
      <c r="R650" s="19">
        <f t="shared" si="347"/>
        <v>0</v>
      </c>
      <c r="S650" s="37">
        <f t="shared" si="348"/>
        <v>90</v>
      </c>
      <c r="T650" s="94" t="str">
        <f t="shared" si="349"/>
        <v>OK</v>
      </c>
      <c r="U650" s="95" t="str">
        <f t="shared" si="350"/>
        <v/>
      </c>
      <c r="V650" s="96">
        <f t="shared" si="351"/>
        <v>0</v>
      </c>
    </row>
    <row r="651" spans="1:22" x14ac:dyDescent="0.2">
      <c r="A651" s="35">
        <v>4</v>
      </c>
      <c r="B651" s="6">
        <v>0</v>
      </c>
      <c r="C651" s="6">
        <v>0</v>
      </c>
      <c r="D651" s="7" t="s">
        <v>95</v>
      </c>
      <c r="E651" s="7" t="s">
        <v>91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16" t="s">
        <v>638</v>
      </c>
      <c r="L651" s="47" t="s">
        <v>96</v>
      </c>
      <c r="M651" s="17">
        <f t="shared" si="344"/>
        <v>0</v>
      </c>
      <c r="N651" s="18">
        <f t="shared" si="345"/>
        <v>0</v>
      </c>
      <c r="O651" s="19">
        <f>IF(E651="HERRAJE",IFERROR(_xlfn.XLOOKUP(D651,'⚙️ Configuración Costos'!$A$11:$A$20,'⚙️ Configuración Costos'!$B$11:$B$20),""),IFERROR(_xlfn.XLOOKUP(E651,'⚙️ Configuración Costos'!$A$5:$A$6,'⚙️ Configuración Costos'!$B$5:$B$6),""))</f>
        <v>2</v>
      </c>
      <c r="P651" s="19">
        <f t="shared" si="346"/>
        <v>8</v>
      </c>
      <c r="Q651" s="19">
        <f>IF(E651="HERRAJE",0,IFERROR(_xlfn.XLOOKUP(E651,'⚙️ Configuración Costos'!$E$5:$E$6,'⚙️ Configuración Costos'!$F$5:$F$6),""))</f>
        <v>0</v>
      </c>
      <c r="R651" s="19">
        <f t="shared" si="347"/>
        <v>0</v>
      </c>
      <c r="S651" s="37">
        <f t="shared" si="348"/>
        <v>8</v>
      </c>
      <c r="T651" s="94" t="str">
        <f t="shared" si="349"/>
        <v>OK</v>
      </c>
      <c r="U651" s="95" t="str">
        <f t="shared" si="350"/>
        <v/>
      </c>
      <c r="V651" s="96">
        <f t="shared" si="351"/>
        <v>0</v>
      </c>
    </row>
    <row r="652" spans="1:22" x14ac:dyDescent="0.2">
      <c r="A652" s="36" cm="1">
        <f t="array" ref="A652">4*SUMPRODUCT(A626:A636,--(((LEFT(D626:D636,4)="Base")+(LEFT(D626:D636,4)="Piso")+(LEFT(D626:D636,5)="Techo"))&gt;0))+10*SUMPRODUCT(A626:A636,--(LEFT(D626:D636,8)="Respaldo"))+2*SUMPRODUCT(A626:A636,--(LEFT(D626:D636,8)="Manguete"))</f>
        <v>28</v>
      </c>
      <c r="B652" s="20">
        <v>0</v>
      </c>
      <c r="C652" s="20">
        <v>0</v>
      </c>
      <c r="D652" s="21" t="s">
        <v>400</v>
      </c>
      <c r="E652" s="21" t="s">
        <v>91</v>
      </c>
      <c r="F652" s="22">
        <v>0</v>
      </c>
      <c r="G652" s="22">
        <v>0</v>
      </c>
      <c r="H652" s="22">
        <v>0</v>
      </c>
      <c r="I652" s="22">
        <v>0</v>
      </c>
      <c r="J652" s="22">
        <v>0</v>
      </c>
      <c r="K652" s="16" t="s">
        <v>638</v>
      </c>
      <c r="L652" s="48" t="s">
        <v>360</v>
      </c>
      <c r="M652" s="17">
        <f t="shared" si="344"/>
        <v>0</v>
      </c>
      <c r="N652" s="18">
        <f t="shared" si="345"/>
        <v>0</v>
      </c>
      <c r="O652" s="19">
        <f>IF(E652="HERRAJE",IFERROR(_xlfn.XLOOKUP(D652,'⚙️ Configuración Costos'!$A$11:$A$20,'⚙️ Configuración Costos'!$B$11:$B$20),""),IFERROR(_xlfn.XLOOKUP(E652,'⚙️ Configuración Costos'!$A$5:$A$6,'⚙️ Configuración Costos'!$B$5:$B$6),""))</f>
        <v>3</v>
      </c>
      <c r="P652" s="19">
        <f t="shared" si="346"/>
        <v>84</v>
      </c>
      <c r="Q652" s="19">
        <f>IF(E652="HERRAJE",0,IFERROR(_xlfn.XLOOKUP(E652,'⚙️ Configuración Costos'!$E$5:$E$6,'⚙️ Configuración Costos'!$F$5:$F$6),""))</f>
        <v>0</v>
      </c>
      <c r="R652" s="19">
        <f t="shared" si="347"/>
        <v>0</v>
      </c>
      <c r="S652" s="37">
        <f t="shared" si="348"/>
        <v>84</v>
      </c>
      <c r="T652" s="94" t="str">
        <f t="shared" si="349"/>
        <v>OK</v>
      </c>
      <c r="U652" s="95" t="str">
        <f t="shared" si="350"/>
        <v/>
      </c>
      <c r="V652" s="96">
        <f t="shared" si="351"/>
        <v>0</v>
      </c>
    </row>
    <row r="653" spans="1:22" ht="16" thickBot="1" x14ac:dyDescent="0.25">
      <c r="A653" s="36" cm="1">
        <f t="array" ref="A653">6*SUMPRODUCT(A626:A636,--(((LEFT(D626:D636,4)="Base")+(LEFT(D626:D636,4)="Piso")+(LEFT(D626:D636,5)="Techo"))&gt;0))+10*SUMPRODUCT(A626:A636,--(LEFT(D626:D636,8)="Respaldo"))+4*SUMPRODUCT(A626:A636,--(LEFT(D626:D636,8)="Manguete"))</f>
        <v>38</v>
      </c>
      <c r="B653" s="20">
        <v>0</v>
      </c>
      <c r="C653" s="20">
        <v>0</v>
      </c>
      <c r="D653" s="21" t="s">
        <v>468</v>
      </c>
      <c r="E653" s="21" t="s">
        <v>91</v>
      </c>
      <c r="F653" s="22">
        <v>0</v>
      </c>
      <c r="G653" s="22">
        <v>0</v>
      </c>
      <c r="H653" s="22">
        <v>0</v>
      </c>
      <c r="I653" s="22">
        <v>0</v>
      </c>
      <c r="J653" s="22">
        <v>0</v>
      </c>
      <c r="K653" s="16" t="s">
        <v>638</v>
      </c>
      <c r="L653" s="48" t="s">
        <v>361</v>
      </c>
      <c r="M653" s="17">
        <f t="shared" si="344"/>
        <v>0</v>
      </c>
      <c r="N653" s="18">
        <f t="shared" si="345"/>
        <v>0</v>
      </c>
      <c r="O653" s="19">
        <f>IF(E653="HERRAJE",IFERROR(_xlfn.XLOOKUP(D653,'⚙️ Configuración Costos'!$A$11:$A$20,'⚙️ Configuración Costos'!$B$11:$B$20),""),IFERROR(_xlfn.XLOOKUP(E653,'⚙️ Configuración Costos'!$A$5:$A$6,'⚙️ Configuración Costos'!$B$5:$B$6),""))</f>
        <v>1</v>
      </c>
      <c r="P653" s="19">
        <f t="shared" si="346"/>
        <v>38</v>
      </c>
      <c r="Q653" s="19">
        <f>IF(E653="HERRAJE",0,IFERROR(_xlfn.XLOOKUP(E653,'⚙️ Configuración Costos'!$E$5:$E$6,'⚙️ Configuración Costos'!$F$5:$F$6),""))</f>
        <v>0</v>
      </c>
      <c r="R653" s="19">
        <f t="shared" si="347"/>
        <v>0</v>
      </c>
      <c r="S653" s="37">
        <f t="shared" si="348"/>
        <v>38</v>
      </c>
      <c r="T653" s="94" t="str">
        <f t="shared" si="349"/>
        <v>OK</v>
      </c>
      <c r="U653" s="95" t="str">
        <f t="shared" si="350"/>
        <v/>
      </c>
      <c r="V653" s="96">
        <f t="shared" si="351"/>
        <v>0</v>
      </c>
    </row>
    <row r="654" spans="1:22" ht="16" thickTop="1" x14ac:dyDescent="0.2">
      <c r="A654" s="27" t="s">
        <v>99</v>
      </c>
      <c r="B654" s="27"/>
      <c r="C654" s="27"/>
      <c r="D654" s="28"/>
      <c r="E654" s="28"/>
      <c r="F654" s="29"/>
      <c r="G654" s="29"/>
      <c r="H654" s="29"/>
      <c r="I654" s="29"/>
      <c r="J654" s="29"/>
      <c r="K654" s="30"/>
      <c r="L654" s="49"/>
      <c r="M654" s="33">
        <f>SUM(M626:M653)</f>
        <v>8.2473559999999999</v>
      </c>
      <c r="N654" s="33">
        <f>SUM(N626:N653)</f>
        <v>43.052</v>
      </c>
      <c r="O654" s="33"/>
      <c r="P654" s="33">
        <f>SUM(P626:P653)</f>
        <v>3495.1527249836063</v>
      </c>
      <c r="Q654" s="33"/>
      <c r="R654" s="33">
        <f>SUM(R626:R653)</f>
        <v>408.99399999999997</v>
      </c>
      <c r="S654" s="33">
        <f>SUM(S626:S653)</f>
        <v>3904.1467249836064</v>
      </c>
      <c r="T654" s="97"/>
      <c r="U654" s="98"/>
      <c r="V654" s="99"/>
    </row>
    <row r="684" spans="1:22" x14ac:dyDescent="0.2">
      <c r="A684" s="186" t="s">
        <v>345</v>
      </c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8"/>
      <c r="T684" s="97"/>
      <c r="U684" s="98"/>
      <c r="V684" s="99"/>
    </row>
    <row r="685" spans="1:22" x14ac:dyDescent="0.2">
      <c r="A685" s="35">
        <v>1</v>
      </c>
      <c r="B685" s="6">
        <v>2100</v>
      </c>
      <c r="C685" s="6">
        <v>610</v>
      </c>
      <c r="D685" s="43" t="s">
        <v>63</v>
      </c>
      <c r="E685" s="43" t="s">
        <v>85</v>
      </c>
      <c r="F685" s="8">
        <v>1</v>
      </c>
      <c r="G685" s="44">
        <v>1</v>
      </c>
      <c r="H685" s="44">
        <v>1</v>
      </c>
      <c r="I685" s="44">
        <v>1</v>
      </c>
      <c r="J685" s="44">
        <v>1</v>
      </c>
      <c r="K685" s="16" t="s">
        <v>38</v>
      </c>
      <c r="L685" s="46" t="s">
        <v>346</v>
      </c>
      <c r="M685" s="17">
        <f t="shared" ref="M685:M694" si="352">IF(AND(ISNUMBER(B685),ISNUMBER(C685),B685&gt;0,C685&gt;0),A685*(B685*C685/1000000),0)</f>
        <v>1.2809999999999999</v>
      </c>
      <c r="N685" s="18">
        <f t="shared" ref="N685:N694" si="353">IF(AND(ISNUMBER(B685),B685&gt;0),A685*(((G685+H685)*B685+(I685+J685)*C685)/1000),0)</f>
        <v>5.42</v>
      </c>
      <c r="O685" s="19">
        <f>IF(E685="HERRAJE",IFERROR(_xlfn.XLOOKUP(D685,'⚙️ Configuración Costos'!$A$11:$A$20,'⚙️ Configuración Costos'!$B$11:$B$20),""),IFERROR(_xlfn.XLOOKUP(E685,'⚙️ Configuración Costos'!$A$5:$A$6,'⚙️ Configuración Costos'!$B$5:$B$6),""))</f>
        <v>332.85245901639348</v>
      </c>
      <c r="P685" s="19">
        <f t="shared" ref="P685:P694" si="354">IF(E685="HERRAJE",A685*O685,M685*O685)</f>
        <v>426.38400000000001</v>
      </c>
      <c r="Q685" s="19">
        <f>IF(E685="HERRAJE",0,IFERROR(_xlfn.XLOOKUP(E685,'⚙️ Configuración Costos'!$E$5:$E$6,'⚙️ Configuración Costos'!$F$5:$F$6),""))</f>
        <v>9.5</v>
      </c>
      <c r="R685" s="19">
        <f t="shared" ref="R685:R694" si="355">N685*Q685</f>
        <v>51.49</v>
      </c>
      <c r="S685" s="37">
        <f t="shared" ref="S685:S694" si="356">P685+R685</f>
        <v>477.87400000000002</v>
      </c>
      <c r="T685" s="94" t="str">
        <f t="shared" ref="T685:T694" si="357">IF(K685="","SIN ID MÓDULO",IF(E685="HERRAJE",IF(OR(O685="",O685&lt;=0),"SIN PRECIO HERRAJE","OK"),IF(OR(O685="",O685&lt;=0),"SIN PRECIO MATERIAL",IF(AND(N685&gt;0,OR(Q685="",Q685&lt;=0)),"SIN PRECIO CINTILLA","OK"))))</f>
        <v>OK</v>
      </c>
      <c r="U685" s="95" t="str">
        <f t="shared" ref="U685:U694" si="358">IF(T685="OK","",IF(T685="SIN PRECIO HERRAJE","Capturar precio: "&amp;D685,IF(T685="SIN PRECIO MATERIAL","Configurar material: "&amp;E685,IF(T685="SIN PRECIO CINTILLA","Configurar cintilla: "&amp;E685,IF(T685="SIN ID MÓDULO","Revisar ID del módulo","")))))</f>
        <v/>
      </c>
      <c r="V685" s="96">
        <f t="shared" ref="V685:V694" si="359">IF(T685="OK",0,IF(T685="",0,1))</f>
        <v>0</v>
      </c>
    </row>
    <row r="686" spans="1:22" x14ac:dyDescent="0.2">
      <c r="A686" s="35">
        <v>1</v>
      </c>
      <c r="B686" s="6">
        <v>2100</v>
      </c>
      <c r="C686" s="6">
        <v>610</v>
      </c>
      <c r="D686" s="43" t="s">
        <v>66</v>
      </c>
      <c r="E686" s="43" t="s">
        <v>85</v>
      </c>
      <c r="F686" s="8">
        <v>1</v>
      </c>
      <c r="G686" s="44">
        <v>1</v>
      </c>
      <c r="H686" s="44">
        <v>1</v>
      </c>
      <c r="I686" s="44">
        <v>1</v>
      </c>
      <c r="J686" s="44">
        <v>1</v>
      </c>
      <c r="K686" s="16" t="s">
        <v>38</v>
      </c>
      <c r="L686" s="46" t="s">
        <v>348</v>
      </c>
      <c r="M686" s="17">
        <f t="shared" si="352"/>
        <v>1.2809999999999999</v>
      </c>
      <c r="N686" s="18">
        <f t="shared" si="353"/>
        <v>5.42</v>
      </c>
      <c r="O686" s="19">
        <f>IF(E686="HERRAJE",IFERROR(_xlfn.XLOOKUP(D686,'⚙️ Configuración Costos'!$A$11:$A$20,'⚙️ Configuración Costos'!$B$11:$B$20),""),IFERROR(_xlfn.XLOOKUP(E686,'⚙️ Configuración Costos'!$A$5:$A$6,'⚙️ Configuración Costos'!$B$5:$B$6),""))</f>
        <v>332.85245901639348</v>
      </c>
      <c r="P686" s="19">
        <f t="shared" si="354"/>
        <v>426.38400000000001</v>
      </c>
      <c r="Q686" s="19">
        <f>IF(E686="HERRAJE",0,IFERROR(_xlfn.XLOOKUP(E686,'⚙️ Configuración Costos'!$E$5:$E$6,'⚙️ Configuración Costos'!$F$5:$F$6),""))</f>
        <v>9.5</v>
      </c>
      <c r="R686" s="19">
        <f t="shared" si="355"/>
        <v>51.49</v>
      </c>
      <c r="S686" s="37">
        <f t="shared" si="356"/>
        <v>477.87400000000002</v>
      </c>
      <c r="T686" s="94" t="str">
        <f t="shared" si="357"/>
        <v>OK</v>
      </c>
      <c r="U686" s="95" t="str">
        <f t="shared" si="358"/>
        <v/>
      </c>
      <c r="V686" s="96">
        <f t="shared" si="359"/>
        <v>0</v>
      </c>
    </row>
    <row r="687" spans="1:22" x14ac:dyDescent="0.2">
      <c r="A687" s="35">
        <v>1</v>
      </c>
      <c r="B687" s="6">
        <v>2069</v>
      </c>
      <c r="C687" s="6">
        <v>369</v>
      </c>
      <c r="D687" s="43" t="s">
        <v>491</v>
      </c>
      <c r="E687" s="43" t="s">
        <v>85</v>
      </c>
      <c r="F687" s="8">
        <v>1</v>
      </c>
      <c r="G687" s="44">
        <v>0</v>
      </c>
      <c r="H687" s="44">
        <v>0</v>
      </c>
      <c r="I687" s="44">
        <v>0</v>
      </c>
      <c r="J687" s="44">
        <v>0</v>
      </c>
      <c r="K687" s="16" t="s">
        <v>38</v>
      </c>
      <c r="L687" s="46" t="s">
        <v>337</v>
      </c>
      <c r="M687" s="17">
        <f t="shared" si="352"/>
        <v>0.76346099999999995</v>
      </c>
      <c r="N687" s="18">
        <f t="shared" si="353"/>
        <v>0</v>
      </c>
      <c r="O687" s="19">
        <f>IF(E687="HERRAJE",IFERROR(_xlfn.XLOOKUP(D687,'⚙️ Configuración Costos'!$A$11:$A$20,'⚙️ Configuración Costos'!$B$11:$B$20),""),IFERROR(_xlfn.XLOOKUP(E687,'⚙️ Configuración Costos'!$A$5:$A$6,'⚙️ Configuración Costos'!$B$5:$B$6),""))</f>
        <v>332.85245901639348</v>
      </c>
      <c r="P687" s="19">
        <f t="shared" si="354"/>
        <v>254.11987121311478</v>
      </c>
      <c r="Q687" s="19">
        <f>IF(E687="HERRAJE",0,IFERROR(_xlfn.XLOOKUP(E687,'⚙️ Configuración Costos'!$E$5:$E$6,'⚙️ Configuración Costos'!$F$5:$F$6),""))</f>
        <v>9.5</v>
      </c>
      <c r="R687" s="19">
        <f t="shared" si="355"/>
        <v>0</v>
      </c>
      <c r="S687" s="37">
        <f t="shared" si="356"/>
        <v>254.11987121311478</v>
      </c>
      <c r="T687" s="94" t="str">
        <f t="shared" si="357"/>
        <v>OK</v>
      </c>
      <c r="U687" s="95" t="str">
        <f t="shared" si="358"/>
        <v/>
      </c>
      <c r="V687" s="96">
        <f t="shared" si="359"/>
        <v>0</v>
      </c>
    </row>
    <row r="688" spans="1:22" x14ac:dyDescent="0.2">
      <c r="A688" s="35">
        <v>1</v>
      </c>
      <c r="B688" s="6">
        <v>369</v>
      </c>
      <c r="C688" s="6">
        <v>610</v>
      </c>
      <c r="D688" s="43" t="s">
        <v>300</v>
      </c>
      <c r="E688" s="43" t="s">
        <v>85</v>
      </c>
      <c r="F688" s="8">
        <v>1</v>
      </c>
      <c r="G688" s="44">
        <v>0</v>
      </c>
      <c r="H688" s="44">
        <v>0</v>
      </c>
      <c r="I688" s="44">
        <v>1</v>
      </c>
      <c r="J688" s="44">
        <v>1</v>
      </c>
      <c r="K688" s="16" t="s">
        <v>38</v>
      </c>
      <c r="L688" s="47" t="s">
        <v>316</v>
      </c>
      <c r="M688" s="17">
        <f t="shared" si="352"/>
        <v>0.22509000000000001</v>
      </c>
      <c r="N688" s="18">
        <f t="shared" si="353"/>
        <v>1.22</v>
      </c>
      <c r="O688" s="19">
        <f>IF(E688="HERRAJE",IFERROR(_xlfn.XLOOKUP(D688,'⚙️ Configuración Costos'!$A$11:$A$20,'⚙️ Configuración Costos'!$B$11:$B$20),""),IFERROR(_xlfn.XLOOKUP(E688,'⚙️ Configuración Costos'!$A$5:$A$6,'⚙️ Configuración Costos'!$B$5:$B$6),""))</f>
        <v>332.85245901639348</v>
      </c>
      <c r="P688" s="19">
        <f t="shared" si="354"/>
        <v>74.921760000000006</v>
      </c>
      <c r="Q688" s="19">
        <f>IF(E688="HERRAJE",0,IFERROR(_xlfn.XLOOKUP(E688,'⚙️ Configuración Costos'!$E$5:$E$6,'⚙️ Configuración Costos'!$F$5:$F$6),""))</f>
        <v>9.5</v>
      </c>
      <c r="R688" s="19">
        <f t="shared" si="355"/>
        <v>11.59</v>
      </c>
      <c r="S688" s="37">
        <f t="shared" si="356"/>
        <v>86.51176000000001</v>
      </c>
      <c r="T688" s="94" t="str">
        <f t="shared" si="357"/>
        <v>OK</v>
      </c>
      <c r="U688" s="95" t="str">
        <f t="shared" si="358"/>
        <v/>
      </c>
      <c r="V688" s="96">
        <f t="shared" si="359"/>
        <v>0</v>
      </c>
    </row>
    <row r="689" spans="1:22" x14ac:dyDescent="0.2">
      <c r="A689" s="35">
        <v>1</v>
      </c>
      <c r="B689" s="6">
        <v>369</v>
      </c>
      <c r="C689" s="6">
        <v>610</v>
      </c>
      <c r="D689" s="43" t="s">
        <v>302</v>
      </c>
      <c r="E689" s="43" t="s">
        <v>85</v>
      </c>
      <c r="F689" s="8">
        <v>1</v>
      </c>
      <c r="G689" s="44">
        <v>0</v>
      </c>
      <c r="H689" s="44">
        <v>0</v>
      </c>
      <c r="I689" s="44">
        <v>1</v>
      </c>
      <c r="J689" s="44">
        <v>1</v>
      </c>
      <c r="K689" s="16" t="s">
        <v>38</v>
      </c>
      <c r="L689" s="47" t="s">
        <v>317</v>
      </c>
      <c r="M689" s="17">
        <f t="shared" si="352"/>
        <v>0.22509000000000001</v>
      </c>
      <c r="N689" s="18">
        <f t="shared" si="353"/>
        <v>1.22</v>
      </c>
      <c r="O689" s="19">
        <f>IF(E689="HERRAJE",IFERROR(_xlfn.XLOOKUP(D689,'⚙️ Configuración Costos'!$A$11:$A$20,'⚙️ Configuración Costos'!$B$11:$B$20),""),IFERROR(_xlfn.XLOOKUP(E689,'⚙️ Configuración Costos'!$A$5:$A$6,'⚙️ Configuración Costos'!$B$5:$B$6),""))</f>
        <v>332.85245901639348</v>
      </c>
      <c r="P689" s="19">
        <f t="shared" si="354"/>
        <v>74.921760000000006</v>
      </c>
      <c r="Q689" s="19">
        <f>IF(E689="HERRAJE",0,IFERROR(_xlfn.XLOOKUP(E689,'⚙️ Configuración Costos'!$E$5:$E$6,'⚙️ Configuración Costos'!$F$5:$F$6),""))</f>
        <v>9.5</v>
      </c>
      <c r="R689" s="19">
        <f t="shared" si="355"/>
        <v>11.59</v>
      </c>
      <c r="S689" s="37">
        <f t="shared" si="356"/>
        <v>86.51176000000001</v>
      </c>
      <c r="T689" s="94" t="str">
        <f t="shared" si="357"/>
        <v>OK</v>
      </c>
      <c r="U689" s="95" t="str">
        <f t="shared" si="358"/>
        <v/>
      </c>
      <c r="V689" s="96">
        <f t="shared" si="359"/>
        <v>0</v>
      </c>
    </row>
    <row r="690" spans="1:22" x14ac:dyDescent="0.2">
      <c r="A690" s="35">
        <v>3</v>
      </c>
      <c r="B690" s="6">
        <v>369</v>
      </c>
      <c r="C690" s="6">
        <v>570</v>
      </c>
      <c r="D690" s="43" t="s">
        <v>488</v>
      </c>
      <c r="E690" s="43" t="s">
        <v>85</v>
      </c>
      <c r="F690" s="8">
        <v>1</v>
      </c>
      <c r="G690" s="44">
        <v>1</v>
      </c>
      <c r="H690" s="44">
        <v>0</v>
      </c>
      <c r="I690" s="44">
        <v>0</v>
      </c>
      <c r="J690" s="44">
        <v>0</v>
      </c>
      <c r="K690" s="16" t="s">
        <v>38</v>
      </c>
      <c r="L690" s="47" t="s">
        <v>318</v>
      </c>
      <c r="M690" s="17">
        <f t="shared" si="352"/>
        <v>0.63098999999999994</v>
      </c>
      <c r="N690" s="18">
        <f t="shared" si="353"/>
        <v>1.107</v>
      </c>
      <c r="O690" s="19">
        <f>IF(E690="HERRAJE",IFERROR(_xlfn.XLOOKUP(D690,'⚙️ Configuración Costos'!$A$11:$A$20,'⚙️ Configuración Costos'!$B$11:$B$20),""),IFERROR(_xlfn.XLOOKUP(E690,'⚙️ Configuración Costos'!$A$5:$A$6,'⚙️ Configuración Costos'!$B$5:$B$6),""))</f>
        <v>332.85245901639348</v>
      </c>
      <c r="P690" s="19">
        <f t="shared" si="354"/>
        <v>210.02657311475411</v>
      </c>
      <c r="Q690" s="19">
        <f>IF(E690="HERRAJE",0,IFERROR(_xlfn.XLOOKUP(E690,'⚙️ Configuración Costos'!$E$5:$E$6,'⚙️ Configuración Costos'!$F$5:$F$6),""))</f>
        <v>9.5</v>
      </c>
      <c r="R690" s="19">
        <f t="shared" si="355"/>
        <v>10.516500000000001</v>
      </c>
      <c r="S690" s="37">
        <f t="shared" si="356"/>
        <v>220.54307311475412</v>
      </c>
      <c r="T690" s="94" t="str">
        <f t="shared" si="357"/>
        <v>OK</v>
      </c>
      <c r="U690" s="95" t="str">
        <f t="shared" si="358"/>
        <v/>
      </c>
      <c r="V690" s="96">
        <f t="shared" si="359"/>
        <v>0</v>
      </c>
    </row>
    <row r="691" spans="1:22" x14ac:dyDescent="0.2">
      <c r="A691" s="35">
        <v>6</v>
      </c>
      <c r="B691" s="6">
        <v>0</v>
      </c>
      <c r="C691" s="6">
        <v>0</v>
      </c>
      <c r="D691" s="7" t="s">
        <v>186</v>
      </c>
      <c r="E691" s="7" t="s">
        <v>91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16" t="s">
        <v>38</v>
      </c>
      <c r="L691" s="47" t="s">
        <v>187</v>
      </c>
      <c r="M691" s="17">
        <f t="shared" si="352"/>
        <v>0</v>
      </c>
      <c r="N691" s="18">
        <f t="shared" si="353"/>
        <v>0</v>
      </c>
      <c r="O691" s="19">
        <f>IF(E691="HERRAJE",IFERROR(_xlfn.XLOOKUP(D691,'⚙️ Configuración Costos'!$A$11:$A$20,'⚙️ Configuración Costos'!$B$11:$B$20),""),IFERROR(_xlfn.XLOOKUP(E691,'⚙️ Configuración Costos'!$A$5:$A$6,'⚙️ Configuración Costos'!$B$5:$B$6),""))</f>
        <v>15</v>
      </c>
      <c r="P691" s="19">
        <f t="shared" si="354"/>
        <v>90</v>
      </c>
      <c r="Q691" s="19">
        <f>IF(E691="HERRAJE",0,IFERROR(_xlfn.XLOOKUP(E691,'⚙️ Configuración Costos'!$E$5:$E$6,'⚙️ Configuración Costos'!$F$5:$F$6),""))</f>
        <v>0</v>
      </c>
      <c r="R691" s="19">
        <f t="shared" si="355"/>
        <v>0</v>
      </c>
      <c r="S691" s="37">
        <f t="shared" si="356"/>
        <v>90</v>
      </c>
      <c r="T691" s="94" t="str">
        <f t="shared" si="357"/>
        <v>OK</v>
      </c>
      <c r="U691" s="95" t="str">
        <f t="shared" si="358"/>
        <v/>
      </c>
      <c r="V691" s="96">
        <f t="shared" si="359"/>
        <v>0</v>
      </c>
    </row>
    <row r="692" spans="1:22" x14ac:dyDescent="0.2">
      <c r="A692" s="35">
        <v>4</v>
      </c>
      <c r="B692" s="6">
        <v>0</v>
      </c>
      <c r="C692" s="6">
        <v>0</v>
      </c>
      <c r="D692" s="7" t="s">
        <v>95</v>
      </c>
      <c r="E692" s="7" t="s">
        <v>91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16" t="s">
        <v>38</v>
      </c>
      <c r="L692" s="47" t="s">
        <v>96</v>
      </c>
      <c r="M692" s="17">
        <f t="shared" si="352"/>
        <v>0</v>
      </c>
      <c r="N692" s="18">
        <f t="shared" si="353"/>
        <v>0</v>
      </c>
      <c r="O692" s="19">
        <f>IF(E692="HERRAJE",IFERROR(_xlfn.XLOOKUP(D692,'⚙️ Configuración Costos'!$A$11:$A$20,'⚙️ Configuración Costos'!$B$11:$B$20),""),IFERROR(_xlfn.XLOOKUP(E692,'⚙️ Configuración Costos'!$A$5:$A$6,'⚙️ Configuración Costos'!$B$5:$B$6),""))</f>
        <v>2</v>
      </c>
      <c r="P692" s="19">
        <f t="shared" si="354"/>
        <v>8</v>
      </c>
      <c r="Q692" s="19">
        <f>IF(E692="HERRAJE",0,IFERROR(_xlfn.XLOOKUP(E692,'⚙️ Configuración Costos'!$E$5:$E$6,'⚙️ Configuración Costos'!$F$5:$F$6),""))</f>
        <v>0</v>
      </c>
      <c r="R692" s="19">
        <f t="shared" si="355"/>
        <v>0</v>
      </c>
      <c r="S692" s="37">
        <f t="shared" si="356"/>
        <v>8</v>
      </c>
      <c r="T692" s="94" t="str">
        <f t="shared" si="357"/>
        <v>OK</v>
      </c>
      <c r="U692" s="95" t="str">
        <f t="shared" si="358"/>
        <v/>
      </c>
      <c r="V692" s="96">
        <f t="shared" si="359"/>
        <v>0</v>
      </c>
    </row>
    <row r="693" spans="1:22" x14ac:dyDescent="0.2">
      <c r="A693" s="36">
        <f>4*(IF(LEFT(D685,4)="Base",A685,0)+IF(LEFT(D685,4)="Piso",A685,0)+IF(LEFT(D685,5)="Techo",A685,0)+IF(LEFT(D686,4)="Base",A686,0)+IF(LEFT(D686,4)="Piso",A686,0)+IF(LEFT(D686,5)="Techo",A686,0)+IF(LEFT(D687,4)="Base",A687,0)+IF(LEFT(D687,4)="Piso",A687,0)+IF(LEFT(D687,5)="Techo",A687,0)+IF(LEFT(D688,4)="Base",A688,0)+IF(LEFT(D688,4)="Piso",A688,0)+IF(LEFT(D688,5)="Techo",A688,0)+IF(LEFT(D689,4)="Base",A689,0)+IF(LEFT(D689,4)="Piso",A689,0)+IF(LEFT(D689,5)="Techo",A689,0)+IF(LEFT(D690,4)="Base",A690,0)+IF(LEFT(D690,4)="Piso",A690,0)+IF(LEFT(D690,5)="Techo",A690,0))+10*(IF(LEFT(D685,8)="Respaldo",A685,0)+IF(LEFT(D686,8)="Respaldo",A686,0)+IF(LEFT(D687,8)="Respaldo",A687,0)+IF(LEFT(D688,8)="Respaldo",A688,0)+IF(LEFT(D689,8)="Respaldo",A689,0)+IF(LEFT(D690,8)="Respaldo",A690,0))+2*(IF(LEFT(D685,8)="Manguete",A685,0)+IF(LEFT(D686,8)="Manguete",A686,0)+IF(LEFT(D687,8)="Manguete",A687,0)+IF(LEFT(D688,8)="Manguete",A688,0)+IF(LEFT(D689,8)="Manguete",A689,0)+IF(LEFT(D690,8)="Manguete",A690,0))</f>
        <v>8</v>
      </c>
      <c r="B693" s="6">
        <v>0</v>
      </c>
      <c r="C693" s="6">
        <v>0</v>
      </c>
      <c r="D693" s="21" t="s">
        <v>400</v>
      </c>
      <c r="E693" s="21" t="s">
        <v>91</v>
      </c>
      <c r="F693" s="22">
        <v>0</v>
      </c>
      <c r="G693" s="22">
        <v>0</v>
      </c>
      <c r="H693" s="22">
        <v>0</v>
      </c>
      <c r="I693" s="22">
        <v>0</v>
      </c>
      <c r="J693" s="22">
        <v>0</v>
      </c>
      <c r="K693" s="16" t="s">
        <v>38</v>
      </c>
      <c r="L693" s="48" t="s">
        <v>360</v>
      </c>
      <c r="M693" s="17">
        <f t="shared" si="352"/>
        <v>0</v>
      </c>
      <c r="N693" s="18">
        <f t="shared" si="353"/>
        <v>0</v>
      </c>
      <c r="O693" s="19">
        <f>IF(E693="HERRAJE",IFERROR(_xlfn.XLOOKUP(D693,'⚙️ Configuración Costos'!$A$11:$A$20,'⚙️ Configuración Costos'!$B$11:$B$20),""),IFERROR(_xlfn.XLOOKUP(E693,'⚙️ Configuración Costos'!$A$5:$A$6,'⚙️ Configuración Costos'!$B$5:$B$6),""))</f>
        <v>3</v>
      </c>
      <c r="P693" s="19">
        <f t="shared" si="354"/>
        <v>24</v>
      </c>
      <c r="Q693" s="19">
        <f>IF(E693="HERRAJE",0,IFERROR(_xlfn.XLOOKUP(E693,'⚙️ Configuración Costos'!$E$5:$E$6,'⚙️ Configuración Costos'!$F$5:$F$6),""))</f>
        <v>0</v>
      </c>
      <c r="R693" s="19">
        <f t="shared" si="355"/>
        <v>0</v>
      </c>
      <c r="S693" s="37">
        <f t="shared" si="356"/>
        <v>24</v>
      </c>
      <c r="T693" s="94" t="str">
        <f t="shared" si="357"/>
        <v>OK</v>
      </c>
      <c r="U693" s="95" t="str">
        <f t="shared" si="358"/>
        <v/>
      </c>
      <c r="V693" s="96">
        <f t="shared" si="359"/>
        <v>0</v>
      </c>
    </row>
    <row r="694" spans="1:22" ht="16" thickBot="1" x14ac:dyDescent="0.25">
      <c r="A694" s="36">
        <f>6*(IF(LEFT(D685,4)="Base",A685,0)+IF(LEFT(D685,4)="Piso",A685,0)+IF(LEFT(D685,5)="Techo",A685,0)+IF(LEFT(D686,4)="Base",A686,0)+IF(LEFT(D686,4)="Piso",A686,0)+IF(LEFT(D686,5)="Techo",A686,0)+IF(LEFT(D687,4)="Base",A687,0)+IF(LEFT(D687,4)="Piso",A687,0)+IF(LEFT(D687,5)="Techo",A687,0)+IF(LEFT(D688,4)="Base",A688,0)+IF(LEFT(D688,4)="Piso",A688,0)+IF(LEFT(D688,5)="Techo",A688,0)+IF(LEFT(D689,4)="Base",A689,0)+IF(LEFT(D689,4)="Piso",A689,0)+IF(LEFT(D689,5)="Techo",A689,0)+IF(LEFT(D690,4)="Base",A690,0)+IF(LEFT(D690,4)="Piso",A690,0)+IF(LEFT(D690,5)="Techo",A690,0))+10*(IF(LEFT(D685,8)="Respaldo",A685,0)+IF(LEFT(D686,8)="Respaldo",A686,0)+IF(LEFT(D687,8)="Respaldo",A687,0)+IF(LEFT(D688,8)="Respaldo",A688,0)+IF(LEFT(D689,8)="Respaldo",A689,0)+IF(LEFT(D690,8)="Respaldo",A690,0))+4*(IF(LEFT(D685,8)="Manguete",A685,0)+IF(LEFT(D686,8)="Manguete",A686,0)+IF(LEFT(D687,8)="Manguete",A687,0)+IF(LEFT(D688,8)="Manguete",A688,0)+IF(LEFT(D689,8)="Manguete",A689,0)+IF(LEFT(D690,8)="Manguete",A690,0))</f>
        <v>12</v>
      </c>
      <c r="B694" s="6">
        <v>0</v>
      </c>
      <c r="C694" s="6">
        <v>0</v>
      </c>
      <c r="D694" s="21" t="s">
        <v>468</v>
      </c>
      <c r="E694" s="21" t="s">
        <v>91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16" t="s">
        <v>38</v>
      </c>
      <c r="L694" s="48" t="s">
        <v>361</v>
      </c>
      <c r="M694" s="17">
        <f t="shared" si="352"/>
        <v>0</v>
      </c>
      <c r="N694" s="18">
        <f t="shared" si="353"/>
        <v>0</v>
      </c>
      <c r="O694" s="19">
        <f>IF(E694="HERRAJE",IFERROR(_xlfn.XLOOKUP(D694,'⚙️ Configuración Costos'!$A$11:$A$20,'⚙️ Configuración Costos'!$B$11:$B$20),""),IFERROR(_xlfn.XLOOKUP(E694,'⚙️ Configuración Costos'!$A$5:$A$6,'⚙️ Configuración Costos'!$B$5:$B$6),""))</f>
        <v>1</v>
      </c>
      <c r="P694" s="19">
        <f t="shared" si="354"/>
        <v>12</v>
      </c>
      <c r="Q694" s="19">
        <f>IF(E694="HERRAJE",0,IFERROR(_xlfn.XLOOKUP(E694,'⚙️ Configuración Costos'!$E$5:$E$6,'⚙️ Configuración Costos'!$F$5:$F$6),""))</f>
        <v>0</v>
      </c>
      <c r="R694" s="19">
        <f t="shared" si="355"/>
        <v>0</v>
      </c>
      <c r="S694" s="37">
        <f t="shared" si="356"/>
        <v>12</v>
      </c>
      <c r="T694" s="94" t="str">
        <f t="shared" si="357"/>
        <v>OK</v>
      </c>
      <c r="U694" s="95" t="str">
        <f t="shared" si="358"/>
        <v/>
      </c>
      <c r="V694" s="96">
        <f t="shared" si="359"/>
        <v>0</v>
      </c>
    </row>
    <row r="695" spans="1:22" ht="16" thickTop="1" x14ac:dyDescent="0.2">
      <c r="A695" s="27" t="s">
        <v>99</v>
      </c>
      <c r="B695" s="27"/>
      <c r="C695" s="27"/>
      <c r="D695" s="28"/>
      <c r="E695" s="28"/>
      <c r="F695" s="29"/>
      <c r="G695" s="29"/>
      <c r="H695" s="29"/>
      <c r="I695" s="29"/>
      <c r="J695" s="29"/>
      <c r="K695" s="30"/>
      <c r="L695" s="49"/>
      <c r="M695" s="33">
        <f>SUM(M685:M694)</f>
        <v>4.4066309999999991</v>
      </c>
      <c r="N695" s="33">
        <f>SUM(N685:N694)</f>
        <v>14.387</v>
      </c>
      <c r="O695" s="33"/>
      <c r="P695" s="33">
        <f>SUM(P685:P694)</f>
        <v>1600.7579643278686</v>
      </c>
      <c r="Q695" s="33"/>
      <c r="R695" s="33">
        <f>SUM(R685:R694)</f>
        <v>136.6765</v>
      </c>
      <c r="S695" s="33">
        <f>SUM(S685:S694)</f>
        <v>1737.4344643278691</v>
      </c>
      <c r="T695" s="97"/>
      <c r="U695" s="98"/>
      <c r="V695" s="99"/>
    </row>
    <row r="696" spans="1:22" x14ac:dyDescent="0.2">
      <c r="A696" s="186" t="s">
        <v>349</v>
      </c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8"/>
      <c r="T696" s="97"/>
      <c r="U696" s="98"/>
      <c r="V696" s="99"/>
    </row>
    <row r="697" spans="1:22" ht="16" thickBot="1" x14ac:dyDescent="0.25">
      <c r="A697" s="35">
        <v>1</v>
      </c>
      <c r="B697" s="6">
        <v>340</v>
      </c>
      <c r="C697" s="6">
        <v>340</v>
      </c>
      <c r="D697" s="43" t="s">
        <v>350</v>
      </c>
      <c r="E697" s="43" t="s">
        <v>85</v>
      </c>
      <c r="F697" s="53">
        <v>1</v>
      </c>
      <c r="G697" s="44">
        <v>1</v>
      </c>
      <c r="H697" s="44">
        <v>1</v>
      </c>
      <c r="I697" s="44">
        <v>1</v>
      </c>
      <c r="J697" s="44">
        <v>1</v>
      </c>
      <c r="K697" s="16" t="s">
        <v>39</v>
      </c>
      <c r="L697" s="16" t="s">
        <v>39</v>
      </c>
      <c r="M697" s="17">
        <f t="shared" ref="M697" si="360">IF(AND(ISNUMBER(B697),ISNUMBER(C697),B697&gt;0,C697&gt;0),A697*(B697*C697/1000000),0)</f>
        <v>0.11559999999999999</v>
      </c>
      <c r="N697" s="18">
        <f t="shared" ref="N697" si="361">IF(AND(ISNUMBER(B697),B697&gt;0),A697*(((G697+H697)*B697+(I697+J697)*C697)/1000),0)</f>
        <v>1.36</v>
      </c>
      <c r="O697" s="19">
        <f>IF(E697="HERRAJE",IFERROR(_xlfn.XLOOKUP(D697,'⚙️ Configuración Costos'!$A$11:$A$20,'⚙️ Configuración Costos'!$B$11:$B$20),""),IFERROR(_xlfn.XLOOKUP(E697,'⚙️ Configuración Costos'!$A$5:$A$6,'⚙️ Configuración Costos'!$B$5:$B$6),""))</f>
        <v>332.85245901639348</v>
      </c>
      <c r="P697" s="19">
        <f t="shared" ref="P697" si="362">IF(E697="HERRAJE",A697*O697,M697*O697)</f>
        <v>38.477744262295083</v>
      </c>
      <c r="Q697" s="19">
        <f>IF(E697="HERRAJE",0,IFERROR(_xlfn.XLOOKUP(E697,'⚙️ Configuración Costos'!$E$5:$E$6,'⚙️ Configuración Costos'!$F$5:$F$6),""))</f>
        <v>9.5</v>
      </c>
      <c r="R697" s="19">
        <f t="shared" ref="R697" si="363">N697*Q697</f>
        <v>12.920000000000002</v>
      </c>
      <c r="S697" s="37">
        <f t="shared" ref="S697" si="364">P697+R697</f>
        <v>51.397744262295085</v>
      </c>
      <c r="T697" s="94" t="str">
        <f>IF(K697="","SIN ID MÓDULO",IF(E697="HERRAJE",IF(OR(O697="",O697&lt;=0),"SIN PRECIO HERRAJE","OK"),IF(OR(O697="",O697&lt;=0),"SIN PRECIO MATERIAL",IF(AND(N697&gt;0,OR(Q697="",Q697&lt;=0)),"SIN PRECIO CINTILLA","OK"))))</f>
        <v>OK</v>
      </c>
      <c r="U697" s="95" t="str">
        <f>IF(T697="OK","",IF(T697="SIN PRECIO HERRAJE","Capturar precio: "&amp;D697,IF(T697="SIN PRECIO MATERIAL","Configurar material: "&amp;E697,IF(T697="SIN PRECIO CINTILLA","Configurar cintilla: "&amp;E697,IF(T697="SIN ID MÓDULO","Revisar ID del módulo","")))))</f>
        <v/>
      </c>
      <c r="V697" s="96">
        <f>IF(T697="OK",0,IF(T697="",0,1))</f>
        <v>0</v>
      </c>
    </row>
    <row r="698" spans="1:22" ht="16" thickTop="1" x14ac:dyDescent="0.2">
      <c r="A698" s="27" t="s">
        <v>99</v>
      </c>
      <c r="B698" s="27"/>
      <c r="C698" s="27"/>
      <c r="D698" s="28"/>
      <c r="E698" s="28"/>
      <c r="F698" s="29"/>
      <c r="G698" s="29"/>
      <c r="H698" s="29"/>
      <c r="I698" s="29"/>
      <c r="J698" s="29"/>
      <c r="K698" s="30"/>
      <c r="L698" s="49"/>
      <c r="M698" s="33">
        <f>SUM(M697:M697)</f>
        <v>0.11559999999999999</v>
      </c>
      <c r="N698" s="33">
        <f>SUM(N697:N697)</f>
        <v>1.36</v>
      </c>
      <c r="O698" s="33"/>
      <c r="P698" s="33">
        <f>SUM(P697:P697)</f>
        <v>38.477744262295083</v>
      </c>
      <c r="Q698" s="33"/>
      <c r="R698" s="33">
        <f>SUM(R697:R697)</f>
        <v>12.920000000000002</v>
      </c>
      <c r="S698" s="33">
        <f>SUM(S697:S697)</f>
        <v>51.397744262295085</v>
      </c>
      <c r="T698" s="97"/>
      <c r="U698" s="98"/>
      <c r="V698" s="99"/>
    </row>
    <row r="699" spans="1:22" x14ac:dyDescent="0.2">
      <c r="A699" s="186" t="s">
        <v>351</v>
      </c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8"/>
      <c r="T699" s="97"/>
      <c r="U699" s="98"/>
      <c r="V699" s="99"/>
    </row>
    <row r="700" spans="1:22" ht="16" thickBot="1" x14ac:dyDescent="0.25">
      <c r="A700" s="35">
        <v>1</v>
      </c>
      <c r="B700" s="6">
        <v>680</v>
      </c>
      <c r="C700" s="6">
        <v>340</v>
      </c>
      <c r="D700" s="43" t="s">
        <v>350</v>
      </c>
      <c r="E700" s="43" t="s">
        <v>85</v>
      </c>
      <c r="F700" s="53">
        <v>1</v>
      </c>
      <c r="G700" s="44">
        <v>1</v>
      </c>
      <c r="H700" s="44">
        <v>1</v>
      </c>
      <c r="I700" s="44">
        <v>1</v>
      </c>
      <c r="J700" s="44">
        <v>1</v>
      </c>
      <c r="K700" s="16" t="s">
        <v>40</v>
      </c>
      <c r="L700" s="16" t="s">
        <v>40</v>
      </c>
      <c r="M700" s="17">
        <f t="shared" ref="M700" si="365">IF(AND(ISNUMBER(B700),ISNUMBER(C700),B700&gt;0,C700&gt;0),A700*(B700*C700/1000000),0)</f>
        <v>0.23119999999999999</v>
      </c>
      <c r="N700" s="18">
        <f t="shared" ref="N700" si="366">IF(AND(ISNUMBER(B700),B700&gt;0),A700*(((G700+H700)*B700+(I700+J700)*C700)/1000),0)</f>
        <v>2.04</v>
      </c>
      <c r="O700" s="19">
        <f>IF(E700="HERRAJE",IFERROR(_xlfn.XLOOKUP(D700,'⚙️ Configuración Costos'!$A$11:$A$20,'⚙️ Configuración Costos'!$B$11:$B$20),""),IFERROR(_xlfn.XLOOKUP(E700,'⚙️ Configuración Costos'!$A$5:$A$6,'⚙️ Configuración Costos'!$B$5:$B$6),""))</f>
        <v>332.85245901639348</v>
      </c>
      <c r="P700" s="19">
        <f t="shared" ref="P700" si="367">IF(E700="HERRAJE",A700*O700,M700*O700)</f>
        <v>76.955488524590166</v>
      </c>
      <c r="Q700" s="19">
        <f>IF(E700="HERRAJE",0,IFERROR(_xlfn.XLOOKUP(E700,'⚙️ Configuración Costos'!$E$5:$E$6,'⚙️ Configuración Costos'!$F$5:$F$6),""))</f>
        <v>9.5</v>
      </c>
      <c r="R700" s="19">
        <f t="shared" ref="R700" si="368">N700*Q700</f>
        <v>19.38</v>
      </c>
      <c r="S700" s="37">
        <f t="shared" ref="S700" si="369">P700+R700</f>
        <v>96.335488524590161</v>
      </c>
      <c r="T700" s="94" t="str">
        <f>IF(K700="","SIN ID MÓDULO",IF(E700="HERRAJE",IF(OR(O700="",O700&lt;=0),"SIN PRECIO HERRAJE","OK"),IF(OR(O700="",O700&lt;=0),"SIN PRECIO MATERIAL",IF(AND(N700&gt;0,OR(Q700="",Q700&lt;=0)),"SIN PRECIO CINTILLA","OK"))))</f>
        <v>OK</v>
      </c>
      <c r="U700" s="95" t="str">
        <f>IF(T700="OK","",IF(T700="SIN PRECIO HERRAJE","Capturar precio: "&amp;D700,IF(T700="SIN PRECIO MATERIAL","Configurar material: "&amp;E700,IF(T700="SIN PRECIO CINTILLA","Configurar cintilla: "&amp;E700,IF(T700="SIN ID MÓDULO","Revisar ID del módulo","")))))</f>
        <v/>
      </c>
      <c r="V700" s="96">
        <f>IF(T700="OK",0,IF(T700="",0,1))</f>
        <v>0</v>
      </c>
    </row>
    <row r="701" spans="1:22" ht="16" thickTop="1" x14ac:dyDescent="0.2">
      <c r="A701" s="27" t="s">
        <v>99</v>
      </c>
      <c r="B701" s="27"/>
      <c r="C701" s="27"/>
      <c r="D701" s="28"/>
      <c r="E701" s="28"/>
      <c r="F701" s="29"/>
      <c r="G701" s="29"/>
      <c r="H701" s="29"/>
      <c r="I701" s="29"/>
      <c r="J701" s="29"/>
      <c r="K701" s="30"/>
      <c r="L701" s="49"/>
      <c r="M701" s="33">
        <f>SUM(M700:M700)</f>
        <v>0.23119999999999999</v>
      </c>
      <c r="N701" s="33">
        <f>SUM(N700:N700)</f>
        <v>2.04</v>
      </c>
      <c r="O701" s="33"/>
      <c r="P701" s="33">
        <f>SUM(P700:P700)</f>
        <v>76.955488524590166</v>
      </c>
      <c r="Q701" s="33"/>
      <c r="R701" s="33">
        <f>SUM(R700:R700)</f>
        <v>19.38</v>
      </c>
      <c r="S701" s="33">
        <f>SUM(S700:S700)</f>
        <v>96.335488524590161</v>
      </c>
      <c r="T701" s="97"/>
      <c r="U701" s="98"/>
      <c r="V701" s="99"/>
    </row>
    <row r="702" spans="1:22" x14ac:dyDescent="0.2">
      <c r="A702" s="186" t="s">
        <v>352</v>
      </c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8"/>
      <c r="T702" s="97"/>
      <c r="U702" s="98"/>
      <c r="V702" s="99"/>
    </row>
    <row r="703" spans="1:22" ht="16" thickBot="1" x14ac:dyDescent="0.25">
      <c r="A703" s="35">
        <v>1</v>
      </c>
      <c r="B703" s="6">
        <v>720</v>
      </c>
      <c r="C703" s="6">
        <v>610</v>
      </c>
      <c r="D703" s="43" t="s">
        <v>353</v>
      </c>
      <c r="E703" s="43" t="s">
        <v>85</v>
      </c>
      <c r="F703" s="53">
        <v>1</v>
      </c>
      <c r="G703" s="44">
        <v>1</v>
      </c>
      <c r="H703" s="44">
        <v>1</v>
      </c>
      <c r="I703" s="44">
        <v>1</v>
      </c>
      <c r="J703" s="44">
        <v>1</v>
      </c>
      <c r="K703" s="16" t="s">
        <v>41</v>
      </c>
      <c r="L703" s="16" t="s">
        <v>41</v>
      </c>
      <c r="M703" s="17">
        <f t="shared" ref="M703" si="370">IF(AND(ISNUMBER(B703),ISNUMBER(C703),B703&gt;0,C703&gt;0),A703*(B703*C703/1000000),0)</f>
        <v>0.43919999999999998</v>
      </c>
      <c r="N703" s="18">
        <f t="shared" ref="N703" si="371">IF(AND(ISNUMBER(B703),B703&gt;0),A703*(((G703+H703)*B703+(I703+J703)*C703)/1000),0)</f>
        <v>2.66</v>
      </c>
      <c r="O703" s="19">
        <f>IF(E703="HERRAJE",IFERROR(_xlfn.XLOOKUP(D703,'⚙️ Configuración Costos'!$A$11:$A$20,'⚙️ Configuración Costos'!$B$11:$B$20),""),IFERROR(_xlfn.XLOOKUP(E703,'⚙️ Configuración Costos'!$A$5:$A$6,'⚙️ Configuración Costos'!$B$5:$B$6),""))</f>
        <v>332.85245901639348</v>
      </c>
      <c r="P703" s="19">
        <f t="shared" ref="P703" si="372">IF(E703="HERRAJE",A703*O703,M703*O703)</f>
        <v>146.18880000000001</v>
      </c>
      <c r="Q703" s="19">
        <f>IF(E703="HERRAJE",0,IFERROR(_xlfn.XLOOKUP(E703,'⚙️ Configuración Costos'!$E$5:$E$6,'⚙️ Configuración Costos'!$F$5:$F$6),""))</f>
        <v>9.5</v>
      </c>
      <c r="R703" s="19">
        <f t="shared" ref="R703" si="373">N703*Q703</f>
        <v>25.270000000000003</v>
      </c>
      <c r="S703" s="37">
        <f t="shared" ref="S703" si="374">P703+R703</f>
        <v>171.45880000000002</v>
      </c>
      <c r="T703" s="94" t="str">
        <f>IF(K703="","SIN ID MÓDULO",IF(E703="HERRAJE",IF(OR(O703="",O703&lt;=0),"SIN PRECIO HERRAJE","OK"),IF(OR(O703="",O703&lt;=0),"SIN PRECIO MATERIAL",IF(AND(N703&gt;0,OR(Q703="",Q703&lt;=0)),"SIN PRECIO CINTILLA","OK"))))</f>
        <v>OK</v>
      </c>
      <c r="U703" s="95" t="str">
        <f>IF(T703="OK","",IF(T703="SIN PRECIO HERRAJE","Capturar precio: "&amp;D703,IF(T703="SIN PRECIO MATERIAL","Configurar material: "&amp;E703,IF(T703="SIN PRECIO CINTILLA","Configurar cintilla: "&amp;E703,IF(T703="SIN ID MÓDULO","Revisar ID del módulo","")))))</f>
        <v/>
      </c>
      <c r="V703" s="96">
        <f>IF(T703="OK",0,IF(T703="",0,1))</f>
        <v>0</v>
      </c>
    </row>
    <row r="704" spans="1:22" ht="16" thickTop="1" x14ac:dyDescent="0.2">
      <c r="A704" s="27" t="s">
        <v>99</v>
      </c>
      <c r="B704" s="27"/>
      <c r="C704" s="27"/>
      <c r="D704" s="28"/>
      <c r="E704" s="28"/>
      <c r="F704" s="29"/>
      <c r="G704" s="29"/>
      <c r="H704" s="29"/>
      <c r="I704" s="29"/>
      <c r="J704" s="29"/>
      <c r="K704" s="30"/>
      <c r="L704" s="49"/>
      <c r="M704" s="33">
        <f>SUM(M703:M703)</f>
        <v>0.43919999999999998</v>
      </c>
      <c r="N704" s="33">
        <f>SUM(N703:N703)</f>
        <v>2.66</v>
      </c>
      <c r="O704" s="33"/>
      <c r="P704" s="33">
        <f>SUM(P703:P703)</f>
        <v>146.18880000000001</v>
      </c>
      <c r="Q704" s="33"/>
      <c r="R704" s="33">
        <f>SUM(R703:R703)</f>
        <v>25.270000000000003</v>
      </c>
      <c r="S704" s="33">
        <f>SUM(S703:S703)</f>
        <v>171.45880000000002</v>
      </c>
      <c r="T704" s="97"/>
      <c r="U704" s="98"/>
      <c r="V704" s="99"/>
    </row>
    <row r="705" spans="1:22" x14ac:dyDescent="0.2">
      <c r="A705" s="186" t="s">
        <v>354</v>
      </c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8"/>
      <c r="T705" s="97"/>
      <c r="U705" s="98"/>
      <c r="V705" s="99"/>
    </row>
    <row r="706" spans="1:22" ht="16" thickBot="1" x14ac:dyDescent="0.25">
      <c r="A706" s="35">
        <v>1</v>
      </c>
      <c r="B706" s="6">
        <v>2100</v>
      </c>
      <c r="C706" s="6">
        <v>610</v>
      </c>
      <c r="D706" s="43" t="s">
        <v>355</v>
      </c>
      <c r="E706" s="43" t="s">
        <v>85</v>
      </c>
      <c r="F706" s="53">
        <v>1</v>
      </c>
      <c r="G706" s="44">
        <v>1</v>
      </c>
      <c r="H706" s="44">
        <v>1</v>
      </c>
      <c r="I706" s="44">
        <v>1</v>
      </c>
      <c r="J706" s="44">
        <v>1</v>
      </c>
      <c r="K706" s="16" t="s">
        <v>42</v>
      </c>
      <c r="L706" s="16" t="s">
        <v>42</v>
      </c>
      <c r="M706" s="17">
        <f t="shared" ref="M706" si="375">IF(AND(ISNUMBER(B706),ISNUMBER(C706),B706&gt;0,C706&gt;0),A706*(B706*C706/1000000),0)</f>
        <v>1.2809999999999999</v>
      </c>
      <c r="N706" s="18">
        <f t="shared" ref="N706" si="376">IF(AND(ISNUMBER(B706),B706&gt;0),A706*(((G706+H706)*B706+(I706+J706)*C706)/1000),0)</f>
        <v>5.42</v>
      </c>
      <c r="O706" s="19">
        <f>IF(E706="HERRAJE",IFERROR(_xlfn.XLOOKUP(D706,'⚙️ Configuración Costos'!$A$11:$A$20,'⚙️ Configuración Costos'!$B$11:$B$20),""),IFERROR(_xlfn.XLOOKUP(E706,'⚙️ Configuración Costos'!$A$5:$A$6,'⚙️ Configuración Costos'!$B$5:$B$6),""))</f>
        <v>332.85245901639348</v>
      </c>
      <c r="P706" s="19">
        <f t="shared" ref="P706" si="377">IF(E706="HERRAJE",A706*O706,M706*O706)</f>
        <v>426.38400000000001</v>
      </c>
      <c r="Q706" s="19">
        <f>IF(E706="HERRAJE",0,IFERROR(_xlfn.XLOOKUP(E706,'⚙️ Configuración Costos'!$E$5:$E$6,'⚙️ Configuración Costos'!$F$5:$F$6),""))</f>
        <v>9.5</v>
      </c>
      <c r="R706" s="19">
        <f t="shared" ref="R706" si="378">N706*Q706</f>
        <v>51.49</v>
      </c>
      <c r="S706" s="37">
        <f t="shared" ref="S706" si="379">P706+R706</f>
        <v>477.87400000000002</v>
      </c>
      <c r="T706" s="94" t="str">
        <f>IF(K706="","SIN ID MÓDULO",IF(E706="HERRAJE",IF(OR(O706="",O706&lt;=0),"SIN PRECIO HERRAJE","OK"),IF(OR(O706="",O706&lt;=0),"SIN PRECIO MATERIAL",IF(AND(N706&gt;0,OR(Q706="",Q706&lt;=0)),"SIN PRECIO CINTILLA","OK"))))</f>
        <v>OK</v>
      </c>
      <c r="U706" s="95" t="str">
        <f>IF(T706="OK","",IF(T706="SIN PRECIO HERRAJE","Capturar precio: "&amp;D706,IF(T706="SIN PRECIO MATERIAL","Configurar material: "&amp;E706,IF(T706="SIN PRECIO CINTILLA","Configurar cintilla: "&amp;E706,IF(T706="SIN ID MÓDULO","Revisar ID del módulo","")))))</f>
        <v/>
      </c>
      <c r="V706" s="96">
        <f>IF(T706="OK",0,IF(T706="",0,1))</f>
        <v>0</v>
      </c>
    </row>
    <row r="707" spans="1:22" ht="16" thickTop="1" x14ac:dyDescent="0.2">
      <c r="A707" s="27" t="s">
        <v>99</v>
      </c>
      <c r="B707" s="27"/>
      <c r="C707" s="27"/>
      <c r="D707" s="28"/>
      <c r="E707" s="28"/>
      <c r="F707" s="29"/>
      <c r="G707" s="29"/>
      <c r="H707" s="29"/>
      <c r="I707" s="29"/>
      <c r="J707" s="29"/>
      <c r="K707" s="30"/>
      <c r="L707" s="49"/>
      <c r="M707" s="33">
        <f>SUM(M706:M706)</f>
        <v>1.2809999999999999</v>
      </c>
      <c r="N707" s="33">
        <f>SUM(N706:N706)</f>
        <v>5.42</v>
      </c>
      <c r="O707" s="33"/>
      <c r="P707" s="33">
        <f>SUM(P706:P706)</f>
        <v>426.38400000000001</v>
      </c>
      <c r="Q707" s="33"/>
      <c r="R707" s="33">
        <f>SUM(R706:R706)</f>
        <v>51.49</v>
      </c>
      <c r="S707" s="33">
        <f>SUM(S706:S706)</f>
        <v>477.87400000000002</v>
      </c>
      <c r="T707" s="97"/>
      <c r="U707" s="98"/>
      <c r="V707" s="99"/>
    </row>
    <row r="708" spans="1:22" x14ac:dyDescent="0.2">
      <c r="A708" s="186" t="s">
        <v>356</v>
      </c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8"/>
      <c r="T708" s="97"/>
      <c r="U708" s="98"/>
      <c r="V708" s="99"/>
    </row>
    <row r="709" spans="1:22" ht="16" thickBot="1" x14ac:dyDescent="0.25">
      <c r="A709" s="35">
        <v>1</v>
      </c>
      <c r="B709" s="6">
        <v>2100</v>
      </c>
      <c r="C709" s="6">
        <v>340</v>
      </c>
      <c r="D709" s="43" t="s">
        <v>355</v>
      </c>
      <c r="E709" s="43" t="s">
        <v>85</v>
      </c>
      <c r="F709" s="53">
        <v>1</v>
      </c>
      <c r="G709" s="44">
        <v>1</v>
      </c>
      <c r="H709" s="44">
        <v>1</v>
      </c>
      <c r="I709" s="44">
        <v>1</v>
      </c>
      <c r="J709" s="44">
        <v>1</v>
      </c>
      <c r="K709" s="16" t="s">
        <v>357</v>
      </c>
      <c r="L709" s="16" t="s">
        <v>357</v>
      </c>
      <c r="M709" s="17">
        <f t="shared" ref="M709" si="380">IF(AND(ISNUMBER(B709),ISNUMBER(C709),B709&gt;0,C709&gt;0),A709*(B709*C709/1000000),0)</f>
        <v>0.71399999999999997</v>
      </c>
      <c r="N709" s="18">
        <f t="shared" ref="N709" si="381">IF(AND(ISNUMBER(B709),B709&gt;0),A709*(((G709+H709)*B709+(I709+J709)*C709)/1000),0)</f>
        <v>4.88</v>
      </c>
      <c r="O709" s="19">
        <f>IF(E709="HERRAJE",IFERROR(_xlfn.XLOOKUP(D709,'⚙️ Configuración Costos'!$A$11:$A$20,'⚙️ Configuración Costos'!$B$11:$B$20),""),IFERROR(_xlfn.XLOOKUP(E709,'⚙️ Configuración Costos'!$A$5:$A$6,'⚙️ Configuración Costos'!$B$5:$B$6),""))</f>
        <v>332.85245901639348</v>
      </c>
      <c r="P709" s="19">
        <f t="shared" ref="P709" si="382">IF(E709="HERRAJE",A709*O709,M709*O709)</f>
        <v>237.65665573770494</v>
      </c>
      <c r="Q709" s="19">
        <f>IF(E709="HERRAJE",0,IFERROR(_xlfn.XLOOKUP(E709,'⚙️ Configuración Costos'!$E$5:$E$6,'⚙️ Configuración Costos'!$F$5:$F$6),""))</f>
        <v>9.5</v>
      </c>
      <c r="R709" s="19">
        <f t="shared" ref="R709" si="383">N709*Q709</f>
        <v>46.36</v>
      </c>
      <c r="S709" s="37">
        <f t="shared" ref="S709" si="384">P709+R709</f>
        <v>284.01665573770492</v>
      </c>
      <c r="T709" s="94" t="str">
        <f>IF(K709="","SIN ID MÓDULO",IF(E709="HERRAJE",IF(OR(O709="",O709&lt;=0),"SIN PRECIO HERRAJE","OK"),IF(OR(O709="",O709&lt;=0),"SIN PRECIO MATERIAL",IF(AND(N709&gt;0,OR(Q709="",Q709&lt;=0)),"SIN PRECIO CINTILLA","OK"))))</f>
        <v>OK</v>
      </c>
      <c r="U709" s="95" t="str">
        <f>IF(T709="OK","",IF(T709="SIN PRECIO HERRAJE","Capturar precio: "&amp;D709,IF(T709="SIN PRECIO MATERIAL","Configurar material: "&amp;E709,IF(T709="SIN PRECIO CINTILLA","Configurar cintilla: "&amp;E709,IF(T709="SIN ID MÓDULO","Revisar ID del módulo","")))))</f>
        <v/>
      </c>
      <c r="V709" s="96">
        <f>IF(T709="OK",0,IF(T709="",0,1))</f>
        <v>0</v>
      </c>
    </row>
    <row r="710" spans="1:22" ht="16" thickTop="1" x14ac:dyDescent="0.2">
      <c r="A710" s="27" t="s">
        <v>99</v>
      </c>
      <c r="B710" s="27"/>
      <c r="C710" s="27"/>
      <c r="D710" s="28"/>
      <c r="E710" s="28"/>
      <c r="F710" s="29"/>
      <c r="G710" s="29"/>
      <c r="H710" s="29"/>
      <c r="I710" s="29"/>
      <c r="J710" s="29"/>
      <c r="K710" s="30"/>
      <c r="L710" s="49"/>
      <c r="M710" s="33">
        <f>SUM(M709:M709)</f>
        <v>0.71399999999999997</v>
      </c>
      <c r="N710" s="33">
        <f>SUM(N709:N709)</f>
        <v>4.88</v>
      </c>
      <c r="O710" s="33"/>
      <c r="P710" s="33">
        <f>SUM(P709:P709)</f>
        <v>237.65665573770494</v>
      </c>
      <c r="Q710" s="33"/>
      <c r="R710" s="33">
        <f>SUM(R709:R709)</f>
        <v>46.36</v>
      </c>
      <c r="S710" s="33">
        <f>SUM(S709:S709)</f>
        <v>284.01665573770492</v>
      </c>
      <c r="T710" s="97"/>
      <c r="U710" s="98"/>
      <c r="V710" s="99"/>
    </row>
    <row r="711" spans="1:22" x14ac:dyDescent="0.2">
      <c r="A711" s="186" t="s">
        <v>358</v>
      </c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8"/>
      <c r="T711" s="97"/>
      <c r="U711" s="98"/>
      <c r="V711" s="99"/>
    </row>
    <row r="712" spans="1:22" ht="16" thickBot="1" x14ac:dyDescent="0.25">
      <c r="A712" s="35">
        <v>1</v>
      </c>
      <c r="B712" s="6">
        <v>2400</v>
      </c>
      <c r="C712" s="6">
        <v>150</v>
      </c>
      <c r="D712" s="43" t="s">
        <v>359</v>
      </c>
      <c r="E712" s="43" t="s">
        <v>85</v>
      </c>
      <c r="F712" s="53">
        <v>1</v>
      </c>
      <c r="G712" s="44">
        <v>1</v>
      </c>
      <c r="H712" s="44">
        <v>1</v>
      </c>
      <c r="I712" s="44">
        <v>1</v>
      </c>
      <c r="J712" s="44">
        <v>1</v>
      </c>
      <c r="K712" s="16" t="s">
        <v>43</v>
      </c>
      <c r="L712" s="16" t="s">
        <v>43</v>
      </c>
      <c r="M712" s="17">
        <f t="shared" ref="M712" si="385">IF(AND(ISNUMBER(B712),ISNUMBER(C712),B712&gt;0,C712&gt;0),A712*(B712*C712/1000000),0)</f>
        <v>0.36</v>
      </c>
      <c r="N712" s="18">
        <f t="shared" ref="N712" si="386">IF(AND(ISNUMBER(B712),B712&gt;0),A712*(((G712+H712)*B712+(I712+J712)*C712)/1000),0)</f>
        <v>5.0999999999999996</v>
      </c>
      <c r="O712" s="19">
        <f>IF(E712="HERRAJE",IFERROR(_xlfn.XLOOKUP(D712,'⚙️ Configuración Costos'!$A$11:$A$20,'⚙️ Configuración Costos'!$B$11:$B$20),""),IFERROR(_xlfn.XLOOKUP(E712,'⚙️ Configuración Costos'!$A$5:$A$6,'⚙️ Configuración Costos'!$B$5:$B$6),""))</f>
        <v>332.85245901639348</v>
      </c>
      <c r="P712" s="19">
        <f t="shared" ref="P712" si="387">IF(E712="HERRAJE",A712*O712,M712*O712)</f>
        <v>119.82688524590165</v>
      </c>
      <c r="Q712" s="19">
        <f>IF(E712="HERRAJE",0,IFERROR(_xlfn.XLOOKUP(E712,'⚙️ Configuración Costos'!$E$5:$E$6,'⚙️ Configuración Costos'!$F$5:$F$6),""))</f>
        <v>9.5</v>
      </c>
      <c r="R712" s="19">
        <f t="shared" ref="R712" si="388">N712*Q712</f>
        <v>48.449999999999996</v>
      </c>
      <c r="S712" s="37">
        <f t="shared" ref="S712" si="389">P712+R712</f>
        <v>168.27688524590164</v>
      </c>
      <c r="T712" s="94" t="str">
        <f>IF(K712="","SIN ID MÓDULO",IF(E712="HERRAJE",IF(OR(O712="",O712&lt;=0),"SIN PRECIO HERRAJE","OK"),IF(OR(O712="",O712&lt;=0),"SIN PRECIO MATERIAL",IF(AND(N712&gt;0,OR(Q712="",Q712&lt;=0)),"SIN PRECIO CINTILLA","OK"))))</f>
        <v>OK</v>
      </c>
      <c r="U712" s="95" t="str">
        <f>IF(T712="OK","",IF(T712="SIN PRECIO HERRAJE","Capturar precio: "&amp;D712,IF(T712="SIN PRECIO MATERIAL","Configurar material: "&amp;E712,IF(T712="SIN PRECIO CINTILLA","Configurar cintilla: "&amp;E712,IF(T712="SIN ID MÓDULO","Revisar ID del módulo","")))))</f>
        <v/>
      </c>
      <c r="V712" s="96">
        <f>IF(T712="OK",0,IF(T712="",0,1))</f>
        <v>0</v>
      </c>
    </row>
    <row r="713" spans="1:22" ht="16" thickTop="1" x14ac:dyDescent="0.2">
      <c r="A713" s="27" t="s">
        <v>99</v>
      </c>
      <c r="B713" s="27"/>
      <c r="C713" s="27"/>
      <c r="D713" s="28"/>
      <c r="E713" s="28"/>
      <c r="F713" s="29"/>
      <c r="G713" s="29"/>
      <c r="H713" s="29"/>
      <c r="I713" s="29"/>
      <c r="J713" s="29"/>
      <c r="K713" s="30"/>
      <c r="L713" s="49"/>
      <c r="M713" s="33">
        <f>SUM(M712:M712)</f>
        <v>0.36</v>
      </c>
      <c r="N713" s="33">
        <f>SUM(N712:N712)</f>
        <v>5.0999999999999996</v>
      </c>
      <c r="O713" s="33"/>
      <c r="P713" s="33">
        <f>SUM(P712:P712)</f>
        <v>119.82688524590165</v>
      </c>
      <c r="Q713" s="33"/>
      <c r="R713" s="33">
        <f>SUM(R712:R712)</f>
        <v>48.449999999999996</v>
      </c>
      <c r="S713" s="33">
        <f>SUM(S712:S712)</f>
        <v>168.27688524590164</v>
      </c>
      <c r="T713" s="97"/>
      <c r="U713" s="98"/>
      <c r="V713" s="99"/>
    </row>
  </sheetData>
  <mergeCells count="48">
    <mergeCell ref="A78:S78"/>
    <mergeCell ref="A2:S2"/>
    <mergeCell ref="A22:S22"/>
    <mergeCell ref="A36:S36"/>
    <mergeCell ref="A50:S50"/>
    <mergeCell ref="A64:S64"/>
    <mergeCell ref="A271:S271"/>
    <mergeCell ref="A93:S93"/>
    <mergeCell ref="A108:S108"/>
    <mergeCell ref="A136:S136"/>
    <mergeCell ref="A149:S149"/>
    <mergeCell ref="A162:S162"/>
    <mergeCell ref="A175:S175"/>
    <mergeCell ref="A195:S195"/>
    <mergeCell ref="A204:S204"/>
    <mergeCell ref="A223:S223"/>
    <mergeCell ref="A239:S239"/>
    <mergeCell ref="A255:S255"/>
    <mergeCell ref="A123:S123"/>
    <mergeCell ref="A186:S186"/>
    <mergeCell ref="A488:S488"/>
    <mergeCell ref="A287:S287"/>
    <mergeCell ref="A304:S304"/>
    <mergeCell ref="A321:S321"/>
    <mergeCell ref="A338:S338"/>
    <mergeCell ref="A358:S358"/>
    <mergeCell ref="A378:S378"/>
    <mergeCell ref="A423:S423"/>
    <mergeCell ref="A435:S435"/>
    <mergeCell ref="A447:S447"/>
    <mergeCell ref="A460:S460"/>
    <mergeCell ref="A474:S474"/>
    <mergeCell ref="A398:S398"/>
    <mergeCell ref="A407:S407"/>
    <mergeCell ref="A711:S711"/>
    <mergeCell ref="A502:S502"/>
    <mergeCell ref="A519:S519"/>
    <mergeCell ref="A536:S536"/>
    <mergeCell ref="A552:S552"/>
    <mergeCell ref="A573:S573"/>
    <mergeCell ref="A684:S684"/>
    <mergeCell ref="A696:S696"/>
    <mergeCell ref="A699:S699"/>
    <mergeCell ref="A702:S702"/>
    <mergeCell ref="A705:S705"/>
    <mergeCell ref="A708:S708"/>
    <mergeCell ref="A625:S625"/>
    <mergeCell ref="A596:S596"/>
  </mergeCells>
  <conditionalFormatting sqref="T684:T713 T2:T654">
    <cfRule type="expression" dxfId="14" priority="1">
      <formula>T2="OK"</formula>
    </cfRule>
    <cfRule type="expression" dxfId="13" priority="2">
      <formula>LEFT(T2,3)="SIN"</formula>
    </cfRule>
  </conditionalFormatting>
  <conditionalFormatting sqref="U684:U713 U2:U654">
    <cfRule type="expression" dxfId="12" priority="3">
      <formula>$V2=1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1"/>
  <sheetViews>
    <sheetView topLeftCell="A12" zoomScale="180" zoomScaleNormal="180" workbookViewId="0">
      <selection activeCell="H24" sqref="H24"/>
    </sheetView>
  </sheetViews>
  <sheetFormatPr baseColWidth="10" defaultColWidth="8.83203125" defaultRowHeight="15" x14ac:dyDescent="0.2"/>
  <cols>
    <col min="1" max="1" width="27.33203125" customWidth="1"/>
    <col min="2" max="2" width="18" customWidth="1"/>
    <col min="3" max="3" width="39.83203125" customWidth="1"/>
    <col min="4" max="4" width="3.5" customWidth="1"/>
    <col min="5" max="5" width="19" bestFit="1" customWidth="1"/>
    <col min="6" max="6" width="17.1640625" customWidth="1"/>
    <col min="7" max="7" width="26.6640625" customWidth="1"/>
    <col min="9" max="9" width="25.33203125" bestFit="1" customWidth="1"/>
    <col min="10" max="11" width="7.1640625" customWidth="1"/>
    <col min="12" max="12" width="8.83203125" customWidth="1"/>
    <col min="13" max="13" width="10.1640625" customWidth="1"/>
  </cols>
  <sheetData>
    <row r="1" spans="1:14" ht="40" customHeight="1" x14ac:dyDescent="0.2">
      <c r="A1" s="259" t="s">
        <v>383</v>
      </c>
      <c r="B1" s="255"/>
      <c r="C1" s="255"/>
      <c r="D1" s="255"/>
      <c r="E1" s="255"/>
      <c r="F1" s="255"/>
      <c r="G1" s="255"/>
    </row>
    <row r="3" spans="1:14" ht="21.25" customHeight="1" x14ac:dyDescent="0.2">
      <c r="A3" s="254" t="s">
        <v>384</v>
      </c>
      <c r="B3" s="255"/>
      <c r="C3" s="255"/>
      <c r="E3" s="254" t="s">
        <v>385</v>
      </c>
      <c r="F3" s="255"/>
      <c r="G3" s="255"/>
      <c r="I3" s="254" t="s">
        <v>582</v>
      </c>
      <c r="J3" s="255"/>
      <c r="K3" s="255"/>
      <c r="L3" s="254"/>
      <c r="M3" s="255"/>
      <c r="N3" s="255"/>
    </row>
    <row r="4" spans="1:14" x14ac:dyDescent="0.2">
      <c r="A4" s="2" t="s">
        <v>47</v>
      </c>
      <c r="B4" s="2" t="s">
        <v>386</v>
      </c>
      <c r="C4" s="2" t="s">
        <v>387</v>
      </c>
      <c r="E4" s="2" t="s">
        <v>47</v>
      </c>
      <c r="F4" s="2" t="s">
        <v>388</v>
      </c>
      <c r="G4" s="2" t="s">
        <v>389</v>
      </c>
      <c r="I4" s="2" t="s">
        <v>47</v>
      </c>
      <c r="J4" s="2" t="s">
        <v>390</v>
      </c>
      <c r="K4" s="2" t="s">
        <v>391</v>
      </c>
      <c r="L4" s="2" t="s">
        <v>392</v>
      </c>
      <c r="M4" s="40" t="s">
        <v>393</v>
      </c>
      <c r="N4" s="2" t="s">
        <v>394</v>
      </c>
    </row>
    <row r="5" spans="1:14" x14ac:dyDescent="0.2">
      <c r="A5" s="1" t="s">
        <v>64</v>
      </c>
      <c r="B5" s="87">
        <f>N5</f>
        <v>239.8426229508197</v>
      </c>
      <c r="C5" s="1" t="s">
        <v>395</v>
      </c>
      <c r="E5" s="1" t="s">
        <v>64</v>
      </c>
      <c r="F5" s="87">
        <v>6</v>
      </c>
      <c r="G5" s="1" t="s">
        <v>596</v>
      </c>
      <c r="I5" s="1" t="s">
        <v>603</v>
      </c>
      <c r="J5">
        <v>2500</v>
      </c>
      <c r="K5">
        <v>1830</v>
      </c>
      <c r="L5">
        <f>(J5/1000*K5/1000)</f>
        <v>4.5750000000000002</v>
      </c>
      <c r="M5" s="41">
        <v>1016</v>
      </c>
      <c r="N5" s="42">
        <f>M5/L5*1.08</f>
        <v>239.8426229508197</v>
      </c>
    </row>
    <row r="6" spans="1:14" x14ac:dyDescent="0.2">
      <c r="A6" s="1" t="s">
        <v>85</v>
      </c>
      <c r="B6" s="87">
        <f>N6</f>
        <v>332.85245901639348</v>
      </c>
      <c r="C6" s="1" t="s">
        <v>396</v>
      </c>
      <c r="E6" s="1" t="s">
        <v>85</v>
      </c>
      <c r="F6" s="87">
        <v>9.5</v>
      </c>
      <c r="G6" s="1" t="s">
        <v>595</v>
      </c>
      <c r="I6" s="1" t="s">
        <v>604</v>
      </c>
      <c r="J6">
        <v>2500</v>
      </c>
      <c r="K6">
        <v>1830</v>
      </c>
      <c r="L6">
        <f>(J6/1000*K6/1000)</f>
        <v>4.5750000000000002</v>
      </c>
      <c r="M6" s="41">
        <v>1410</v>
      </c>
      <c r="N6" s="42">
        <f>M6/L6*1.08</f>
        <v>332.85245901639348</v>
      </c>
    </row>
    <row r="7" spans="1:14" x14ac:dyDescent="0.2">
      <c r="E7" s="168" t="s">
        <v>601</v>
      </c>
      <c r="F7" s="87">
        <v>20</v>
      </c>
      <c r="G7" s="168" t="s">
        <v>602</v>
      </c>
      <c r="I7" s="168" t="s">
        <v>605</v>
      </c>
      <c r="J7">
        <v>2440</v>
      </c>
      <c r="K7">
        <v>1220</v>
      </c>
      <c r="L7">
        <f>(J7/1000*K7/1000)</f>
        <v>2.9767999999999999</v>
      </c>
      <c r="M7" s="41">
        <v>651.70000000000005</v>
      </c>
      <c r="N7" s="42">
        <f>M7/L7*1.08</f>
        <v>236.44047299113146</v>
      </c>
    </row>
    <row r="8" spans="1:14" x14ac:dyDescent="0.2">
      <c r="I8" s="168" t="s">
        <v>593</v>
      </c>
      <c r="J8">
        <v>2440</v>
      </c>
      <c r="K8">
        <v>1220</v>
      </c>
      <c r="L8">
        <f>(J8/1000*K8/1000)</f>
        <v>2.9767999999999999</v>
      </c>
      <c r="M8" s="41">
        <v>622.44000000000005</v>
      </c>
      <c r="N8" s="42">
        <f>M8/L8*1.08</f>
        <v>225.82477828540718</v>
      </c>
    </row>
    <row r="9" spans="1:14" ht="32" customHeight="1" x14ac:dyDescent="0.2">
      <c r="A9" s="260" t="s">
        <v>493</v>
      </c>
      <c r="B9" s="261"/>
      <c r="C9" s="261"/>
    </row>
    <row r="10" spans="1:14" x14ac:dyDescent="0.2">
      <c r="A10" s="2" t="s">
        <v>397</v>
      </c>
      <c r="B10" s="2" t="s">
        <v>398</v>
      </c>
      <c r="C10" s="2" t="s">
        <v>399</v>
      </c>
      <c r="E10" s="2"/>
      <c r="F10" s="2"/>
      <c r="G10" s="2"/>
      <c r="I10" s="2" t="s">
        <v>47</v>
      </c>
      <c r="J10" s="2" t="s">
        <v>390</v>
      </c>
      <c r="K10" s="2" t="s">
        <v>391</v>
      </c>
      <c r="L10" s="2" t="s">
        <v>392</v>
      </c>
      <c r="M10" s="40" t="s">
        <v>393</v>
      </c>
      <c r="N10" s="2" t="s">
        <v>597</v>
      </c>
    </row>
    <row r="11" spans="1:14" x14ac:dyDescent="0.2">
      <c r="A11" s="1" t="s">
        <v>90</v>
      </c>
      <c r="B11" s="87">
        <v>20</v>
      </c>
      <c r="C11" s="1" t="s">
        <v>339</v>
      </c>
      <c r="I11" s="168" t="s">
        <v>599</v>
      </c>
      <c r="J11" s="168">
        <v>2400</v>
      </c>
      <c r="K11" s="168">
        <v>600</v>
      </c>
      <c r="L11" s="168">
        <v>0.6</v>
      </c>
      <c r="M11" s="168" t="s">
        <v>598</v>
      </c>
      <c r="N11" s="42">
        <f>(N7+N8)*L11+(J11/1000*2+K11/1000*2+0.4)*F7</f>
        <v>405.35915076592318</v>
      </c>
    </row>
    <row r="12" spans="1:14" x14ac:dyDescent="0.2">
      <c r="A12" s="1" t="s">
        <v>93</v>
      </c>
      <c r="B12" s="87">
        <v>15</v>
      </c>
      <c r="C12" s="1" t="s">
        <v>339</v>
      </c>
      <c r="I12" s="168" t="s">
        <v>600</v>
      </c>
    </row>
    <row r="13" spans="1:14" x14ac:dyDescent="0.2">
      <c r="A13" s="1" t="s">
        <v>186</v>
      </c>
      <c r="B13" s="87">
        <v>15</v>
      </c>
      <c r="C13" s="1" t="s">
        <v>339</v>
      </c>
    </row>
    <row r="14" spans="1:14" x14ac:dyDescent="0.2">
      <c r="A14" s="1" t="s">
        <v>97</v>
      </c>
      <c r="B14" s="87">
        <v>1.5</v>
      </c>
      <c r="C14" s="1" t="s">
        <v>339</v>
      </c>
    </row>
    <row r="15" spans="1:14" x14ac:dyDescent="0.2">
      <c r="A15" s="1" t="s">
        <v>400</v>
      </c>
      <c r="B15" s="87">
        <v>3</v>
      </c>
      <c r="C15" s="1" t="s">
        <v>339</v>
      </c>
    </row>
    <row r="16" spans="1:14" x14ac:dyDescent="0.2">
      <c r="A16" s="56" t="s">
        <v>468</v>
      </c>
      <c r="B16" s="88">
        <v>1</v>
      </c>
      <c r="C16" s="56"/>
    </row>
    <row r="17" spans="1:8" x14ac:dyDescent="0.2">
      <c r="A17" s="1" t="s">
        <v>256</v>
      </c>
      <c r="B17" s="87">
        <v>125</v>
      </c>
      <c r="C17" s="1" t="s">
        <v>401</v>
      </c>
    </row>
    <row r="18" spans="1:8" x14ac:dyDescent="0.2">
      <c r="A18" s="1" t="s">
        <v>95</v>
      </c>
      <c r="B18" s="87">
        <v>2</v>
      </c>
      <c r="C18" s="1" t="s">
        <v>339</v>
      </c>
    </row>
    <row r="19" spans="1:8" x14ac:dyDescent="0.2">
      <c r="A19" s="50" t="s">
        <v>146</v>
      </c>
      <c r="B19" s="89">
        <v>40</v>
      </c>
      <c r="C19" s="50" t="s">
        <v>339</v>
      </c>
    </row>
    <row r="20" spans="1:8" x14ac:dyDescent="0.2">
      <c r="A20" s="43" t="s">
        <v>285</v>
      </c>
      <c r="B20" s="90">
        <v>120</v>
      </c>
      <c r="C20" s="50" t="s">
        <v>339</v>
      </c>
    </row>
    <row r="21" spans="1:8" x14ac:dyDescent="0.2">
      <c r="A21" s="258" t="s">
        <v>402</v>
      </c>
      <c r="B21" s="255"/>
      <c r="C21" s="255"/>
    </row>
    <row r="22" spans="1:8" x14ac:dyDescent="0.2">
      <c r="A22" s="52" t="s">
        <v>403</v>
      </c>
      <c r="B22" s="52" t="s">
        <v>388</v>
      </c>
      <c r="C22" s="52" t="s">
        <v>387</v>
      </c>
    </row>
    <row r="23" spans="1:8" x14ac:dyDescent="0.2">
      <c r="A23" s="156" t="s">
        <v>404</v>
      </c>
      <c r="B23" s="157">
        <v>1200</v>
      </c>
      <c r="C23" s="156" t="s">
        <v>405</v>
      </c>
      <c r="E23" s="168" t="s">
        <v>625</v>
      </c>
      <c r="G23" s="168" t="s">
        <v>626</v>
      </c>
      <c r="H23" s="168" t="s">
        <v>627</v>
      </c>
    </row>
    <row r="24" spans="1:8" x14ac:dyDescent="0.2">
      <c r="A24" s="158" t="s">
        <v>575</v>
      </c>
      <c r="B24" s="159">
        <f>N11</f>
        <v>405.35915076592318</v>
      </c>
      <c r="C24" s="158" t="s">
        <v>594</v>
      </c>
    </row>
    <row r="25" spans="1:8" x14ac:dyDescent="0.2">
      <c r="A25" s="156" t="s">
        <v>583</v>
      </c>
      <c r="B25" s="157">
        <v>0</v>
      </c>
      <c r="C25" s="156" t="s">
        <v>584</v>
      </c>
    </row>
    <row r="27" spans="1:8" ht="32" customHeight="1" x14ac:dyDescent="0.2">
      <c r="A27" s="256" t="s">
        <v>494</v>
      </c>
      <c r="B27" s="257"/>
      <c r="C27" s="257"/>
    </row>
    <row r="28" spans="1:8" x14ac:dyDescent="0.2">
      <c r="A28" s="2" t="s">
        <v>397</v>
      </c>
      <c r="B28" s="2" t="s">
        <v>398</v>
      </c>
      <c r="C28" s="2" t="s">
        <v>399</v>
      </c>
    </row>
    <row r="29" spans="1:8" x14ac:dyDescent="0.2">
      <c r="A29" s="1" t="s">
        <v>406</v>
      </c>
      <c r="B29" s="3">
        <v>9.9</v>
      </c>
      <c r="C29" s="1" t="s">
        <v>407</v>
      </c>
    </row>
    <row r="30" spans="1:8" x14ac:dyDescent="0.2">
      <c r="A30" s="1" t="s">
        <v>408</v>
      </c>
      <c r="B30" s="3">
        <v>23.04</v>
      </c>
      <c r="C30" s="1" t="s">
        <v>407</v>
      </c>
    </row>
    <row r="31" spans="1:8" x14ac:dyDescent="0.2">
      <c r="A31" s="1" t="s">
        <v>93</v>
      </c>
      <c r="B31" s="3"/>
      <c r="C31" s="1" t="s">
        <v>339</v>
      </c>
    </row>
    <row r="32" spans="1:8" x14ac:dyDescent="0.2">
      <c r="A32" s="1" t="s">
        <v>186</v>
      </c>
      <c r="B32" s="3"/>
      <c r="C32" s="1" t="s">
        <v>339</v>
      </c>
    </row>
    <row r="33" spans="1:3" x14ac:dyDescent="0.2">
      <c r="A33" s="1" t="s">
        <v>97</v>
      </c>
      <c r="B33" s="3"/>
      <c r="C33" s="1" t="s">
        <v>339</v>
      </c>
    </row>
    <row r="34" spans="1:3" x14ac:dyDescent="0.2">
      <c r="A34" s="1" t="s">
        <v>256</v>
      </c>
      <c r="B34" s="3">
        <v>145.69999999999999</v>
      </c>
      <c r="C34" s="1" t="s">
        <v>401</v>
      </c>
    </row>
    <row r="35" spans="1:3" x14ac:dyDescent="0.2">
      <c r="A35" s="1" t="s">
        <v>95</v>
      </c>
      <c r="B35" s="3"/>
      <c r="C35" s="1" t="s">
        <v>339</v>
      </c>
    </row>
    <row r="36" spans="1:3" x14ac:dyDescent="0.2">
      <c r="A36" s="50" t="s">
        <v>146</v>
      </c>
      <c r="B36" s="51"/>
      <c r="C36" s="50" t="s">
        <v>339</v>
      </c>
    </row>
    <row r="37" spans="1:3" x14ac:dyDescent="0.2">
      <c r="A37" s="43" t="s">
        <v>285</v>
      </c>
      <c r="B37" s="54"/>
      <c r="C37" s="50" t="s">
        <v>339</v>
      </c>
    </row>
    <row r="39" spans="1:3" ht="32" customHeight="1" x14ac:dyDescent="0.2">
      <c r="A39" s="256" t="s">
        <v>495</v>
      </c>
      <c r="B39" s="257"/>
      <c r="C39" s="257"/>
    </row>
    <row r="40" spans="1:3" x14ac:dyDescent="0.2">
      <c r="A40" s="2" t="s">
        <v>397</v>
      </c>
      <c r="B40" s="2" t="s">
        <v>398</v>
      </c>
      <c r="C40" s="2" t="s">
        <v>399</v>
      </c>
    </row>
    <row r="41" spans="1:3" x14ac:dyDescent="0.2">
      <c r="A41" s="1" t="s">
        <v>409</v>
      </c>
      <c r="B41" s="3">
        <v>12.9</v>
      </c>
      <c r="C41" s="1" t="s">
        <v>407</v>
      </c>
    </row>
    <row r="42" spans="1:3" x14ac:dyDescent="0.2">
      <c r="A42" s="1" t="s">
        <v>410</v>
      </c>
      <c r="B42" s="3">
        <v>28.9</v>
      </c>
      <c r="C42" s="1" t="s">
        <v>407</v>
      </c>
    </row>
    <row r="43" spans="1:3" x14ac:dyDescent="0.2">
      <c r="A43" s="1" t="s">
        <v>411</v>
      </c>
      <c r="B43" s="3"/>
      <c r="C43" s="1" t="s">
        <v>339</v>
      </c>
    </row>
    <row r="44" spans="1:3" x14ac:dyDescent="0.2">
      <c r="A44" s="1" t="s">
        <v>186</v>
      </c>
      <c r="B44" s="3"/>
      <c r="C44" s="1" t="s">
        <v>339</v>
      </c>
    </row>
    <row r="45" spans="1:3" x14ac:dyDescent="0.2">
      <c r="A45" s="1" t="s">
        <v>97</v>
      </c>
      <c r="B45" s="3"/>
      <c r="C45" s="1" t="s">
        <v>339</v>
      </c>
    </row>
    <row r="46" spans="1:3" x14ac:dyDescent="0.2">
      <c r="A46" s="1" t="s">
        <v>256</v>
      </c>
      <c r="B46" s="3">
        <v>58.9</v>
      </c>
      <c r="C46" s="1" t="s">
        <v>401</v>
      </c>
    </row>
    <row r="47" spans="1:3" x14ac:dyDescent="0.2">
      <c r="A47" s="1" t="s">
        <v>412</v>
      </c>
      <c r="B47" s="3">
        <v>109.9</v>
      </c>
      <c r="C47" s="1" t="s">
        <v>401</v>
      </c>
    </row>
    <row r="48" spans="1:3" x14ac:dyDescent="0.2">
      <c r="A48" s="1" t="s">
        <v>95</v>
      </c>
      <c r="B48" s="3"/>
      <c r="C48" s="1" t="s">
        <v>339</v>
      </c>
    </row>
    <row r="49" spans="1:3" x14ac:dyDescent="0.2">
      <c r="A49" s="50" t="s">
        <v>146</v>
      </c>
      <c r="B49" s="51"/>
      <c r="C49" s="50" t="s">
        <v>339</v>
      </c>
    </row>
    <row r="50" spans="1:3" x14ac:dyDescent="0.2">
      <c r="A50" s="43" t="s">
        <v>285</v>
      </c>
      <c r="B50" s="54"/>
      <c r="C50" s="50" t="s">
        <v>339</v>
      </c>
    </row>
    <row r="51" spans="1:3" x14ac:dyDescent="0.2">
      <c r="A51" s="55" t="s">
        <v>413</v>
      </c>
      <c r="B51" s="54">
        <v>0.7</v>
      </c>
    </row>
  </sheetData>
  <mergeCells count="9">
    <mergeCell ref="L3:N3"/>
    <mergeCell ref="A27:C27"/>
    <mergeCell ref="A39:C39"/>
    <mergeCell ref="A21:C21"/>
    <mergeCell ref="A1:G1"/>
    <mergeCell ref="A9:C9"/>
    <mergeCell ref="A3:C3"/>
    <mergeCell ref="E3:G3"/>
    <mergeCell ref="I3:K3"/>
  </mergeCells>
  <conditionalFormatting sqref="B5:B6">
    <cfRule type="expression" dxfId="11" priority="1">
      <formula>OR(B5="",B5&lt;=0)</formula>
    </cfRule>
  </conditionalFormatting>
  <conditionalFormatting sqref="B11:B20">
    <cfRule type="expression" dxfId="10" priority="3">
      <formula>OR(B11="",B11&lt;=0)</formula>
    </cfRule>
  </conditionalFormatting>
  <conditionalFormatting sqref="B23">
    <cfRule type="expression" dxfId="9" priority="4">
      <formula>OR(B23="",B23&lt;=0)</formula>
    </cfRule>
  </conditionalFormatting>
  <conditionalFormatting sqref="F5:F7">
    <cfRule type="expression" dxfId="8" priority="2">
      <formula>OR(F5="",F5&lt;=0)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2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22" customWidth="1"/>
    <col min="2" max="2" width="46" customWidth="1"/>
    <col min="3" max="3" width="15" customWidth="1"/>
    <col min="4" max="4" width="32" customWidth="1"/>
    <col min="5" max="5" width="28" customWidth="1"/>
    <col min="6" max="6" width="16" customWidth="1"/>
    <col min="7" max="7" width="15" customWidth="1"/>
    <col min="8" max="8" width="38" customWidth="1"/>
  </cols>
  <sheetData>
    <row r="1" spans="1:8" ht="37.25" customHeight="1" x14ac:dyDescent="0.2">
      <c r="A1" s="198" t="s">
        <v>496</v>
      </c>
      <c r="B1" s="198"/>
      <c r="C1" s="198"/>
      <c r="D1" s="198"/>
      <c r="E1" s="198"/>
      <c r="F1" s="198"/>
      <c r="G1" s="198"/>
      <c r="H1" s="198"/>
    </row>
    <row r="2" spans="1:8" ht="26.75" customHeight="1" x14ac:dyDescent="0.2">
      <c r="A2" s="199" t="s">
        <v>497</v>
      </c>
      <c r="B2" s="199"/>
      <c r="C2" s="199"/>
      <c r="D2" s="199"/>
      <c r="E2" s="199"/>
      <c r="F2" s="199"/>
      <c r="G2" s="199"/>
      <c r="H2" s="199"/>
    </row>
    <row r="3" spans="1:8" x14ac:dyDescent="0.2">
      <c r="A3" s="57"/>
      <c r="B3" s="57"/>
      <c r="C3" s="57"/>
      <c r="D3" s="57"/>
      <c r="E3" s="57"/>
      <c r="F3" s="57"/>
      <c r="G3" s="57"/>
      <c r="H3" s="57"/>
    </row>
    <row r="4" spans="1:8" ht="32" customHeight="1" x14ac:dyDescent="0.2">
      <c r="A4" s="100" t="s">
        <v>498</v>
      </c>
      <c r="B4" s="101" t="s">
        <v>499</v>
      </c>
      <c r="C4" s="102" t="s">
        <v>500</v>
      </c>
      <c r="D4" s="57"/>
      <c r="E4" s="57"/>
      <c r="F4" s="57"/>
      <c r="G4" s="57"/>
      <c r="H4" s="57"/>
    </row>
    <row r="5" spans="1:8" ht="40" customHeight="1" x14ac:dyDescent="0.2">
      <c r="A5" s="113" t="s">
        <v>501</v>
      </c>
      <c r="B5" s="103">
        <f>SUM('📋 Explosión y Despiece Bla'!$V$2:$V$643)</f>
        <v>0</v>
      </c>
      <c r="C5" s="106" t="s">
        <v>502</v>
      </c>
      <c r="D5" s="57"/>
      <c r="E5" s="57"/>
      <c r="F5" s="57"/>
      <c r="G5" s="57"/>
      <c r="H5" s="57"/>
    </row>
    <row r="6" spans="1:8" ht="40" customHeight="1" x14ac:dyDescent="0.2">
      <c r="A6" s="115" t="s">
        <v>503</v>
      </c>
      <c r="B6" s="104">
        <f>SUM('📋 Explosión y Despiece Mad'!$V$2:$V$713)</f>
        <v>0</v>
      </c>
      <c r="C6" s="107" t="s">
        <v>504</v>
      </c>
      <c r="D6" s="57"/>
      <c r="E6" s="57"/>
      <c r="F6" s="57"/>
      <c r="G6" s="57"/>
      <c r="H6" s="57"/>
    </row>
    <row r="7" spans="1:8" ht="40" customHeight="1" x14ac:dyDescent="0.2">
      <c r="A7" s="115" t="s">
        <v>505</v>
      </c>
      <c r="B7" s="104">
        <f>COUNTBLANK('⚙️ Configuración Costos'!$B$5:$B$6)+COUNTIF('⚙️ Configuración Costos'!$B$5:$B$6,0)+COUNTBLANK('⚙️ Configuración Costos'!$F$5:$F$6)+COUNTIF('⚙️ Configuración Costos'!$F$5:$F$6,0)+COUNTBLANK('⚙️ Configuración Costos'!$B$11:$B$20)+COUNTIF('⚙️ Configuración Costos'!$B$11:$B$20,0)+COUNTBLANK('⚙️ Configuración Costos'!$B$23:$B$23)+COUNTIF('⚙️ Configuración Costos'!$B$23:$B$23,0)</f>
        <v>0</v>
      </c>
      <c r="C7" s="107" t="s">
        <v>506</v>
      </c>
      <c r="D7" s="57"/>
      <c r="E7" s="57"/>
      <c r="F7" s="57"/>
      <c r="G7" s="57"/>
      <c r="H7" s="57"/>
    </row>
    <row r="8" spans="1:8" ht="40" customHeight="1" x14ac:dyDescent="0.2">
      <c r="A8" s="117" t="s">
        <v>507</v>
      </c>
      <c r="B8" s="105">
        <f>IF(ISNUMBER('📊 Resumen y Cotización'!$M$28),0,1)</f>
        <v>0</v>
      </c>
      <c r="C8" s="108" t="s">
        <v>508</v>
      </c>
      <c r="D8" s="57"/>
      <c r="E8" s="57"/>
      <c r="F8" s="57"/>
      <c r="G8" s="57"/>
      <c r="H8" s="57"/>
    </row>
    <row r="9" spans="1:8" ht="29.25" customHeight="1" x14ac:dyDescent="0.2">
      <c r="A9" s="109" t="s">
        <v>509</v>
      </c>
      <c r="B9" s="262" t="str">
        <f>IF(SUM(B5:B8)=0,"LISTO PARA COTIZAR","REVISAR ANTES DE COTIZAR")</f>
        <v>LISTO PARA COTIZAR</v>
      </c>
      <c r="C9" s="263"/>
      <c r="D9" s="263"/>
      <c r="E9" s="263"/>
      <c r="F9" s="263"/>
      <c r="G9" s="263"/>
      <c r="H9" s="264"/>
    </row>
    <row r="10" spans="1:8" x14ac:dyDescent="0.2">
      <c r="A10" s="57"/>
      <c r="B10" s="57"/>
      <c r="C10" s="57"/>
      <c r="D10" s="57"/>
      <c r="E10" s="57"/>
      <c r="F10" s="57"/>
      <c r="G10" s="57"/>
      <c r="H10" s="57"/>
    </row>
    <row r="11" spans="1:8" ht="32" customHeight="1" x14ac:dyDescent="0.2">
      <c r="A11" s="265" t="s">
        <v>510</v>
      </c>
      <c r="B11" s="266"/>
      <c r="C11" s="266"/>
      <c r="D11" s="266"/>
      <c r="E11" s="266"/>
      <c r="F11" s="266"/>
      <c r="G11" s="266"/>
      <c r="H11" s="267"/>
    </row>
    <row r="12" spans="1:8" ht="40" customHeight="1" x14ac:dyDescent="0.2">
      <c r="A12" s="277" t="s">
        <v>511</v>
      </c>
      <c r="B12" s="278">
        <f>SUMIF('📋 Explosión y Despiece Mad'!$D$2:$D$713,"Taquetes de Madera 8x30mm",'📋 Explosión y Despiece Mad'!$A$2:$A$713)</f>
        <v>1064</v>
      </c>
      <c r="C12" s="133">
        <f>SUMIF('📋 Explosión y Despiece Mad'!$D$2:$D$713,"Taquetes de Madera 8x30mm",'📋 Explosión y Despiece Mad'!$A$2:$A$713)</f>
        <v>1064</v>
      </c>
      <c r="D12" s="279" t="s">
        <v>512</v>
      </c>
      <c r="E12" s="280"/>
      <c r="F12" s="280"/>
      <c r="G12" s="280"/>
      <c r="H12" s="281"/>
    </row>
    <row r="13" spans="1:8" ht="40" customHeight="1" x14ac:dyDescent="0.2">
      <c r="A13" s="277" t="s">
        <v>513</v>
      </c>
      <c r="B13" s="282">
        <f>B12</f>
        <v>1064</v>
      </c>
      <c r="C13" s="134">
        <f>C12</f>
        <v>1064</v>
      </c>
      <c r="D13" s="279" t="s">
        <v>514</v>
      </c>
      <c r="E13" s="280"/>
      <c r="F13" s="280"/>
      <c r="G13" s="280"/>
      <c r="H13" s="281"/>
    </row>
    <row r="14" spans="1:8" ht="40" customHeight="1" x14ac:dyDescent="0.2">
      <c r="A14" s="277" t="s">
        <v>515</v>
      </c>
      <c r="B14" s="282">
        <f>B13*'📊 Resumen y Cotización'!$L$14</f>
        <v>7128.8</v>
      </c>
      <c r="C14" s="134">
        <f>C13*'📊 Resumen y Cotización'!$L$14</f>
        <v>7128.8</v>
      </c>
      <c r="D14" s="279" t="s">
        <v>516</v>
      </c>
      <c r="E14" s="280"/>
      <c r="F14" s="280"/>
      <c r="G14" s="280"/>
      <c r="H14" s="281"/>
    </row>
    <row r="15" spans="1:8" ht="40" customHeight="1" x14ac:dyDescent="0.2">
      <c r="A15" s="277" t="s">
        <v>517</v>
      </c>
      <c r="B15" s="282">
        <f>B14*1.16</f>
        <v>8269.4079999999994</v>
      </c>
      <c r="C15" s="134">
        <f>C14*1.16</f>
        <v>8269.4079999999994</v>
      </c>
      <c r="D15" s="279" t="s">
        <v>518</v>
      </c>
      <c r="E15" s="280"/>
      <c r="F15" s="280"/>
      <c r="G15" s="280"/>
      <c r="H15" s="281"/>
    </row>
    <row r="16" spans="1:8" ht="32" customHeight="1" x14ac:dyDescent="0.2">
      <c r="A16" s="57"/>
      <c r="B16" s="57"/>
      <c r="C16" s="57"/>
      <c r="D16" s="57"/>
      <c r="E16" s="57"/>
      <c r="F16" s="57"/>
      <c r="G16" s="57"/>
      <c r="H16" s="57"/>
    </row>
    <row r="17" spans="1:8" ht="32" customHeight="1" x14ac:dyDescent="0.2">
      <c r="A17" s="268" t="s">
        <v>519</v>
      </c>
      <c r="B17" s="269"/>
      <c r="C17" s="269"/>
      <c r="D17" s="269"/>
      <c r="E17" s="269"/>
      <c r="F17" s="269"/>
      <c r="G17" s="269"/>
      <c r="H17" s="270"/>
    </row>
    <row r="18" spans="1:8" ht="37.25" customHeight="1" x14ac:dyDescent="0.2">
      <c r="A18" s="110" t="s">
        <v>520</v>
      </c>
      <c r="B18" s="111" t="s">
        <v>521</v>
      </c>
      <c r="C18" s="111" t="s">
        <v>522</v>
      </c>
      <c r="D18" s="111" t="s">
        <v>523</v>
      </c>
      <c r="E18" s="111" t="s">
        <v>524</v>
      </c>
      <c r="F18" s="111" t="s">
        <v>525</v>
      </c>
      <c r="G18" s="111" t="s">
        <v>526</v>
      </c>
      <c r="H18" s="112" t="s">
        <v>449</v>
      </c>
    </row>
    <row r="19" spans="1:8" ht="64" customHeight="1" x14ac:dyDescent="0.2">
      <c r="A19" s="125">
        <v>1</v>
      </c>
      <c r="B19" s="119" t="s">
        <v>527</v>
      </c>
      <c r="C19" s="128" t="s">
        <v>528</v>
      </c>
      <c r="D19" s="119" t="s">
        <v>529</v>
      </c>
      <c r="E19" s="119" t="s">
        <v>530</v>
      </c>
      <c r="F19" s="119" t="s">
        <v>531</v>
      </c>
      <c r="G19" s="119" t="s">
        <v>532</v>
      </c>
      <c r="H19" s="120" t="s">
        <v>533</v>
      </c>
    </row>
    <row r="20" spans="1:8" ht="64" customHeight="1" x14ac:dyDescent="0.2">
      <c r="A20" s="126">
        <v>2</v>
      </c>
      <c r="B20" s="121" t="s">
        <v>534</v>
      </c>
      <c r="C20" s="129" t="s">
        <v>528</v>
      </c>
      <c r="D20" s="121" t="s">
        <v>535</v>
      </c>
      <c r="E20" s="121" t="s">
        <v>536</v>
      </c>
      <c r="F20" s="121" t="s">
        <v>537</v>
      </c>
      <c r="G20" s="121" t="s">
        <v>532</v>
      </c>
      <c r="H20" s="122" t="s">
        <v>538</v>
      </c>
    </row>
    <row r="21" spans="1:8" ht="64" customHeight="1" x14ac:dyDescent="0.2">
      <c r="A21" s="126">
        <v>3</v>
      </c>
      <c r="B21" s="121" t="s">
        <v>539</v>
      </c>
      <c r="C21" s="129" t="s">
        <v>528</v>
      </c>
      <c r="D21" s="121" t="s">
        <v>540</v>
      </c>
      <c r="E21" s="121" t="s">
        <v>541</v>
      </c>
      <c r="F21" s="121" t="s">
        <v>542</v>
      </c>
      <c r="G21" s="121" t="s">
        <v>532</v>
      </c>
      <c r="H21" s="122" t="s">
        <v>543</v>
      </c>
    </row>
    <row r="22" spans="1:8" ht="64" customHeight="1" x14ac:dyDescent="0.2">
      <c r="A22" s="126">
        <v>4</v>
      </c>
      <c r="B22" s="121" t="s">
        <v>544</v>
      </c>
      <c r="C22" s="129" t="s">
        <v>528</v>
      </c>
      <c r="D22" s="121" t="s">
        <v>545</v>
      </c>
      <c r="E22" s="121" t="s">
        <v>546</v>
      </c>
      <c r="F22" s="121" t="s">
        <v>547</v>
      </c>
      <c r="G22" s="121" t="s">
        <v>532</v>
      </c>
      <c r="H22" s="122" t="s">
        <v>548</v>
      </c>
    </row>
    <row r="23" spans="1:8" ht="64" customHeight="1" x14ac:dyDescent="0.2">
      <c r="A23" s="126">
        <v>5</v>
      </c>
      <c r="B23" s="121" t="s">
        <v>549</v>
      </c>
      <c r="C23" s="129" t="s">
        <v>528</v>
      </c>
      <c r="D23" s="121" t="s">
        <v>550</v>
      </c>
      <c r="E23" s="121" t="s">
        <v>551</v>
      </c>
      <c r="F23" s="121" t="s">
        <v>552</v>
      </c>
      <c r="G23" s="121" t="s">
        <v>553</v>
      </c>
      <c r="H23" s="122" t="s">
        <v>554</v>
      </c>
    </row>
    <row r="24" spans="1:8" ht="64" customHeight="1" x14ac:dyDescent="0.2">
      <c r="A24" s="126">
        <v>6</v>
      </c>
      <c r="B24" s="121" t="s">
        <v>555</v>
      </c>
      <c r="C24" s="129" t="s">
        <v>528</v>
      </c>
      <c r="D24" s="121" t="s">
        <v>644</v>
      </c>
      <c r="E24" s="121" t="s">
        <v>664</v>
      </c>
      <c r="F24" s="121" t="s">
        <v>556</v>
      </c>
      <c r="G24" s="121" t="s">
        <v>532</v>
      </c>
      <c r="H24" s="122" t="s">
        <v>645</v>
      </c>
    </row>
    <row r="25" spans="1:8" ht="64" customHeight="1" x14ac:dyDescent="0.2">
      <c r="A25" s="126">
        <v>7</v>
      </c>
      <c r="B25" s="121" t="s">
        <v>557</v>
      </c>
      <c r="C25" s="129" t="s">
        <v>558</v>
      </c>
      <c r="D25" s="121" t="s">
        <v>559</v>
      </c>
      <c r="E25" s="121" t="s">
        <v>560</v>
      </c>
      <c r="F25" s="121" t="s">
        <v>561</v>
      </c>
      <c r="G25" s="121" t="s">
        <v>532</v>
      </c>
      <c r="H25" s="122" t="s">
        <v>562</v>
      </c>
    </row>
    <row r="26" spans="1:8" ht="64" customHeight="1" x14ac:dyDescent="0.2">
      <c r="A26" s="127">
        <v>8</v>
      </c>
      <c r="B26" s="123" t="s">
        <v>563</v>
      </c>
      <c r="C26" s="130" t="s">
        <v>528</v>
      </c>
      <c r="D26" s="123" t="s">
        <v>564</v>
      </c>
      <c r="E26" s="123" t="s">
        <v>565</v>
      </c>
      <c r="F26" s="123" t="s">
        <v>566</v>
      </c>
      <c r="G26" s="123" t="s">
        <v>532</v>
      </c>
      <c r="H26" s="124" t="s">
        <v>567</v>
      </c>
    </row>
    <row r="27" spans="1:8" x14ac:dyDescent="0.2">
      <c r="A27" s="57"/>
      <c r="B27" s="57"/>
      <c r="C27" s="57"/>
      <c r="D27" s="57"/>
      <c r="E27" s="57"/>
      <c r="F27" s="57"/>
      <c r="G27" s="57"/>
      <c r="H27" s="57"/>
    </row>
    <row r="28" spans="1:8" ht="32" customHeight="1" x14ac:dyDescent="0.2">
      <c r="A28" s="271" t="s">
        <v>665</v>
      </c>
      <c r="B28" s="272"/>
      <c r="C28" s="272"/>
      <c r="D28" s="272"/>
      <c r="E28" s="272"/>
      <c r="F28" s="272"/>
      <c r="G28" s="272"/>
      <c r="H28" s="273"/>
    </row>
    <row r="29" spans="1:8" ht="32" customHeight="1" x14ac:dyDescent="0.2">
      <c r="A29" s="131" t="s">
        <v>1</v>
      </c>
      <c r="B29" s="132" t="s">
        <v>2</v>
      </c>
      <c r="C29" s="132" t="s">
        <v>568</v>
      </c>
      <c r="D29" s="132" t="s">
        <v>569</v>
      </c>
      <c r="E29" s="132" t="s">
        <v>522</v>
      </c>
      <c r="F29" s="132" t="s">
        <v>570</v>
      </c>
      <c r="G29" s="132" t="s">
        <v>571</v>
      </c>
      <c r="H29" s="64" t="s">
        <v>572</v>
      </c>
    </row>
    <row r="30" spans="1:8" ht="29.25" customHeight="1" x14ac:dyDescent="0.2">
      <c r="A30" s="71" t="s">
        <v>3</v>
      </c>
      <c r="B30" s="114" t="s">
        <v>62</v>
      </c>
      <c r="C30" s="183">
        <f>COUNTIF('📋 Explosión y Despiece Bla'!$K$2:$K$643,A30)</f>
        <v>17</v>
      </c>
      <c r="D30" s="183">
        <f>COUNTIF('📋 Explosión y Despiece Mad'!$K$2:$K$713,A30)</f>
        <v>18</v>
      </c>
      <c r="E30" s="177" t="str">
        <f t="shared" ref="E30:E77" si="0">IF(AND(C30&gt;0,D30&gt;0),"OK","REVISAR")</f>
        <v>OK</v>
      </c>
      <c r="F30" s="183">
        <f>SUMIF('📋 Explosión y Despiece Mad'!$K$2:$K$713,A30,'📋 Explosión y Despiece Mad'!$V$2:$V$713)</f>
        <v>0</v>
      </c>
      <c r="G30" s="177" t="str">
        <f>IF(COUNTIF('📊 Resumen y Cotización'!$B$13:$B$60,A30)&gt;0,"SÍ","NO")</f>
        <v>SÍ</v>
      </c>
      <c r="H30" s="178" t="str">
        <f t="shared" ref="H30:H77" si="1">IF(E30&lt;&gt;"OK","Falta en un despiece",IF(F30&gt;0,"Costo MAD pendiente","Correcto"))</f>
        <v>Correcto</v>
      </c>
    </row>
    <row r="31" spans="1:8" ht="29.25" customHeight="1" x14ac:dyDescent="0.2">
      <c r="A31" s="72" t="s">
        <v>4</v>
      </c>
      <c r="B31" s="116" t="s">
        <v>100</v>
      </c>
      <c r="C31" s="184">
        <f>COUNTIF('📋 Explosión y Despiece Bla'!$K$2:$K$643,A31)</f>
        <v>11</v>
      </c>
      <c r="D31" s="184">
        <f>COUNTIF('📋 Explosión y Despiece Mad'!$K$2:$K$713,A31)</f>
        <v>12</v>
      </c>
      <c r="E31" s="179" t="str">
        <f t="shared" si="0"/>
        <v>OK</v>
      </c>
      <c r="F31" s="184">
        <f>SUMIF('📋 Explosión y Despiece Mad'!$K$2:$K$713,A31,'📋 Explosión y Despiece Mad'!$V$2:$V$713)</f>
        <v>0</v>
      </c>
      <c r="G31" s="179" t="str">
        <f>IF(COUNTIF('📊 Resumen y Cotización'!$B$13:$B$60,A31)&gt;0,"SÍ","NO")</f>
        <v>SÍ</v>
      </c>
      <c r="H31" s="180" t="str">
        <f t="shared" si="1"/>
        <v>Correcto</v>
      </c>
    </row>
    <row r="32" spans="1:8" ht="29.25" customHeight="1" x14ac:dyDescent="0.2">
      <c r="A32" s="72" t="s">
        <v>5</v>
      </c>
      <c r="B32" s="116" t="s">
        <v>106</v>
      </c>
      <c r="C32" s="184">
        <f>COUNTIF('📋 Explosión y Despiece Bla'!$K$2:$K$643,A32)</f>
        <v>11</v>
      </c>
      <c r="D32" s="184">
        <f>COUNTIF('📋 Explosión y Despiece Mad'!$K$2:$K$713,A32)</f>
        <v>12</v>
      </c>
      <c r="E32" s="179" t="str">
        <f t="shared" si="0"/>
        <v>OK</v>
      </c>
      <c r="F32" s="184">
        <f>SUMIF('📋 Explosión y Despiece Mad'!$K$2:$K$713,A32,'📋 Explosión y Despiece Mad'!$V$2:$V$713)</f>
        <v>0</v>
      </c>
      <c r="G32" s="179" t="str">
        <f>IF(COUNTIF('📊 Resumen y Cotización'!$B$13:$B$60,A32)&gt;0,"SÍ","NO")</f>
        <v>SÍ</v>
      </c>
      <c r="H32" s="180" t="str">
        <f t="shared" si="1"/>
        <v>Correcto</v>
      </c>
    </row>
    <row r="33" spans="1:8" ht="29.25" customHeight="1" x14ac:dyDescent="0.2">
      <c r="A33" s="72" t="s">
        <v>6</v>
      </c>
      <c r="B33" s="116" t="s">
        <v>112</v>
      </c>
      <c r="C33" s="184">
        <f>COUNTIF('📋 Explosión y Despiece Bla'!$K$2:$K$643,A33)</f>
        <v>11</v>
      </c>
      <c r="D33" s="184">
        <f>COUNTIF('📋 Explosión y Despiece Mad'!$K$2:$K$713,A33)</f>
        <v>12</v>
      </c>
      <c r="E33" s="179" t="str">
        <f t="shared" si="0"/>
        <v>OK</v>
      </c>
      <c r="F33" s="184">
        <f>SUMIF('📋 Explosión y Despiece Mad'!$K$2:$K$713,A33,'📋 Explosión y Despiece Mad'!$V$2:$V$713)</f>
        <v>0</v>
      </c>
      <c r="G33" s="179" t="str">
        <f>IF(COUNTIF('📊 Resumen y Cotización'!$B$13:$B$60,A33)&gt;0,"SÍ","NO")</f>
        <v>SÍ</v>
      </c>
      <c r="H33" s="180" t="str">
        <f t="shared" si="1"/>
        <v>Correcto</v>
      </c>
    </row>
    <row r="34" spans="1:8" ht="29.25" customHeight="1" x14ac:dyDescent="0.2">
      <c r="A34" s="72" t="s">
        <v>7</v>
      </c>
      <c r="B34" s="116" t="s">
        <v>118</v>
      </c>
      <c r="C34" s="184">
        <f>COUNTIF('📋 Explosión y Despiece Bla'!$K$2:$K$643,A34)</f>
        <v>11</v>
      </c>
      <c r="D34" s="184">
        <f>COUNTIF('📋 Explosión y Despiece Mad'!$K$2:$K$713,A34)</f>
        <v>12</v>
      </c>
      <c r="E34" s="179" t="str">
        <f t="shared" si="0"/>
        <v>OK</v>
      </c>
      <c r="F34" s="184">
        <f>SUMIF('📋 Explosión y Despiece Mad'!$K$2:$K$713,A34,'📋 Explosión y Despiece Mad'!$V$2:$V$713)</f>
        <v>0</v>
      </c>
      <c r="G34" s="179" t="str">
        <f>IF(COUNTIF('📊 Resumen y Cotización'!$B$13:$B$60,A34)&gt;0,"SÍ","NO")</f>
        <v>SÍ</v>
      </c>
      <c r="H34" s="180" t="str">
        <f t="shared" si="1"/>
        <v>Correcto</v>
      </c>
    </row>
    <row r="35" spans="1:8" ht="29.25" customHeight="1" x14ac:dyDescent="0.2">
      <c r="A35" s="72" t="s">
        <v>8</v>
      </c>
      <c r="B35" s="116" t="s">
        <v>124</v>
      </c>
      <c r="C35" s="184">
        <f>COUNTIF('📋 Explosión y Despiece Bla'!$K$2:$K$643,A35)</f>
        <v>12</v>
      </c>
      <c r="D35" s="184">
        <f>COUNTIF('📋 Explosión y Despiece Mad'!$K$2:$K$713,A35)</f>
        <v>13</v>
      </c>
      <c r="E35" s="179" t="str">
        <f t="shared" si="0"/>
        <v>OK</v>
      </c>
      <c r="F35" s="184">
        <f>SUMIF('📋 Explosión y Despiece Mad'!$K$2:$K$713,A35,'📋 Explosión y Despiece Mad'!$V$2:$V$713)</f>
        <v>0</v>
      </c>
      <c r="G35" s="179" t="str">
        <f>IF(COUNTIF('📊 Resumen y Cotización'!$B$13:$B$60,A35)&gt;0,"SÍ","NO")</f>
        <v>SÍ</v>
      </c>
      <c r="H35" s="180" t="str">
        <f t="shared" si="1"/>
        <v>Correcto</v>
      </c>
    </row>
    <row r="36" spans="1:8" ht="29.25" customHeight="1" x14ac:dyDescent="0.2">
      <c r="A36" s="72" t="s">
        <v>9</v>
      </c>
      <c r="B36" s="116" t="s">
        <v>133</v>
      </c>
      <c r="C36" s="184">
        <f>COUNTIF('📋 Explosión y Despiece Bla'!$K$2:$K$643,A36)</f>
        <v>12</v>
      </c>
      <c r="D36" s="184">
        <f>COUNTIF('📋 Explosión y Despiece Mad'!$K$2:$K$713,A36)</f>
        <v>13</v>
      </c>
      <c r="E36" s="179" t="str">
        <f t="shared" si="0"/>
        <v>OK</v>
      </c>
      <c r="F36" s="184">
        <f>SUMIF('📋 Explosión y Despiece Mad'!$K$2:$K$713,A36,'📋 Explosión y Despiece Mad'!$V$2:$V$713)</f>
        <v>0</v>
      </c>
      <c r="G36" s="179" t="str">
        <f>IF(COUNTIF('📊 Resumen y Cotización'!$B$13:$B$60,A36)&gt;0,"SÍ","NO")</f>
        <v>SÍ</v>
      </c>
      <c r="H36" s="180" t="str">
        <f t="shared" si="1"/>
        <v>Correcto</v>
      </c>
    </row>
    <row r="37" spans="1:8" ht="29.25" customHeight="1" x14ac:dyDescent="0.2">
      <c r="A37" s="72" t="s">
        <v>10</v>
      </c>
      <c r="B37" s="116" t="s">
        <v>134</v>
      </c>
      <c r="C37" s="184">
        <f>COUNTIF('📋 Explosión y Despiece Bla'!$K$2:$K$643,A37)</f>
        <v>12</v>
      </c>
      <c r="D37" s="184">
        <f>COUNTIF('📋 Explosión y Despiece Mad'!$K$2:$K$713,A37)</f>
        <v>13</v>
      </c>
      <c r="E37" s="179" t="str">
        <f t="shared" si="0"/>
        <v>OK</v>
      </c>
      <c r="F37" s="184">
        <f>SUMIF('📋 Explosión y Despiece Mad'!$K$2:$K$713,A37,'📋 Explosión y Despiece Mad'!$V$2:$V$713)</f>
        <v>0</v>
      </c>
      <c r="G37" s="179" t="str">
        <f>IF(COUNTIF('📊 Resumen y Cotización'!$B$13:$B$60,A37)&gt;0,"SÍ","NO")</f>
        <v>SÍ</v>
      </c>
      <c r="H37" s="180" t="str">
        <f t="shared" si="1"/>
        <v>Correcto</v>
      </c>
    </row>
    <row r="38" spans="1:8" ht="29.25" customHeight="1" x14ac:dyDescent="0.2">
      <c r="A38" s="72" t="s">
        <v>629</v>
      </c>
      <c r="B38" s="116" t="s">
        <v>628</v>
      </c>
      <c r="C38" s="184">
        <f>COUNTIF('📋 Explosión y Despiece Bla'!$K$2:$K$643,A38)</f>
        <v>10</v>
      </c>
      <c r="D38" s="184">
        <f>COUNTIF('📋 Explosión y Despiece Mad'!$K$2:$K$713,A38)</f>
        <v>11</v>
      </c>
      <c r="E38" s="179" t="str">
        <f t="shared" ref="E38" si="2">IF(AND(C38&gt;0,D38&gt;0),"OK","REVISAR")</f>
        <v>OK</v>
      </c>
      <c r="F38" s="184">
        <f>SUMIF('📋 Explosión y Despiece Mad'!$K$2:$K$713,A38,'📋 Explosión y Despiece Mad'!$V$2:$V$713)</f>
        <v>0</v>
      </c>
      <c r="G38" s="179" t="str">
        <f>IF(COUNTIF('📊 Resumen y Cotización'!$B$13:$B$60,A38)&gt;0,"SÍ","NO")</f>
        <v>SÍ</v>
      </c>
      <c r="H38" s="180" t="str">
        <f t="shared" ref="H38" si="3">IF(E38&lt;&gt;"OK","Falta en un despiece",IF(F38&gt;0,"Costo MAD pendiente","Correcto"))</f>
        <v>Correcto</v>
      </c>
    </row>
    <row r="39" spans="1:8" ht="29.25" customHeight="1" x14ac:dyDescent="0.2">
      <c r="A39" s="72" t="s">
        <v>11</v>
      </c>
      <c r="B39" s="116" t="s">
        <v>141</v>
      </c>
      <c r="C39" s="184">
        <f>COUNTIF('📋 Explosión y Despiece Bla'!$K$2:$K$643,A39)</f>
        <v>10</v>
      </c>
      <c r="D39" s="184">
        <f>COUNTIF('📋 Explosión y Despiece Mad'!$K$2:$K$713,A39)</f>
        <v>11</v>
      </c>
      <c r="E39" s="179" t="str">
        <f t="shared" si="0"/>
        <v>OK</v>
      </c>
      <c r="F39" s="184">
        <f>SUMIF('📋 Explosión y Despiece Mad'!$K$2:$K$713,A39,'📋 Explosión y Despiece Mad'!$V$2:$V$713)</f>
        <v>0</v>
      </c>
      <c r="G39" s="179" t="str">
        <f>IF(COUNTIF('📊 Resumen y Cotización'!$B$13:$B$60,A39)&gt;0,"SÍ","NO")</f>
        <v>SÍ</v>
      </c>
      <c r="H39" s="180" t="str">
        <f t="shared" si="1"/>
        <v>Correcto</v>
      </c>
    </row>
    <row r="40" spans="1:8" ht="29.25" customHeight="1" x14ac:dyDescent="0.2">
      <c r="A40" s="72" t="s">
        <v>12</v>
      </c>
      <c r="B40" s="116" t="s">
        <v>148</v>
      </c>
      <c r="C40" s="184">
        <f>COUNTIF('📋 Explosión y Despiece Bla'!$K$2:$K$643,A40)</f>
        <v>10</v>
      </c>
      <c r="D40" s="184">
        <f>COUNTIF('📋 Explosión y Despiece Mad'!$K$2:$K$713,A40)</f>
        <v>11</v>
      </c>
      <c r="E40" s="179" t="str">
        <f t="shared" si="0"/>
        <v>OK</v>
      </c>
      <c r="F40" s="184">
        <f>SUMIF('📋 Explosión y Despiece Mad'!$K$2:$K$713,A40,'📋 Explosión y Despiece Mad'!$V$2:$V$713)</f>
        <v>0</v>
      </c>
      <c r="G40" s="179" t="str">
        <f>IF(COUNTIF('📊 Resumen y Cotización'!$B$13:$B$60,A40)&gt;0,"SÍ","NO")</f>
        <v>SÍ</v>
      </c>
      <c r="H40" s="180" t="str">
        <f t="shared" si="1"/>
        <v>Correcto</v>
      </c>
    </row>
    <row r="41" spans="1:8" ht="29.25" customHeight="1" x14ac:dyDescent="0.2">
      <c r="A41" s="72" t="s">
        <v>13</v>
      </c>
      <c r="B41" s="116" t="s">
        <v>153</v>
      </c>
      <c r="C41" s="184">
        <f>COUNTIF('📋 Explosión y Despiece Bla'!$K$2:$K$643,A41)</f>
        <v>10</v>
      </c>
      <c r="D41" s="184">
        <f>COUNTIF('📋 Explosión y Despiece Mad'!$K$2:$K$713,A41)</f>
        <v>11</v>
      </c>
      <c r="E41" s="179" t="str">
        <f t="shared" si="0"/>
        <v>OK</v>
      </c>
      <c r="F41" s="184">
        <f>SUMIF('📋 Explosión y Despiece Mad'!$K$2:$K$713,A41,'📋 Explosión y Despiece Mad'!$V$2:$V$713)</f>
        <v>0</v>
      </c>
      <c r="G41" s="179" t="str">
        <f>IF(COUNTIF('📊 Resumen y Cotización'!$B$13:$B$60,A41)&gt;0,"SÍ","NO")</f>
        <v>SÍ</v>
      </c>
      <c r="H41" s="180" t="str">
        <f t="shared" si="1"/>
        <v>Correcto</v>
      </c>
    </row>
    <row r="42" spans="1:8" ht="29.25" customHeight="1" x14ac:dyDescent="0.2">
      <c r="A42" s="72" t="s">
        <v>14</v>
      </c>
      <c r="B42" s="116" t="s">
        <v>156</v>
      </c>
      <c r="C42" s="184">
        <f>COUNTIF('📋 Explosión y Despiece Bla'!$K$2:$K$643,A42)</f>
        <v>8</v>
      </c>
      <c r="D42" s="184">
        <f>COUNTIF('📋 Explosión y Despiece Mad'!$K$2:$K$713,A42)</f>
        <v>9</v>
      </c>
      <c r="E42" s="179" t="str">
        <f t="shared" si="0"/>
        <v>OK</v>
      </c>
      <c r="F42" s="184">
        <f>SUMIF('📋 Explosión y Despiece Mad'!$K$2:$K$713,A42,'📋 Explosión y Despiece Mad'!$V$2:$V$713)</f>
        <v>0</v>
      </c>
      <c r="G42" s="179" t="str">
        <f>IF(COUNTIF('📊 Resumen y Cotización'!$B$13:$B$60,A42)&gt;0,"SÍ","NO")</f>
        <v>SÍ</v>
      </c>
      <c r="H42" s="180" t="str">
        <f t="shared" si="1"/>
        <v>Correcto</v>
      </c>
    </row>
    <row r="43" spans="1:8" ht="29.25" customHeight="1" x14ac:dyDescent="0.2">
      <c r="A43" s="72" t="s">
        <v>633</v>
      </c>
      <c r="B43" s="116" t="s">
        <v>632</v>
      </c>
      <c r="C43" s="184">
        <f>COUNTIF('📋 Explosión y Despiece Bla'!$K$2:$K$643,A43)</f>
        <v>6</v>
      </c>
      <c r="D43" s="184">
        <f>COUNTIF('📋 Explosión y Despiece Mad'!$K$2:$K$713,A43)</f>
        <v>7</v>
      </c>
      <c r="E43" s="179" t="str">
        <f t="shared" ref="E43" si="4">IF(AND(C43&gt;0,D43&gt;0),"OK","REVISAR")</f>
        <v>OK</v>
      </c>
      <c r="F43" s="184">
        <f>SUMIF('📋 Explosión y Despiece Mad'!$K$2:$K$713,A43,'📋 Explosión y Despiece Mad'!$V$2:$V$713)</f>
        <v>0</v>
      </c>
      <c r="G43" s="179" t="str">
        <f>IF(COUNTIF('📊 Resumen y Cotización'!$B$13:$B$60,A43)&gt;0,"SÍ","NO")</f>
        <v>SÍ</v>
      </c>
      <c r="H43" s="180" t="str">
        <f t="shared" ref="H43" si="5">IF(E43&lt;&gt;"OK","Falta en un despiece",IF(F43&gt;0,"Costo MAD pendiente","Correcto"))</f>
        <v>Correcto</v>
      </c>
    </row>
    <row r="44" spans="1:8" ht="29.25" customHeight="1" x14ac:dyDescent="0.2">
      <c r="A44" s="72" t="s">
        <v>15</v>
      </c>
      <c r="B44" s="116" t="s">
        <v>163</v>
      </c>
      <c r="C44" s="184">
        <f>COUNTIF('📋 Explosión y Despiece Bla'!$K$2:$K$643,A44)</f>
        <v>6</v>
      </c>
      <c r="D44" s="184">
        <f>COUNTIF('📋 Explosión y Despiece Mad'!$K$2:$K$713,A44)</f>
        <v>7</v>
      </c>
      <c r="E44" s="179" t="str">
        <f t="shared" si="0"/>
        <v>OK</v>
      </c>
      <c r="F44" s="184">
        <f>SUMIF('📋 Explosión y Despiece Mad'!$K$2:$K$713,A44,'📋 Explosión y Despiece Mad'!$V$2:$V$713)</f>
        <v>0</v>
      </c>
      <c r="G44" s="179" t="str">
        <f>IF(COUNTIF('📊 Resumen y Cotización'!$B$13:$B$60,A44)&gt;0,"SÍ","NO")</f>
        <v>SÍ</v>
      </c>
      <c r="H44" s="180" t="str">
        <f t="shared" si="1"/>
        <v>Correcto</v>
      </c>
    </row>
    <row r="45" spans="1:8" ht="29.25" customHeight="1" x14ac:dyDescent="0.2">
      <c r="A45" s="72" t="s">
        <v>16</v>
      </c>
      <c r="B45" s="116" t="s">
        <v>164</v>
      </c>
      <c r="C45" s="184">
        <f>COUNTIF('📋 Explosión y Despiece Bla'!$K$2:$K$643,A45)</f>
        <v>16</v>
      </c>
      <c r="D45" s="184">
        <f>COUNTIF('📋 Explosión y Despiece Mad'!$K$2:$K$713,A45)</f>
        <v>17</v>
      </c>
      <c r="E45" s="179" t="str">
        <f t="shared" si="0"/>
        <v>OK</v>
      </c>
      <c r="F45" s="184">
        <f>SUMIF('📋 Explosión y Despiece Mad'!$K$2:$K$713,A45,'📋 Explosión y Despiece Mad'!$V$2:$V$713)</f>
        <v>0</v>
      </c>
      <c r="G45" s="179" t="str">
        <f>IF(COUNTIF('📊 Resumen y Cotización'!$B$13:$B$60,A45)&gt;0,"SÍ","NO")</f>
        <v>SÍ</v>
      </c>
      <c r="H45" s="180" t="str">
        <f t="shared" si="1"/>
        <v>Correcto</v>
      </c>
    </row>
    <row r="46" spans="1:8" ht="29.25" customHeight="1" x14ac:dyDescent="0.2">
      <c r="A46" s="72" t="s">
        <v>17</v>
      </c>
      <c r="B46" s="116" t="s">
        <v>189</v>
      </c>
      <c r="C46" s="184">
        <f>COUNTIF('📋 Explosión y Despiece Bla'!$K$2:$K$643,A46)</f>
        <v>13</v>
      </c>
      <c r="D46" s="184">
        <f>COUNTIF('📋 Explosión y Despiece Mad'!$K$2:$K$713,A46)</f>
        <v>14</v>
      </c>
      <c r="E46" s="179" t="str">
        <f t="shared" si="0"/>
        <v>OK</v>
      </c>
      <c r="F46" s="184">
        <f>SUMIF('📋 Explosión y Despiece Mad'!$K$2:$K$713,A46,'📋 Explosión y Despiece Mad'!$V$2:$V$713)</f>
        <v>0</v>
      </c>
      <c r="G46" s="179" t="str">
        <f>IF(COUNTIF('📊 Resumen y Cotización'!$B$13:$B$60,A46)&gt;0,"SÍ","NO")</f>
        <v>SÍ</v>
      </c>
      <c r="H46" s="180" t="str">
        <f t="shared" si="1"/>
        <v>Correcto</v>
      </c>
    </row>
    <row r="47" spans="1:8" ht="29.25" customHeight="1" x14ac:dyDescent="0.2">
      <c r="A47" s="72" t="s">
        <v>18</v>
      </c>
      <c r="B47" s="116" t="s">
        <v>199</v>
      </c>
      <c r="C47" s="184">
        <f>COUNTIF('📋 Explosión y Despiece Bla'!$K$2:$K$643,A47)</f>
        <v>13</v>
      </c>
      <c r="D47" s="184">
        <f>COUNTIF('📋 Explosión y Despiece Mad'!$K$2:$K$713,A47)</f>
        <v>14</v>
      </c>
      <c r="E47" s="179" t="str">
        <f t="shared" si="0"/>
        <v>OK</v>
      </c>
      <c r="F47" s="184">
        <f>SUMIF('📋 Explosión y Despiece Mad'!$K$2:$K$713,A47,'📋 Explosión y Despiece Mad'!$V$2:$V$713)</f>
        <v>0</v>
      </c>
      <c r="G47" s="179" t="str">
        <f>IF(COUNTIF('📊 Resumen y Cotización'!$B$13:$B$60,A47)&gt;0,"SÍ","NO")</f>
        <v>SÍ</v>
      </c>
      <c r="H47" s="180" t="str">
        <f t="shared" si="1"/>
        <v>Correcto</v>
      </c>
    </row>
    <row r="48" spans="1:8" ht="29.25" customHeight="1" x14ac:dyDescent="0.2">
      <c r="A48" s="72" t="s">
        <v>19</v>
      </c>
      <c r="B48" s="116" t="s">
        <v>205</v>
      </c>
      <c r="C48" s="184">
        <f>COUNTIF('📋 Explosión y Despiece Bla'!$K$2:$K$643,A48)</f>
        <v>13</v>
      </c>
      <c r="D48" s="184">
        <f>COUNTIF('📋 Explosión y Despiece Mad'!$K$2:$K$713,A48)</f>
        <v>14</v>
      </c>
      <c r="E48" s="179" t="str">
        <f t="shared" si="0"/>
        <v>OK</v>
      </c>
      <c r="F48" s="184">
        <f>SUMIF('📋 Explosión y Despiece Mad'!$K$2:$K$713,A48,'📋 Explosión y Despiece Mad'!$V$2:$V$713)</f>
        <v>0</v>
      </c>
      <c r="G48" s="179" t="str">
        <f>IF(COUNTIF('📊 Resumen y Cotización'!$B$13:$B$60,A48)&gt;0,"SÍ","NO")</f>
        <v>SÍ</v>
      </c>
      <c r="H48" s="180" t="str">
        <f t="shared" si="1"/>
        <v>Correcto</v>
      </c>
    </row>
    <row r="49" spans="1:8" ht="29.25" customHeight="1" x14ac:dyDescent="0.2">
      <c r="A49" s="72" t="s">
        <v>20</v>
      </c>
      <c r="B49" s="116" t="s">
        <v>211</v>
      </c>
      <c r="C49" s="184">
        <f>COUNTIF('📋 Explosión y Despiece Bla'!$K$2:$K$643,A49)</f>
        <v>13</v>
      </c>
      <c r="D49" s="184">
        <f>COUNTIF('📋 Explosión y Despiece Mad'!$K$2:$K$713,A49)</f>
        <v>14</v>
      </c>
      <c r="E49" s="179" t="str">
        <f t="shared" si="0"/>
        <v>OK</v>
      </c>
      <c r="F49" s="184">
        <f>SUMIF('📋 Explosión y Despiece Mad'!$K$2:$K$713,A49,'📋 Explosión y Despiece Mad'!$V$2:$V$713)</f>
        <v>0</v>
      </c>
      <c r="G49" s="179" t="str">
        <f>IF(COUNTIF('📊 Resumen y Cotización'!$B$13:$B$60,A49)&gt;0,"SÍ","NO")</f>
        <v>SÍ</v>
      </c>
      <c r="H49" s="180" t="str">
        <f t="shared" si="1"/>
        <v>Correcto</v>
      </c>
    </row>
    <row r="50" spans="1:8" ht="29.25" customHeight="1" x14ac:dyDescent="0.2">
      <c r="A50" s="72" t="s">
        <v>21</v>
      </c>
      <c r="B50" s="116" t="s">
        <v>217</v>
      </c>
      <c r="C50" s="184">
        <f>COUNTIF('📋 Explosión y Despiece Bla'!$K$2:$K$643,A50)</f>
        <v>14</v>
      </c>
      <c r="D50" s="184">
        <f>COUNTIF('📋 Explosión y Despiece Mad'!$K$2:$K$713,A50)</f>
        <v>15</v>
      </c>
      <c r="E50" s="179" t="str">
        <f t="shared" si="0"/>
        <v>OK</v>
      </c>
      <c r="F50" s="184">
        <f>SUMIF('📋 Explosión y Despiece Mad'!$K$2:$K$713,A50,'📋 Explosión y Despiece Mad'!$V$2:$V$713)</f>
        <v>0</v>
      </c>
      <c r="G50" s="179" t="str">
        <f>IF(COUNTIF('📊 Resumen y Cotización'!$B$13:$B$60,A50)&gt;0,"SÍ","NO")</f>
        <v>SÍ</v>
      </c>
      <c r="H50" s="180" t="str">
        <f t="shared" si="1"/>
        <v>Correcto</v>
      </c>
    </row>
    <row r="51" spans="1:8" ht="29.25" customHeight="1" x14ac:dyDescent="0.2">
      <c r="A51" s="72" t="s">
        <v>22</v>
      </c>
      <c r="B51" s="116" t="s">
        <v>225</v>
      </c>
      <c r="C51" s="184">
        <f>COUNTIF('📋 Explosión y Despiece Bla'!$K$2:$K$643,A51)</f>
        <v>14</v>
      </c>
      <c r="D51" s="184">
        <f>COUNTIF('📋 Explosión y Despiece Mad'!$K$2:$K$713,A51)</f>
        <v>15</v>
      </c>
      <c r="E51" s="179" t="str">
        <f t="shared" si="0"/>
        <v>OK</v>
      </c>
      <c r="F51" s="184">
        <f>SUMIF('📋 Explosión y Despiece Mad'!$K$2:$K$713,A51,'📋 Explosión y Despiece Mad'!$V$2:$V$713)</f>
        <v>0</v>
      </c>
      <c r="G51" s="179" t="str">
        <f>IF(COUNTIF('📊 Resumen y Cotización'!$B$13:$B$60,A51)&gt;0,"SÍ","NO")</f>
        <v>SÍ</v>
      </c>
      <c r="H51" s="180" t="str">
        <f t="shared" si="1"/>
        <v>Correcto</v>
      </c>
    </row>
    <row r="52" spans="1:8" ht="29.25" customHeight="1" x14ac:dyDescent="0.2">
      <c r="A52" s="72" t="s">
        <v>23</v>
      </c>
      <c r="B52" s="116" t="s">
        <v>232</v>
      </c>
      <c r="C52" s="184">
        <f>COUNTIF('📋 Explosión y Despiece Bla'!$K$2:$K$643,A52)</f>
        <v>14</v>
      </c>
      <c r="D52" s="184">
        <f>COUNTIF('📋 Explosión y Despiece Mad'!$K$2:$K$713,A52)</f>
        <v>15</v>
      </c>
      <c r="E52" s="179" t="str">
        <f t="shared" si="0"/>
        <v>OK</v>
      </c>
      <c r="F52" s="184">
        <f>SUMIF('📋 Explosión y Despiece Mad'!$K$2:$K$713,A52,'📋 Explosión y Despiece Mad'!$V$2:$V$713)</f>
        <v>0</v>
      </c>
      <c r="G52" s="179" t="str">
        <f>IF(COUNTIF('📊 Resumen y Cotización'!$B$13:$B$60,A52)&gt;0,"SÍ","NO")</f>
        <v>SÍ</v>
      </c>
      <c r="H52" s="180" t="str">
        <f t="shared" si="1"/>
        <v>Correcto</v>
      </c>
    </row>
    <row r="53" spans="1:8" ht="29.25" customHeight="1" x14ac:dyDescent="0.2">
      <c r="A53" s="72" t="s">
        <v>24</v>
      </c>
      <c r="B53" s="116" t="s">
        <v>239</v>
      </c>
      <c r="C53" s="184">
        <f>COUNTIF('📋 Explosión y Despiece Bla'!$K$2:$K$643,A53)</f>
        <v>17</v>
      </c>
      <c r="D53" s="184">
        <f>COUNTIF('📋 Explosión y Despiece Mad'!$K$2:$K$713,A53)</f>
        <v>18</v>
      </c>
      <c r="E53" s="179" t="str">
        <f t="shared" si="0"/>
        <v>OK</v>
      </c>
      <c r="F53" s="184">
        <f>SUMIF('📋 Explosión y Despiece Mad'!$K$2:$K$713,A53,'📋 Explosión y Despiece Mad'!$V$2:$V$713)</f>
        <v>0</v>
      </c>
      <c r="G53" s="179" t="str">
        <f>IF(COUNTIF('📊 Resumen y Cotización'!$B$13:$B$60,A53)&gt;0,"SÍ","NO")</f>
        <v>SÍ</v>
      </c>
      <c r="H53" s="180" t="str">
        <f t="shared" si="1"/>
        <v>Correcto</v>
      </c>
    </row>
    <row r="54" spans="1:8" ht="29.25" customHeight="1" x14ac:dyDescent="0.2">
      <c r="A54" s="72" t="s">
        <v>25</v>
      </c>
      <c r="B54" s="116" t="s">
        <v>258</v>
      </c>
      <c r="C54" s="184">
        <f>COUNTIF('📋 Explosión y Despiece Bla'!$K$2:$K$643,A54)</f>
        <v>17</v>
      </c>
      <c r="D54" s="184">
        <f>COUNTIF('📋 Explosión y Despiece Mad'!$K$2:$K$713,A54)</f>
        <v>18</v>
      </c>
      <c r="E54" s="179" t="str">
        <f t="shared" si="0"/>
        <v>OK</v>
      </c>
      <c r="F54" s="184">
        <f>SUMIF('📋 Explosión y Despiece Mad'!$K$2:$K$713,A54,'📋 Explosión y Despiece Mad'!$V$2:$V$713)</f>
        <v>0</v>
      </c>
      <c r="G54" s="179" t="str">
        <f>IF(COUNTIF('📊 Resumen y Cotización'!$B$13:$B$60,A54)&gt;0,"SÍ","NO")</f>
        <v>SÍ</v>
      </c>
      <c r="H54" s="180" t="str">
        <f t="shared" si="1"/>
        <v>Correcto</v>
      </c>
    </row>
    <row r="55" spans="1:8" ht="29.25" customHeight="1" x14ac:dyDescent="0.2">
      <c r="A55" s="72" t="s">
        <v>26</v>
      </c>
      <c r="B55" s="116" t="s">
        <v>267</v>
      </c>
      <c r="C55" s="184">
        <f>COUNTIF('📋 Explosión y Despiece Bla'!$K$2:$K$643,A55)</f>
        <v>17</v>
      </c>
      <c r="D55" s="184">
        <f>COUNTIF('📋 Explosión y Despiece Mad'!$K$2:$K$713,A55)</f>
        <v>18</v>
      </c>
      <c r="E55" s="179" t="str">
        <f t="shared" si="0"/>
        <v>OK</v>
      </c>
      <c r="F55" s="184">
        <f>SUMIF('📋 Explosión y Despiece Mad'!$K$2:$K$713,A55,'📋 Explosión y Despiece Mad'!$V$2:$V$713)</f>
        <v>0</v>
      </c>
      <c r="G55" s="179" t="str">
        <f>IF(COUNTIF('📊 Resumen y Cotización'!$B$13:$B$60,A55)&gt;0,"SÍ","NO")</f>
        <v>SÍ</v>
      </c>
      <c r="H55" s="180" t="str">
        <f t="shared" si="1"/>
        <v>Correcto</v>
      </c>
    </row>
    <row r="56" spans="1:8" ht="29.25" customHeight="1" x14ac:dyDescent="0.2">
      <c r="A56" s="72" t="s">
        <v>650</v>
      </c>
      <c r="B56" s="116" t="s">
        <v>649</v>
      </c>
      <c r="C56" s="184">
        <f>COUNTIF('📋 Explosión y Despiece Bla'!$K$2:$K$643,A56)</f>
        <v>6</v>
      </c>
      <c r="D56" s="184">
        <f>COUNTIF('📋 Explosión y Despiece Mad'!$K$2:$K$713,A56)</f>
        <v>7</v>
      </c>
      <c r="E56" s="179" t="str">
        <f t="shared" ref="E56:E57" si="6">IF(AND(C56&gt;0,D56&gt;0),"OK","REVISAR")</f>
        <v>OK</v>
      </c>
      <c r="F56" s="184">
        <f>SUMIF('📋 Explosión y Despiece Mad'!$K$2:$K$713,A56,'📋 Explosión y Despiece Mad'!$V$2:$V$713)</f>
        <v>0</v>
      </c>
      <c r="G56" s="179" t="str">
        <f>IF(COUNTIF('📊 Resumen y Cotización'!$B$13:$B$60,A56)&gt;0,"SÍ","NO")</f>
        <v>SÍ</v>
      </c>
      <c r="H56" s="180" t="str">
        <f t="shared" ref="H56:H57" si="7">IF(E56&lt;&gt;"OK","Falta en un despiece",IF(F56&gt;0,"Costo MAD pendiente","Correcto"))</f>
        <v>Correcto</v>
      </c>
    </row>
    <row r="57" spans="1:8" ht="29.25" customHeight="1" x14ac:dyDescent="0.2">
      <c r="A57" s="72" t="s">
        <v>657</v>
      </c>
      <c r="B57" s="116" t="s">
        <v>648</v>
      </c>
      <c r="C57" s="184">
        <f>COUNTIF('📋 Explosión y Despiece Bla'!$K$2:$K$643,A57)</f>
        <v>13</v>
      </c>
      <c r="D57" s="184">
        <f>COUNTIF('📋 Explosión y Despiece Mad'!$K$2:$K$713,A57)</f>
        <v>14</v>
      </c>
      <c r="E57" s="179" t="str">
        <f t="shared" si="6"/>
        <v>OK</v>
      </c>
      <c r="F57" s="184">
        <f>SUMIF('📋 Explosión y Despiece Mad'!$K$2:$K$713,A57,'📋 Explosión y Despiece Mad'!$V$2:$V$713)</f>
        <v>0</v>
      </c>
      <c r="G57" s="179" t="str">
        <f>IF(COUNTIF('📊 Resumen y Cotización'!$B$13:$B$60,A57)&gt;0,"SÍ","NO")</f>
        <v>SÍ</v>
      </c>
      <c r="H57" s="180" t="str">
        <f t="shared" si="7"/>
        <v>Correcto</v>
      </c>
    </row>
    <row r="58" spans="1:8" ht="29.25" customHeight="1" x14ac:dyDescent="0.2">
      <c r="A58" s="72" t="s">
        <v>27</v>
      </c>
      <c r="B58" s="116" t="s">
        <v>275</v>
      </c>
      <c r="C58" s="184">
        <f>COUNTIF('📋 Explosión y Despiece Bla'!$K$2:$K$643,A58)</f>
        <v>9</v>
      </c>
      <c r="D58" s="184">
        <f>COUNTIF('📋 Explosión y Despiece Mad'!$K$2:$K$713,A58)</f>
        <v>10</v>
      </c>
      <c r="E58" s="179" t="str">
        <f t="shared" si="0"/>
        <v>OK</v>
      </c>
      <c r="F58" s="184">
        <f>SUMIF('📋 Explosión y Despiece Mad'!$K$2:$K$713,A58,'📋 Explosión y Despiece Mad'!$V$2:$V$713)</f>
        <v>0</v>
      </c>
      <c r="G58" s="179" t="str">
        <f>IF(COUNTIF('📊 Resumen y Cotización'!$B$13:$B$60,A58)&gt;0,"SÍ","NO")</f>
        <v>SÍ</v>
      </c>
      <c r="H58" s="180" t="str">
        <f t="shared" si="1"/>
        <v>Correcto</v>
      </c>
    </row>
    <row r="59" spans="1:8" ht="29.25" customHeight="1" x14ac:dyDescent="0.2">
      <c r="A59" s="72" t="s">
        <v>28</v>
      </c>
      <c r="B59" s="116" t="s">
        <v>284</v>
      </c>
      <c r="C59" s="184">
        <f>COUNTIF('📋 Explosión y Despiece Bla'!$K$2:$K$643,A59)</f>
        <v>9</v>
      </c>
      <c r="D59" s="184">
        <f>COUNTIF('📋 Explosión y Despiece Mad'!$K$2:$K$713,A59)</f>
        <v>10</v>
      </c>
      <c r="E59" s="179" t="str">
        <f t="shared" si="0"/>
        <v>OK</v>
      </c>
      <c r="F59" s="184">
        <f>SUMIF('📋 Explosión y Despiece Mad'!$K$2:$K$713,A59,'📋 Explosión y Despiece Mad'!$V$2:$V$713)</f>
        <v>0</v>
      </c>
      <c r="G59" s="179" t="str">
        <f>IF(COUNTIF('📊 Resumen y Cotización'!$B$13:$B$60,A59)&gt;0,"SÍ","NO")</f>
        <v>SÍ</v>
      </c>
      <c r="H59" s="180" t="str">
        <f t="shared" si="1"/>
        <v>Correcto</v>
      </c>
    </row>
    <row r="60" spans="1:8" ht="29.25" customHeight="1" x14ac:dyDescent="0.2">
      <c r="A60" s="72" t="s">
        <v>29</v>
      </c>
      <c r="B60" s="116" t="s">
        <v>287</v>
      </c>
      <c r="C60" s="184">
        <f>COUNTIF('📋 Explosión y Despiece Bla'!$K$2:$K$643,A60)</f>
        <v>10</v>
      </c>
      <c r="D60" s="184">
        <f>COUNTIF('📋 Explosión y Despiece Mad'!$K$2:$K$713,A60)</f>
        <v>11</v>
      </c>
      <c r="E60" s="179" t="str">
        <f t="shared" si="0"/>
        <v>OK</v>
      </c>
      <c r="F60" s="184">
        <f>SUMIF('📋 Explosión y Despiece Mad'!$K$2:$K$713,A60,'📋 Explosión y Despiece Mad'!$V$2:$V$713)</f>
        <v>0</v>
      </c>
      <c r="G60" s="179" t="str">
        <f>IF(COUNTIF('📊 Resumen y Cotización'!$B$13:$B$60,A60)&gt;0,"SÍ","NO")</f>
        <v>SÍ</v>
      </c>
      <c r="H60" s="180" t="str">
        <f t="shared" si="1"/>
        <v>Correcto</v>
      </c>
    </row>
    <row r="61" spans="1:8" ht="29.25" customHeight="1" x14ac:dyDescent="0.2">
      <c r="A61" s="72" t="s">
        <v>30</v>
      </c>
      <c r="B61" s="116" t="s">
        <v>288</v>
      </c>
      <c r="C61" s="184">
        <f>COUNTIF('📋 Explosión y Despiece Bla'!$K$2:$K$643,A61)</f>
        <v>11</v>
      </c>
      <c r="D61" s="184">
        <f>COUNTIF('📋 Explosión y Despiece Mad'!$K$2:$K$713,A61)</f>
        <v>12</v>
      </c>
      <c r="E61" s="179" t="str">
        <f t="shared" si="0"/>
        <v>OK</v>
      </c>
      <c r="F61" s="184">
        <f>SUMIF('📋 Explosión y Despiece Mad'!$K$2:$K$713,A61,'📋 Explosión y Despiece Mad'!$V$2:$V$713)</f>
        <v>0</v>
      </c>
      <c r="G61" s="179" t="str">
        <f>IF(COUNTIF('📊 Resumen y Cotización'!$B$13:$B$60,A61)&gt;0,"SÍ","NO")</f>
        <v>SÍ</v>
      </c>
      <c r="H61" s="180" t="str">
        <f t="shared" si="1"/>
        <v>Correcto</v>
      </c>
    </row>
    <row r="62" spans="1:8" ht="29.25" customHeight="1" x14ac:dyDescent="0.2">
      <c r="A62" s="72" t="s">
        <v>31</v>
      </c>
      <c r="B62" s="116" t="s">
        <v>292</v>
      </c>
      <c r="C62" s="184">
        <f>COUNTIF('📋 Explosión y Despiece Bla'!$K$2:$K$643,A62)</f>
        <v>11</v>
      </c>
      <c r="D62" s="184">
        <f>COUNTIF('📋 Explosión y Despiece Mad'!$K$2:$K$713,A62)</f>
        <v>12</v>
      </c>
      <c r="E62" s="179" t="str">
        <f t="shared" si="0"/>
        <v>OK</v>
      </c>
      <c r="F62" s="184">
        <f>SUMIF('📋 Explosión y Despiece Mad'!$K$2:$K$713,A62,'📋 Explosión y Despiece Mad'!$V$2:$V$713)</f>
        <v>0</v>
      </c>
      <c r="G62" s="179" t="str">
        <f>IF(COUNTIF('📊 Resumen y Cotización'!$B$13:$B$60,A62)&gt;0,"SÍ","NO")</f>
        <v>SÍ</v>
      </c>
      <c r="H62" s="180" t="str">
        <f t="shared" si="1"/>
        <v>Correcto</v>
      </c>
    </row>
    <row r="63" spans="1:8" ht="29.25" customHeight="1" x14ac:dyDescent="0.2">
      <c r="A63" s="72" t="s">
        <v>32</v>
      </c>
      <c r="B63" s="116" t="s">
        <v>293</v>
      </c>
      <c r="C63" s="184">
        <f>COUNTIF('📋 Explosión y Despiece Bla'!$K$2:$K$643,A63)</f>
        <v>11</v>
      </c>
      <c r="D63" s="184">
        <f>COUNTIF('📋 Explosión y Despiece Mad'!$K$2:$K$713,A63)</f>
        <v>12</v>
      </c>
      <c r="E63" s="179" t="str">
        <f t="shared" si="0"/>
        <v>OK</v>
      </c>
      <c r="F63" s="184">
        <f>SUMIF('📋 Explosión y Despiece Mad'!$K$2:$K$713,A63,'📋 Explosión y Despiece Mad'!$V$2:$V$713)</f>
        <v>0</v>
      </c>
      <c r="G63" s="179" t="str">
        <f>IF(COUNTIF('📊 Resumen y Cotización'!$B$13:$B$60,A63)&gt;0,"SÍ","NO")</f>
        <v>SÍ</v>
      </c>
      <c r="H63" s="180" t="str">
        <f t="shared" si="1"/>
        <v>Correcto</v>
      </c>
    </row>
    <row r="64" spans="1:8" ht="29.25" customHeight="1" x14ac:dyDescent="0.2">
      <c r="A64" s="72" t="s">
        <v>33</v>
      </c>
      <c r="B64" s="116" t="s">
        <v>295</v>
      </c>
      <c r="C64" s="184">
        <f>COUNTIF('📋 Explosión y Despiece Bla'!$K$2:$K$643,A64)</f>
        <v>14</v>
      </c>
      <c r="D64" s="184">
        <f>COUNTIF('📋 Explosión y Despiece Mad'!$K$2:$K$713,A64)</f>
        <v>15</v>
      </c>
      <c r="E64" s="179" t="str">
        <f t="shared" si="0"/>
        <v>OK</v>
      </c>
      <c r="F64" s="184">
        <f>SUMIF('📋 Explosión y Despiece Mad'!$K$2:$K$713,A64,'📋 Explosión y Despiece Mad'!$V$2:$V$713)</f>
        <v>0</v>
      </c>
      <c r="G64" s="179" t="str">
        <f>IF(COUNTIF('📊 Resumen y Cotización'!$B$13:$B$60,A64)&gt;0,"SÍ","NO")</f>
        <v>SÍ</v>
      </c>
      <c r="H64" s="180" t="str">
        <f t="shared" si="1"/>
        <v>Correcto</v>
      </c>
    </row>
    <row r="65" spans="1:8" ht="29.25" customHeight="1" x14ac:dyDescent="0.2">
      <c r="A65" s="72" t="s">
        <v>34</v>
      </c>
      <c r="B65" s="116" t="s">
        <v>308</v>
      </c>
      <c r="C65" s="184">
        <f>COUNTIF('📋 Explosión y Despiece Bla'!$K$2:$K$643,A65)</f>
        <v>14</v>
      </c>
      <c r="D65" s="184">
        <f>COUNTIF('📋 Explosión y Despiece Mad'!$K$2:$K$713,A65)</f>
        <v>15</v>
      </c>
      <c r="E65" s="179" t="str">
        <f t="shared" si="0"/>
        <v>OK</v>
      </c>
      <c r="F65" s="184">
        <f>SUMIF('📋 Explosión y Despiece Mad'!$K$2:$K$713,A65,'📋 Explosión y Despiece Mad'!$V$2:$V$713)</f>
        <v>0</v>
      </c>
      <c r="G65" s="179" t="str">
        <f>IF(COUNTIF('📊 Resumen y Cotización'!$B$13:$B$60,A65)&gt;0,"SÍ","NO")</f>
        <v>SÍ</v>
      </c>
      <c r="H65" s="180" t="str">
        <f t="shared" si="1"/>
        <v>Correcto</v>
      </c>
    </row>
    <row r="66" spans="1:8" ht="29.25" customHeight="1" x14ac:dyDescent="0.2">
      <c r="A66" s="72" t="s">
        <v>35</v>
      </c>
      <c r="B66" s="116" t="s">
        <v>314</v>
      </c>
      <c r="C66" s="184">
        <f>COUNTIF('📋 Explosión y Despiece Bla'!$K$2:$K$643,A66)</f>
        <v>13</v>
      </c>
      <c r="D66" s="184">
        <f>COUNTIF('📋 Explosión y Despiece Mad'!$K$2:$K$713,A66)</f>
        <v>14</v>
      </c>
      <c r="E66" s="179" t="str">
        <f t="shared" si="0"/>
        <v>OK</v>
      </c>
      <c r="F66" s="184">
        <f>SUMIF('📋 Explosión y Despiece Mad'!$K$2:$K$713,A66,'📋 Explosión y Despiece Mad'!$V$2:$V$713)</f>
        <v>0</v>
      </c>
      <c r="G66" s="179" t="str">
        <f>IF(COUNTIF('📊 Resumen y Cotización'!$B$13:$B$60,A66)&gt;0,"SÍ","NO")</f>
        <v>SÍ</v>
      </c>
      <c r="H66" s="180" t="str">
        <f t="shared" si="1"/>
        <v>Correcto</v>
      </c>
    </row>
    <row r="67" spans="1:8" ht="29.25" customHeight="1" x14ac:dyDescent="0.2">
      <c r="A67" s="72" t="s">
        <v>36</v>
      </c>
      <c r="B67" s="116" t="s">
        <v>323</v>
      </c>
      <c r="C67" s="184">
        <f>COUNTIF('📋 Explosión y Despiece Bla'!$K$2:$K$643,A67)</f>
        <v>18</v>
      </c>
      <c r="D67" s="184">
        <f>COUNTIF('📋 Explosión y Despiece Mad'!$K$2:$K$713,A67)</f>
        <v>19</v>
      </c>
      <c r="E67" s="179" t="str">
        <f t="shared" si="0"/>
        <v>OK</v>
      </c>
      <c r="F67" s="184">
        <f>SUMIF('📋 Explosión y Despiece Mad'!$K$2:$K$713,A67,'📋 Explosión y Despiece Mad'!$V$2:$V$713)</f>
        <v>0</v>
      </c>
      <c r="G67" s="179" t="str">
        <f>IF(COUNTIF('📊 Resumen y Cotización'!$B$13:$B$60,A67)&gt;0,"SÍ","NO")</f>
        <v>SÍ</v>
      </c>
      <c r="H67" s="180" t="str">
        <f t="shared" si="1"/>
        <v>Correcto</v>
      </c>
    </row>
    <row r="68" spans="1:8" ht="29.25" customHeight="1" x14ac:dyDescent="0.2">
      <c r="A68" s="72" t="s">
        <v>37</v>
      </c>
      <c r="B68" s="116" t="s">
        <v>330</v>
      </c>
      <c r="C68" s="184">
        <f>COUNTIF('📋 Explosión y Despiece Bla'!$K$2:$K$643,A68)</f>
        <v>20</v>
      </c>
      <c r="D68" s="184">
        <f>COUNTIF('📋 Explosión y Despiece Mad'!$K$2:$K$713,A68)</f>
        <v>21</v>
      </c>
      <c r="E68" s="179" t="str">
        <f t="shared" si="0"/>
        <v>OK</v>
      </c>
      <c r="F68" s="184">
        <f>SUMIF('📋 Explosión y Despiece Mad'!$K$2:$K$713,A68,'📋 Explosión y Despiece Mad'!$V$2:$V$713)</f>
        <v>0</v>
      </c>
      <c r="G68" s="179" t="str">
        <f>IF(COUNTIF('📊 Resumen y Cotización'!$B$13:$B$60,A68)&gt;0,"SÍ","NO")</f>
        <v>SÍ</v>
      </c>
      <c r="H68" s="180" t="str">
        <f t="shared" si="1"/>
        <v>Correcto</v>
      </c>
    </row>
    <row r="69" spans="1:8" ht="29.25" customHeight="1" x14ac:dyDescent="0.2">
      <c r="A69" s="72" t="s">
        <v>640</v>
      </c>
      <c r="B69" s="116" t="s">
        <v>639</v>
      </c>
      <c r="C69" s="184">
        <f>COUNTIF('📋 Explosión y Despiece Bla'!$K$2:$K$643,A69)</f>
        <v>26</v>
      </c>
      <c r="D69" s="184">
        <f>COUNTIF('📋 Explosión y Despiece Mad'!$K$2:$K$713,A69)</f>
        <v>27</v>
      </c>
      <c r="E69" s="179" t="str">
        <f>IF(AND(C69&gt;0,D69&gt;0),"OK","REVISAR")</f>
        <v>OK</v>
      </c>
      <c r="F69" s="184">
        <f>SUMIF('📋 Explosión y Despiece Mad'!$K$2:$K$713,A69,'📋 Explosión y Despiece Mad'!$V$2:$V$713)</f>
        <v>0</v>
      </c>
      <c r="G69" s="179" t="str">
        <f>IF(COUNTIF('📊 Resumen y Cotización'!$B$13:$B$60,A69)&gt;0,"SÍ","NO")</f>
        <v>SÍ</v>
      </c>
      <c r="H69" s="180" t="str">
        <f>IF(E69&lt;&gt;"OK","Falta en un despiece",IF(F69&gt;0,"Costo MAD pendiente","Correcto"))</f>
        <v>Correcto</v>
      </c>
    </row>
    <row r="70" spans="1:8" ht="29.25" customHeight="1" x14ac:dyDescent="0.2">
      <c r="A70" s="72" t="s">
        <v>638</v>
      </c>
      <c r="B70" s="116" t="s">
        <v>637</v>
      </c>
      <c r="C70" s="184">
        <f>COUNTIF('📋 Explosión y Despiece Bla'!$K$2:$K$643,A70)</f>
        <v>28</v>
      </c>
      <c r="D70" s="184">
        <f>COUNTIF('📋 Explosión y Despiece Mad'!$K$2:$K$713,A70)</f>
        <v>28</v>
      </c>
      <c r="E70" s="179" t="str">
        <f>IF(AND(C70&gt;0,D70&gt;0),"OK","REVISAR")</f>
        <v>OK</v>
      </c>
      <c r="F70" s="184">
        <f>SUMIF('📋 Explosión y Despiece Mad'!$K$2:$K$713,A70,'📋 Explosión y Despiece Mad'!$V$2:$V$713)</f>
        <v>0</v>
      </c>
      <c r="G70" s="179" t="str">
        <f>IF(COUNTIF('📊 Resumen y Cotización'!$B$13:$B$60,A70)&gt;0,"SÍ","NO")</f>
        <v>SÍ</v>
      </c>
      <c r="H70" s="180" t="str">
        <f>IF(E70&lt;&gt;"OK","Falta en un despiece",IF(F70&gt;0,"Costo MAD pendiente","Correcto"))</f>
        <v>Correcto</v>
      </c>
    </row>
    <row r="71" spans="1:8" ht="29.25" customHeight="1" x14ac:dyDescent="0.2">
      <c r="A71" s="72" t="s">
        <v>38</v>
      </c>
      <c r="B71" s="116" t="s">
        <v>345</v>
      </c>
      <c r="C71" s="184">
        <f>COUNTIF('📋 Explosión y Despiece Bla'!$K$2:$K$643,A71)</f>
        <v>9</v>
      </c>
      <c r="D71" s="184">
        <f>COUNTIF('📋 Explosión y Despiece Mad'!$K$2:$K$713,A71)</f>
        <v>10</v>
      </c>
      <c r="E71" s="179" t="str">
        <f t="shared" si="0"/>
        <v>OK</v>
      </c>
      <c r="F71" s="184">
        <f>SUMIF('📋 Explosión y Despiece Mad'!$K$2:$K$713,A71,'📋 Explosión y Despiece Mad'!$V$2:$V$713)</f>
        <v>0</v>
      </c>
      <c r="G71" s="179" t="str">
        <f>IF(COUNTIF('📊 Resumen y Cotización'!$B$13:$B$60,A71)&gt;0,"SÍ","NO")</f>
        <v>SÍ</v>
      </c>
      <c r="H71" s="180" t="str">
        <f t="shared" si="1"/>
        <v>Correcto</v>
      </c>
    </row>
    <row r="72" spans="1:8" ht="29.25" customHeight="1" x14ac:dyDescent="0.2">
      <c r="A72" s="72" t="s">
        <v>39</v>
      </c>
      <c r="B72" s="116" t="s">
        <v>349</v>
      </c>
      <c r="C72" s="184">
        <f>COUNTIF('📋 Explosión y Despiece Bla'!$K$2:$K$643,A72)</f>
        <v>1</v>
      </c>
      <c r="D72" s="184">
        <f>COUNTIF('📋 Explosión y Despiece Mad'!$K$2:$K$713,A72)</f>
        <v>1</v>
      </c>
      <c r="E72" s="179" t="str">
        <f t="shared" si="0"/>
        <v>OK</v>
      </c>
      <c r="F72" s="184">
        <f>SUMIF('📋 Explosión y Despiece Mad'!$K$2:$K$713,A72,'📋 Explosión y Despiece Mad'!$V$2:$V$713)</f>
        <v>0</v>
      </c>
      <c r="G72" s="179" t="str">
        <f>IF(COUNTIF('📊 Resumen y Cotización'!$B$13:$B$60,A72)&gt;0,"SÍ","NO")</f>
        <v>SÍ</v>
      </c>
      <c r="H72" s="180" t="str">
        <f t="shared" si="1"/>
        <v>Correcto</v>
      </c>
    </row>
    <row r="73" spans="1:8" ht="29.25" customHeight="1" x14ac:dyDescent="0.2">
      <c r="A73" s="72" t="s">
        <v>40</v>
      </c>
      <c r="B73" s="116" t="s">
        <v>351</v>
      </c>
      <c r="C73" s="184">
        <f>COUNTIF('📋 Explosión y Despiece Bla'!$K$2:$K$643,A73)</f>
        <v>1</v>
      </c>
      <c r="D73" s="184">
        <f>COUNTIF('📋 Explosión y Despiece Mad'!$K$2:$K$713,A73)</f>
        <v>1</v>
      </c>
      <c r="E73" s="179" t="str">
        <f t="shared" si="0"/>
        <v>OK</v>
      </c>
      <c r="F73" s="184">
        <f>SUMIF('📋 Explosión y Despiece Mad'!$K$2:$K$713,A73,'📋 Explosión y Despiece Mad'!$V$2:$V$713)</f>
        <v>0</v>
      </c>
      <c r="G73" s="179" t="str">
        <f>IF(COUNTIF('📊 Resumen y Cotización'!$B$13:$B$60,A73)&gt;0,"SÍ","NO")</f>
        <v>SÍ</v>
      </c>
      <c r="H73" s="180" t="str">
        <f t="shared" si="1"/>
        <v>Correcto</v>
      </c>
    </row>
    <row r="74" spans="1:8" ht="29.25" customHeight="1" x14ac:dyDescent="0.2">
      <c r="A74" s="72" t="s">
        <v>41</v>
      </c>
      <c r="B74" s="116" t="s">
        <v>352</v>
      </c>
      <c r="C74" s="184">
        <f>COUNTIF('📋 Explosión y Despiece Bla'!$K$2:$K$643,A74)</f>
        <v>1</v>
      </c>
      <c r="D74" s="184">
        <f>COUNTIF('📋 Explosión y Despiece Mad'!$K$2:$K$713,A74)</f>
        <v>1</v>
      </c>
      <c r="E74" s="179" t="str">
        <f t="shared" si="0"/>
        <v>OK</v>
      </c>
      <c r="F74" s="184">
        <f>SUMIF('📋 Explosión y Despiece Mad'!$K$2:$K$713,A74,'📋 Explosión y Despiece Mad'!$V$2:$V$713)</f>
        <v>0</v>
      </c>
      <c r="G74" s="179" t="str">
        <f>IF(COUNTIF('📊 Resumen y Cotización'!$B$13:$B$60,A74)&gt;0,"SÍ","NO")</f>
        <v>SÍ</v>
      </c>
      <c r="H74" s="180" t="str">
        <f t="shared" si="1"/>
        <v>Correcto</v>
      </c>
    </row>
    <row r="75" spans="1:8" x14ac:dyDescent="0.2">
      <c r="A75" s="72" t="s">
        <v>42</v>
      </c>
      <c r="B75" s="116" t="s">
        <v>354</v>
      </c>
      <c r="C75" s="184">
        <f>COUNTIF('📋 Explosión y Despiece Bla'!$K$2:$K$643,A75)</f>
        <v>1</v>
      </c>
      <c r="D75" s="184">
        <f>COUNTIF('📋 Explosión y Despiece Mad'!$K$2:$K$713,A75)</f>
        <v>1</v>
      </c>
      <c r="E75" s="179" t="str">
        <f t="shared" si="0"/>
        <v>OK</v>
      </c>
      <c r="F75" s="184">
        <f>SUMIF('📋 Explosión y Despiece Mad'!$K$2:$K$713,A75,'📋 Explosión y Despiece Mad'!$V$2:$V$713)</f>
        <v>0</v>
      </c>
      <c r="G75" s="179" t="str">
        <f>IF(COUNTIF('📊 Resumen y Cotización'!$B$13:$B$60,A75)&gt;0,"SÍ","NO")</f>
        <v>SÍ</v>
      </c>
      <c r="H75" s="180" t="str">
        <f t="shared" si="1"/>
        <v>Correcto</v>
      </c>
    </row>
    <row r="76" spans="1:8" ht="50.75" customHeight="1" x14ac:dyDescent="0.2">
      <c r="A76" s="72" t="s">
        <v>357</v>
      </c>
      <c r="B76" s="116" t="s">
        <v>356</v>
      </c>
      <c r="C76" s="184">
        <f>COUNTIF('📋 Explosión y Despiece Bla'!$K$2:$K$643,A76)</f>
        <v>1</v>
      </c>
      <c r="D76" s="184">
        <f>COUNTIF('📋 Explosión y Despiece Mad'!$K$2:$K$713,A76)</f>
        <v>1</v>
      </c>
      <c r="E76" s="179" t="str">
        <f>IF(AND(C76&gt;0,D76&gt;0),"OK","REVISAR")</f>
        <v>OK</v>
      </c>
      <c r="F76" s="184">
        <f>SUMIF('📋 Explosión y Despiece Mad'!$K$2:$K$713,A76,'📋 Explosión y Despiece Mad'!$V$2:$V$713)</f>
        <v>0</v>
      </c>
      <c r="G76" s="179" t="str">
        <f>IF(COUNTIF('📊 Resumen y Cotización'!$B$13:$B$60,A76)&gt;0,"SÍ","NO")</f>
        <v>SÍ</v>
      </c>
      <c r="H76" s="180" t="str">
        <f>IF(E76&lt;&gt;"OK","Falta en un despiece",IF(F76&gt;0,"Costo MAD pendiente","Correcto"))</f>
        <v>Correcto</v>
      </c>
    </row>
    <row r="77" spans="1:8" x14ac:dyDescent="0.2">
      <c r="A77" s="73" t="s">
        <v>43</v>
      </c>
      <c r="B77" s="118" t="s">
        <v>358</v>
      </c>
      <c r="C77" s="185">
        <f>COUNTIF('📋 Explosión y Despiece Bla'!$K$2:$K$643,A77)</f>
        <v>1</v>
      </c>
      <c r="D77" s="185">
        <f>COUNTIF('📋 Explosión y Despiece Mad'!$K$2:$K$713,A77)</f>
        <v>1</v>
      </c>
      <c r="E77" s="181" t="str">
        <f t="shared" si="0"/>
        <v>OK</v>
      </c>
      <c r="F77" s="185">
        <f>SUMIF('📋 Explosión y Despiece Mad'!$K$2:$K$713,A77,'📋 Explosión y Despiece Mad'!$V$2:$V$713)</f>
        <v>0</v>
      </c>
      <c r="G77" s="181" t="str">
        <f>IF(COUNTIF('📊 Resumen y Cotización'!$B$13:$B$60,A77)&gt;0,"SÍ","NO")</f>
        <v>SÍ</v>
      </c>
      <c r="H77" s="182" t="str">
        <f t="shared" si="1"/>
        <v>Correcto</v>
      </c>
    </row>
    <row r="78" spans="1:8" x14ac:dyDescent="0.2">
      <c r="A78" s="57"/>
      <c r="B78" s="57"/>
      <c r="C78" s="57"/>
      <c r="D78" s="57"/>
      <c r="E78" s="57"/>
      <c r="F78" s="57"/>
      <c r="G78" s="57"/>
      <c r="H78" s="57"/>
    </row>
    <row r="79" spans="1:8" x14ac:dyDescent="0.2">
      <c r="A79" s="274" t="s">
        <v>646</v>
      </c>
      <c r="B79" s="275"/>
      <c r="C79" s="275"/>
      <c r="D79" s="275"/>
      <c r="E79" s="275"/>
      <c r="F79" s="275"/>
      <c r="G79" s="275"/>
      <c r="H79" s="276"/>
    </row>
    <row r="80" spans="1:8" x14ac:dyDescent="0.2">
      <c r="A80" s="57"/>
      <c r="B80" s="57"/>
      <c r="C80" s="57"/>
      <c r="D80" s="57"/>
      <c r="E80" s="57"/>
      <c r="F80" s="57"/>
      <c r="G80" s="57"/>
      <c r="H80" s="57"/>
    </row>
    <row r="81" spans="1:8" x14ac:dyDescent="0.2">
      <c r="A81" s="57"/>
      <c r="B81" s="57"/>
      <c r="C81" s="57"/>
      <c r="D81" s="57"/>
      <c r="E81" s="57"/>
      <c r="F81" s="57"/>
      <c r="G81" s="57"/>
      <c r="H81" s="57"/>
    </row>
    <row r="82" spans="1:8" x14ac:dyDescent="0.2">
      <c r="A82" s="57"/>
      <c r="B82" s="57"/>
      <c r="C82" s="57"/>
      <c r="D82" s="57"/>
      <c r="E82" s="57"/>
      <c r="F82" s="57"/>
      <c r="G82" s="57"/>
      <c r="H82" s="57"/>
    </row>
  </sheetData>
  <mergeCells count="15">
    <mergeCell ref="A28:H28"/>
    <mergeCell ref="A79:H79"/>
    <mergeCell ref="A12:B12"/>
    <mergeCell ref="D12:H12"/>
    <mergeCell ref="A13:B13"/>
    <mergeCell ref="D13:H13"/>
    <mergeCell ref="A14:B14"/>
    <mergeCell ref="D14:H14"/>
    <mergeCell ref="A15:B15"/>
    <mergeCell ref="D15:H15"/>
    <mergeCell ref="A1:H1"/>
    <mergeCell ref="A2:H2"/>
    <mergeCell ref="B9:H9"/>
    <mergeCell ref="A11:H11"/>
    <mergeCell ref="A17:H17"/>
  </mergeCells>
  <conditionalFormatting sqref="B9:H9">
    <cfRule type="expression" dxfId="7" priority="1">
      <formula>$B$9="LISTO PARA COTIZAR"</formula>
    </cfRule>
    <cfRule type="expression" dxfId="6" priority="2">
      <formula>$B$9="REVISAR ANTES DE COTIZAR"</formula>
    </cfRule>
  </conditionalFormatting>
  <conditionalFormatting sqref="C19:C26">
    <cfRule type="expression" dxfId="5" priority="3">
      <formula>C19="CORREGIDO"</formula>
    </cfRule>
    <cfRule type="expression" dxfId="4" priority="4">
      <formula>C19="PENDIENTE"</formula>
    </cfRule>
    <cfRule type="expression" dxfId="3" priority="5">
      <formula>OR(C19="INFORMATIVO",C19="ACLARADO")</formula>
    </cfRule>
  </conditionalFormatting>
  <conditionalFormatting sqref="E30:E77">
    <cfRule type="expression" dxfId="2" priority="6">
      <formula>E30="OK"</formula>
    </cfRule>
    <cfRule type="expression" dxfId="1" priority="7">
      <formula>E30="REVISAR"</formula>
    </cfRule>
  </conditionalFormatting>
  <conditionalFormatting sqref="F30:F77">
    <cfRule type="cellIs" dxfId="0" priority="8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MUEBLES</vt:lpstr>
      <vt:lpstr>📊 Resumen y Cotización</vt:lpstr>
      <vt:lpstr>🧱 Cubiertas</vt:lpstr>
      <vt:lpstr>📋 Explosión y Despiece Bla</vt:lpstr>
      <vt:lpstr>📋 Explosión y Despiece Mad</vt:lpstr>
      <vt:lpstr>⚙️ Configuración Costos</vt:lpstr>
      <vt:lpstr>🔎 Auditoría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David Furtado</cp:lastModifiedBy>
  <dcterms:created xsi:type="dcterms:W3CDTF">2026-08-29T17:46:02Z</dcterms:created>
  <dcterms:modified xsi:type="dcterms:W3CDTF">2026-09-08T00:13:38Z</dcterms:modified>
</cp:coreProperties>
</file>