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cb21c71a230ab/Área de Trabalho/"/>
    </mc:Choice>
  </mc:AlternateContent>
  <xr:revisionPtr revIDLastSave="600" documentId="8_{1F45B1CF-B245-4091-AB80-945FB70670CA}" xr6:coauthVersionLast="45" xr6:coauthVersionMax="45" xr10:uidLastSave="{26364BD6-EBD3-4FB2-B890-8EC6160C1905}"/>
  <bookViews>
    <workbookView xWindow="-120" yWindow="-120" windowWidth="27870" windowHeight="16440" tabRatio="680" activeTab="7" xr2:uid="{8E23AE88-1329-4286-B46E-1012A5220A03}"/>
  </bookViews>
  <sheets>
    <sheet name="Operational Summary" sheetId="13" r:id="rId1"/>
    <sheet name="Detailed Deliveries" sheetId="1" r:id="rId2"/>
    <sheet name="Revenue&amp;Profit" sheetId="4" r:id="rId3"/>
    <sheet name="DCF Model" sheetId="9" r:id="rId4"/>
    <sheet name="Production 2020-2030" sheetId="7" r:id="rId5"/>
    <sheet name="Useful Twitter model" sheetId="8" r:id="rId6"/>
    <sheet name="Folha1" sheetId="6" r:id="rId7"/>
    <sheet name="Battery-Revenue Model" sheetId="10" r:id="rId8"/>
    <sheet name="Automotive Capacity Model" sheetId="11" r:id="rId9"/>
    <sheet name="Market Demand Model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0" i="13" l="1"/>
  <c r="N50" i="13"/>
  <c r="M50" i="13"/>
  <c r="L50" i="13"/>
  <c r="K50" i="13"/>
  <c r="J50" i="13"/>
  <c r="P39" i="1"/>
  <c r="O39" i="1"/>
  <c r="P37" i="1"/>
  <c r="O37" i="1"/>
  <c r="P36" i="1"/>
  <c r="O36" i="1"/>
  <c r="P35" i="1"/>
  <c r="O35" i="1"/>
  <c r="P34" i="1"/>
  <c r="O34" i="1"/>
  <c r="P30" i="1"/>
  <c r="O30" i="1"/>
  <c r="P26" i="1"/>
  <c r="O26" i="1"/>
  <c r="P23" i="1"/>
  <c r="O23" i="1"/>
  <c r="P20" i="1"/>
  <c r="O20" i="1"/>
  <c r="P7" i="1"/>
  <c r="O7" i="1"/>
  <c r="P6" i="1"/>
  <c r="O6" i="1"/>
  <c r="P5" i="1"/>
  <c r="O5" i="1"/>
  <c r="P4" i="1"/>
  <c r="O4" i="1"/>
  <c r="O21" i="13"/>
  <c r="N21" i="13"/>
  <c r="M21" i="13"/>
  <c r="L21" i="13"/>
  <c r="K21" i="13"/>
  <c r="S17" i="13"/>
  <c r="R17" i="13"/>
  <c r="S16" i="13"/>
  <c r="S15" i="13"/>
  <c r="R15" i="13"/>
  <c r="Q15" i="13"/>
  <c r="J21" i="13"/>
  <c r="I21" i="13"/>
  <c r="H21" i="13"/>
  <c r="G21" i="13"/>
  <c r="F21" i="13"/>
  <c r="E15" i="13"/>
  <c r="E21" i="13" s="1"/>
  <c r="D15" i="13"/>
  <c r="D21" i="13" s="1"/>
  <c r="S14" i="13"/>
  <c r="R14" i="13"/>
  <c r="Q14" i="13"/>
  <c r="I11" i="13"/>
  <c r="Q11" i="13" l="1"/>
  <c r="F11" i="13"/>
  <c r="J11" i="13"/>
  <c r="E11" i="13"/>
  <c r="L11" i="13"/>
  <c r="D11" i="13"/>
  <c r="K11" i="13"/>
  <c r="R11" i="13"/>
  <c r="H11" i="13"/>
  <c r="N11" i="13"/>
  <c r="G11" i="13"/>
  <c r="M11" i="13"/>
  <c r="P21" i="13"/>
  <c r="Q21" i="13"/>
  <c r="R21" i="13"/>
  <c r="S21" i="13"/>
  <c r="S11" i="13"/>
  <c r="P11" i="13"/>
  <c r="O11" i="13"/>
  <c r="O13" i="1"/>
  <c r="S24" i="9"/>
  <c r="R24" i="9"/>
  <c r="Q24" i="9"/>
  <c r="P24" i="9"/>
  <c r="O24" i="9"/>
  <c r="O40" i="9"/>
  <c r="N40" i="9"/>
  <c r="M40" i="9"/>
  <c r="L40" i="9"/>
  <c r="K40" i="9"/>
  <c r="J40" i="9"/>
  <c r="N49" i="9"/>
  <c r="M49" i="9"/>
  <c r="L49" i="9"/>
  <c r="K49" i="9"/>
  <c r="J49" i="9"/>
  <c r="S40" i="9"/>
  <c r="P22" i="9"/>
  <c r="Q22" i="9" s="1"/>
  <c r="R22" i="9" s="1"/>
  <c r="S22" i="9" s="1"/>
  <c r="P21" i="9"/>
  <c r="Q21" i="9" s="1"/>
  <c r="R21" i="9" s="1"/>
  <c r="S21" i="9" s="1"/>
  <c r="P20" i="9"/>
  <c r="O22" i="9"/>
  <c r="O21" i="9"/>
  <c r="O20" i="9"/>
  <c r="R6" i="9"/>
  <c r="R7" i="9" s="1"/>
  <c r="Q6" i="9"/>
  <c r="Q7" i="9" s="1"/>
  <c r="N30" i="9"/>
  <c r="M30" i="9"/>
  <c r="L30" i="9"/>
  <c r="S5" i="9"/>
  <c r="S6" i="9" s="1"/>
  <c r="S7" i="9" s="1"/>
  <c r="R5" i="9"/>
  <c r="Q5" i="9"/>
  <c r="P5" i="9"/>
  <c r="P6" i="9" s="1"/>
  <c r="P7" i="9" s="1"/>
  <c r="O5" i="9"/>
  <c r="O6" i="9" s="1"/>
  <c r="O7" i="9" s="1"/>
  <c r="N29" i="9"/>
  <c r="M29" i="9"/>
  <c r="N39" i="9"/>
  <c r="M39" i="9"/>
  <c r="L39" i="9"/>
  <c r="K39" i="9"/>
  <c r="J39" i="9"/>
  <c r="I39" i="9"/>
  <c r="H39" i="9"/>
  <c r="G39" i="9"/>
  <c r="F39" i="9"/>
  <c r="E39" i="9"/>
  <c r="D39" i="9"/>
  <c r="C39" i="9"/>
  <c r="N38" i="9"/>
  <c r="M38" i="9"/>
  <c r="L38" i="9"/>
  <c r="K38" i="9"/>
  <c r="J38" i="9"/>
  <c r="I38" i="9"/>
  <c r="H38" i="9"/>
  <c r="G38" i="9"/>
  <c r="F38" i="9"/>
  <c r="E38" i="9"/>
  <c r="D38" i="9"/>
  <c r="C38" i="9"/>
  <c r="N37" i="9"/>
  <c r="M37" i="9"/>
  <c r="L37" i="9"/>
  <c r="K37" i="9"/>
  <c r="J37" i="9"/>
  <c r="I37" i="9"/>
  <c r="H37" i="9"/>
  <c r="G37" i="9"/>
  <c r="F37" i="9"/>
  <c r="E37" i="9"/>
  <c r="D37" i="9"/>
  <c r="C37" i="9"/>
  <c r="N33" i="9"/>
  <c r="M33" i="9"/>
  <c r="L33" i="9"/>
  <c r="K33" i="9"/>
  <c r="J33" i="9"/>
  <c r="I33" i="9"/>
  <c r="H33" i="9"/>
  <c r="G33" i="9"/>
  <c r="F33" i="9"/>
  <c r="E33" i="9"/>
  <c r="D33" i="9"/>
  <c r="C33" i="9"/>
  <c r="N32" i="9"/>
  <c r="M32" i="9"/>
  <c r="L32" i="9"/>
  <c r="K32" i="9"/>
  <c r="J32" i="9"/>
  <c r="I32" i="9"/>
  <c r="H32" i="9"/>
  <c r="G32" i="9"/>
  <c r="F32" i="9"/>
  <c r="E32" i="9"/>
  <c r="D32" i="9"/>
  <c r="C32" i="9"/>
  <c r="N31" i="9"/>
  <c r="M31" i="9"/>
  <c r="L31" i="9"/>
  <c r="K31" i="9"/>
  <c r="J31" i="9"/>
  <c r="I31" i="9"/>
  <c r="H31" i="9"/>
  <c r="G31" i="9"/>
  <c r="F31" i="9"/>
  <c r="E31" i="9"/>
  <c r="D31" i="9"/>
  <c r="N17" i="9"/>
  <c r="N18" i="9" s="1"/>
  <c r="M17" i="9"/>
  <c r="M18" i="9" s="1"/>
  <c r="L17" i="9"/>
  <c r="L18" i="9" s="1"/>
  <c r="K17" i="9"/>
  <c r="K18" i="9" s="1"/>
  <c r="J17" i="9"/>
  <c r="J18" i="9" s="1"/>
  <c r="I17" i="9"/>
  <c r="I18" i="9" s="1"/>
  <c r="H17" i="9"/>
  <c r="H18" i="9" s="1"/>
  <c r="G17" i="9"/>
  <c r="G18" i="9" s="1"/>
  <c r="F17" i="9"/>
  <c r="F18" i="9" s="1"/>
  <c r="E17" i="9"/>
  <c r="E18" i="9" s="1"/>
  <c r="D17" i="9"/>
  <c r="D18" i="9" s="1"/>
  <c r="C17" i="9"/>
  <c r="C18" i="9" s="1"/>
  <c r="P40" i="9" l="1"/>
  <c r="Q40" i="9"/>
  <c r="R40" i="9"/>
  <c r="P31" i="9"/>
  <c r="P15" i="9"/>
  <c r="P11" i="9"/>
  <c r="P10" i="9" s="1"/>
  <c r="P33" i="9" s="1"/>
  <c r="P14" i="9"/>
  <c r="P16" i="9"/>
  <c r="Q31" i="9"/>
  <c r="Q16" i="9"/>
  <c r="Q15" i="9"/>
  <c r="Q11" i="9"/>
  <c r="Q10" i="9" s="1"/>
  <c r="Q33" i="9" s="1"/>
  <c r="Q14" i="9"/>
  <c r="Q17" i="9" s="1"/>
  <c r="Q18" i="9" s="1"/>
  <c r="R31" i="9"/>
  <c r="R16" i="9"/>
  <c r="R15" i="9"/>
  <c r="R14" i="9"/>
  <c r="R11" i="9"/>
  <c r="R10" i="9" s="1"/>
  <c r="R33" i="9" s="1"/>
  <c r="O15" i="9"/>
  <c r="O14" i="9"/>
  <c r="O17" i="9" s="1"/>
  <c r="O11" i="9"/>
  <c r="O10" i="9" s="1"/>
  <c r="O33" i="9" s="1"/>
  <c r="O16" i="9"/>
  <c r="O31" i="9"/>
  <c r="S14" i="9"/>
  <c r="S31" i="9"/>
  <c r="S15" i="9"/>
  <c r="S11" i="9"/>
  <c r="S10" i="9" s="1"/>
  <c r="S33" i="9" s="1"/>
  <c r="S16" i="9"/>
  <c r="Q20" i="9"/>
  <c r="N23" i="9"/>
  <c r="N25" i="9" s="1"/>
  <c r="N35" i="9" s="1"/>
  <c r="N34" i="9"/>
  <c r="I23" i="9"/>
  <c r="I25" i="9" s="1"/>
  <c r="I35" i="9" s="1"/>
  <c r="I34" i="9"/>
  <c r="J23" i="9"/>
  <c r="J25" i="9" s="1"/>
  <c r="J35" i="9" s="1"/>
  <c r="J34" i="9"/>
  <c r="E23" i="9"/>
  <c r="E25" i="9" s="1"/>
  <c r="E35" i="9" s="1"/>
  <c r="E34" i="9"/>
  <c r="K23" i="9"/>
  <c r="K25" i="9" s="1"/>
  <c r="K35" i="9" s="1"/>
  <c r="K34" i="9"/>
  <c r="H23" i="9"/>
  <c r="H25" i="9" s="1"/>
  <c r="H35" i="9" s="1"/>
  <c r="H34" i="9"/>
  <c r="C23" i="9"/>
  <c r="C25" i="9" s="1"/>
  <c r="C35" i="9" s="1"/>
  <c r="C34" i="9"/>
  <c r="D23" i="9"/>
  <c r="D25" i="9" s="1"/>
  <c r="D35" i="9" s="1"/>
  <c r="D34" i="9"/>
  <c r="F23" i="9"/>
  <c r="F25" i="9" s="1"/>
  <c r="F35" i="9" s="1"/>
  <c r="F34" i="9"/>
  <c r="L23" i="9"/>
  <c r="L25" i="9" s="1"/>
  <c r="L35" i="9" s="1"/>
  <c r="L34" i="9"/>
  <c r="G34" i="9"/>
  <c r="G23" i="9"/>
  <c r="G25" i="9" s="1"/>
  <c r="G35" i="9" s="1"/>
  <c r="M34" i="9"/>
  <c r="M23" i="9"/>
  <c r="M25" i="9" s="1"/>
  <c r="M35" i="9" s="1"/>
  <c r="Q49" i="9" l="1"/>
  <c r="Q34" i="9"/>
  <c r="S17" i="9"/>
  <c r="S18" i="9" s="1"/>
  <c r="P17" i="9"/>
  <c r="P18" i="9" s="1"/>
  <c r="R17" i="9"/>
  <c r="R18" i="9" s="1"/>
  <c r="O18" i="9"/>
  <c r="R20" i="9"/>
  <c r="Q23" i="9"/>
  <c r="Q25" i="9" s="1"/>
  <c r="Q35" i="9" s="1"/>
  <c r="O23" i="9" l="1"/>
  <c r="O25" i="9" s="1"/>
  <c r="O35" i="9" s="1"/>
  <c r="O34" i="9"/>
  <c r="O49" i="9"/>
  <c r="R49" i="9"/>
  <c r="R34" i="9"/>
  <c r="P34" i="9"/>
  <c r="P49" i="9"/>
  <c r="P23" i="9"/>
  <c r="P25" i="9" s="1"/>
  <c r="P35" i="9" s="1"/>
  <c r="S49" i="9"/>
  <c r="S34" i="9"/>
  <c r="S20" i="9"/>
  <c r="S23" i="9" s="1"/>
  <c r="S25" i="9" s="1"/>
  <c r="S35" i="9" s="1"/>
  <c r="R23" i="9"/>
  <c r="R25" i="9" s="1"/>
  <c r="R35" i="9" s="1"/>
  <c r="P4" i="7" l="1"/>
  <c r="P6" i="7" s="1"/>
  <c r="N4" i="7"/>
  <c r="O4" i="7" s="1"/>
  <c r="M4" i="7"/>
  <c r="Q4" i="7" l="1"/>
  <c r="R4" i="7" s="1"/>
  <c r="I34" i="8"/>
  <c r="I33" i="8"/>
  <c r="I31" i="8"/>
  <c r="I29" i="8"/>
  <c r="I28" i="8"/>
  <c r="I27" i="8"/>
  <c r="I22" i="8"/>
  <c r="I7" i="8"/>
  <c r="I3" i="8"/>
  <c r="F18" i="8"/>
  <c r="G18" i="8" s="1"/>
  <c r="I18" i="8" s="1"/>
  <c r="D12" i="8"/>
  <c r="F4" i="8"/>
  <c r="E4" i="8"/>
  <c r="S4" i="7" l="1"/>
  <c r="R6" i="7"/>
  <c r="E12" i="8"/>
  <c r="F12" i="8" s="1"/>
  <c r="V10" i="7"/>
  <c r="U10" i="7"/>
  <c r="T10" i="7"/>
  <c r="S10" i="7"/>
  <c r="R10" i="7"/>
  <c r="Q10" i="7"/>
  <c r="P10" i="7"/>
  <c r="O10" i="7"/>
  <c r="N10" i="7"/>
  <c r="M10" i="7"/>
  <c r="L5" i="7"/>
  <c r="K5" i="7"/>
  <c r="J5" i="7"/>
  <c r="I5" i="7"/>
  <c r="H5" i="7"/>
  <c r="G5" i="7"/>
  <c r="F5" i="7"/>
  <c r="E5" i="7"/>
  <c r="I6" i="7"/>
  <c r="L6" i="7"/>
  <c r="K6" i="7"/>
  <c r="J6" i="7"/>
  <c r="T4" i="7" l="1"/>
  <c r="U4" i="7" s="1"/>
  <c r="V4" i="7" s="1"/>
  <c r="S6" i="7"/>
  <c r="G12" i="8"/>
  <c r="I12" i="8" s="1"/>
  <c r="I25" i="8" s="1"/>
  <c r="F13" i="8"/>
  <c r="N6" i="7" l="1"/>
  <c r="E2" i="6"/>
  <c r="G2" i="6" s="1"/>
  <c r="O2" i="6"/>
  <c r="P2" i="6"/>
  <c r="E3" i="6"/>
  <c r="G3" i="6"/>
  <c r="O11" i="6"/>
  <c r="P11" i="6" s="1"/>
  <c r="Q11" i="6" s="1"/>
  <c r="N12" i="6"/>
  <c r="P12" i="6"/>
  <c r="Q12" i="6"/>
  <c r="E19" i="6"/>
  <c r="D20" i="6" s="1"/>
  <c r="E4" i="6" s="1"/>
  <c r="G4" i="6" s="1"/>
  <c r="O6" i="7" l="1"/>
  <c r="G6" i="6"/>
  <c r="I6" i="6" s="1"/>
  <c r="L6" i="6" s="1"/>
  <c r="E6" i="6"/>
  <c r="O44" i="4"/>
  <c r="N44" i="4"/>
  <c r="M44" i="4"/>
  <c r="L44" i="4"/>
  <c r="K44" i="4"/>
  <c r="J44" i="4"/>
  <c r="I44" i="4"/>
  <c r="H44" i="4"/>
  <c r="G44" i="4"/>
  <c r="F44" i="4"/>
  <c r="E44" i="4"/>
  <c r="D44" i="4"/>
  <c r="O43" i="4"/>
  <c r="N43" i="4"/>
  <c r="M43" i="4"/>
  <c r="L43" i="4"/>
  <c r="K43" i="4"/>
  <c r="J43" i="4"/>
  <c r="I43" i="4"/>
  <c r="H43" i="4"/>
  <c r="G43" i="4"/>
  <c r="F43" i="4"/>
  <c r="E43" i="4"/>
  <c r="D43" i="4"/>
  <c r="O39" i="4"/>
  <c r="N39" i="4"/>
  <c r="M39" i="4"/>
  <c r="L39" i="4"/>
  <c r="K39" i="4"/>
  <c r="J39" i="4"/>
  <c r="I39" i="4"/>
  <c r="H39" i="4"/>
  <c r="G39" i="4"/>
  <c r="F39" i="4"/>
  <c r="E39" i="4"/>
  <c r="D39" i="4"/>
  <c r="O36" i="4"/>
  <c r="O37" i="4" s="1"/>
  <c r="O34" i="4"/>
  <c r="O35" i="4" s="1"/>
  <c r="N33" i="4"/>
  <c r="M33" i="4"/>
  <c r="L33" i="4"/>
  <c r="K33" i="4"/>
  <c r="J33" i="4"/>
  <c r="I33" i="4"/>
  <c r="H33" i="4"/>
  <c r="G33" i="4"/>
  <c r="F33" i="4"/>
  <c r="E33" i="4"/>
  <c r="S31" i="4"/>
  <c r="R31" i="4"/>
  <c r="Q31" i="4"/>
  <c r="P31" i="4"/>
  <c r="S29" i="4"/>
  <c r="R29" i="4"/>
  <c r="Q29" i="4"/>
  <c r="P29" i="4"/>
  <c r="S27" i="4"/>
  <c r="R27" i="4"/>
  <c r="Q27" i="4"/>
  <c r="P27" i="4"/>
  <c r="S26" i="4"/>
  <c r="R26" i="4"/>
  <c r="Q26" i="4"/>
  <c r="P26" i="4"/>
  <c r="S25" i="4"/>
  <c r="R25" i="4"/>
  <c r="Q25" i="4"/>
  <c r="P25" i="4"/>
  <c r="O22" i="4"/>
  <c r="N22" i="4"/>
  <c r="M22" i="4"/>
  <c r="L22" i="4"/>
  <c r="K22" i="4"/>
  <c r="J22" i="4"/>
  <c r="I22" i="4"/>
  <c r="H22" i="4"/>
  <c r="G22" i="4"/>
  <c r="F22" i="4"/>
  <c r="E22" i="4"/>
  <c r="D22" i="4"/>
  <c r="S21" i="4"/>
  <c r="R21" i="4"/>
  <c r="Q21" i="4"/>
  <c r="P21" i="4"/>
  <c r="S20" i="4"/>
  <c r="R20" i="4"/>
  <c r="Q20" i="4"/>
  <c r="P20" i="4"/>
  <c r="S19" i="4"/>
  <c r="R19" i="4"/>
  <c r="Q19" i="4"/>
  <c r="P19" i="4"/>
  <c r="O15" i="4"/>
  <c r="N15" i="4"/>
  <c r="M15" i="4"/>
  <c r="L15" i="4"/>
  <c r="K15" i="4"/>
  <c r="J15" i="4"/>
  <c r="I15" i="4"/>
  <c r="H15" i="4"/>
  <c r="H45" i="4" s="1"/>
  <c r="H46" i="4" s="1"/>
  <c r="G15" i="4"/>
  <c r="F15" i="4"/>
  <c r="E15" i="4"/>
  <c r="D15" i="4"/>
  <c r="S14" i="4"/>
  <c r="R14" i="4"/>
  <c r="R44" i="4" s="1"/>
  <c r="Q14" i="4"/>
  <c r="P14" i="4"/>
  <c r="S13" i="4"/>
  <c r="R13" i="4"/>
  <c r="Q13" i="4"/>
  <c r="P13" i="4"/>
  <c r="P43" i="4" s="1"/>
  <c r="O10" i="4"/>
  <c r="N10" i="4"/>
  <c r="M10" i="4"/>
  <c r="L10" i="4"/>
  <c r="K10" i="4"/>
  <c r="K17" i="4" s="1"/>
  <c r="J10" i="4"/>
  <c r="I10" i="4"/>
  <c r="H10" i="4"/>
  <c r="G10" i="4"/>
  <c r="F10" i="4"/>
  <c r="E10" i="4"/>
  <c r="E17" i="4" s="1"/>
  <c r="D10" i="4"/>
  <c r="S9" i="4"/>
  <c r="R9" i="4"/>
  <c r="Q9" i="4"/>
  <c r="P9" i="4"/>
  <c r="S8" i="4"/>
  <c r="S43" i="4" s="1"/>
  <c r="R8" i="4"/>
  <c r="Q8" i="4"/>
  <c r="P8" i="4"/>
  <c r="O5" i="4"/>
  <c r="O42" i="4" s="1"/>
  <c r="N5" i="4"/>
  <c r="N42" i="4" s="1"/>
  <c r="M5" i="4"/>
  <c r="M40" i="4" s="1"/>
  <c r="L5" i="4"/>
  <c r="L40" i="4" s="1"/>
  <c r="K5" i="4"/>
  <c r="J5" i="4"/>
  <c r="J42" i="4" s="1"/>
  <c r="I5" i="4"/>
  <c r="I42" i="4" s="1"/>
  <c r="H5" i="4"/>
  <c r="H42" i="4" s="1"/>
  <c r="G5" i="4"/>
  <c r="G40" i="4" s="1"/>
  <c r="F5" i="4"/>
  <c r="F40" i="4" s="1"/>
  <c r="E5" i="4"/>
  <c r="D5" i="4"/>
  <c r="D42" i="4" s="1"/>
  <c r="P34" i="4" l="1"/>
  <c r="Q34" i="4" s="1"/>
  <c r="R34" i="4" s="1"/>
  <c r="S34" i="4" s="1"/>
  <c r="N45" i="4"/>
  <c r="N46" i="4" s="1"/>
  <c r="R43" i="4"/>
  <c r="D16" i="4"/>
  <c r="J16" i="4"/>
  <c r="N11" i="4"/>
  <c r="N40" i="4"/>
  <c r="E23" i="4"/>
  <c r="E28" i="4" s="1"/>
  <c r="E30" i="4" s="1"/>
  <c r="E32" i="4" s="1"/>
  <c r="E37" i="4" s="1"/>
  <c r="K23" i="4"/>
  <c r="K28" i="4" s="1"/>
  <c r="K30" i="4" s="1"/>
  <c r="K32" i="4" s="1"/>
  <c r="S22" i="4"/>
  <c r="F17" i="4"/>
  <c r="F23" i="4" s="1"/>
  <c r="F28" i="4" s="1"/>
  <c r="F30" i="4" s="1"/>
  <c r="F32" i="4" s="1"/>
  <c r="F37" i="4" s="1"/>
  <c r="L17" i="4"/>
  <c r="L23" i="4" s="1"/>
  <c r="L28" i="4" s="1"/>
  <c r="L30" i="4" s="1"/>
  <c r="L32" i="4" s="1"/>
  <c r="L37" i="4" s="1"/>
  <c r="Q43" i="4"/>
  <c r="S44" i="4"/>
  <c r="I45" i="4"/>
  <c r="I46" i="4" s="1"/>
  <c r="O45" i="4"/>
  <c r="O46" i="4" s="1"/>
  <c r="O40" i="4"/>
  <c r="J17" i="4"/>
  <c r="J23" i="4" s="1"/>
  <c r="J28" i="4" s="1"/>
  <c r="J30" i="4" s="1"/>
  <c r="J32" i="4" s="1"/>
  <c r="J37" i="4" s="1"/>
  <c r="H17" i="4"/>
  <c r="H23" i="4" s="1"/>
  <c r="H28" i="4" s="1"/>
  <c r="H30" i="4" s="1"/>
  <c r="H32" i="4" s="1"/>
  <c r="H35" i="4" s="1"/>
  <c r="Q44" i="4"/>
  <c r="K16" i="4"/>
  <c r="N16" i="4"/>
  <c r="O16" i="4"/>
  <c r="E16" i="4"/>
  <c r="P22" i="4"/>
  <c r="I17" i="4"/>
  <c r="I23" i="4" s="1"/>
  <c r="I28" i="4" s="1"/>
  <c r="I30" i="4" s="1"/>
  <c r="I32" i="4" s="1"/>
  <c r="I37" i="4" s="1"/>
  <c r="O17" i="4"/>
  <c r="O23" i="4" s="1"/>
  <c r="O28" i="4" s="1"/>
  <c r="E45" i="4"/>
  <c r="E46" i="4" s="1"/>
  <c r="K45" i="4"/>
  <c r="K46" i="4" s="1"/>
  <c r="H16" i="4"/>
  <c r="Q22" i="4"/>
  <c r="H40" i="4"/>
  <c r="D45" i="4"/>
  <c r="D46" i="4" s="1"/>
  <c r="N17" i="4"/>
  <c r="N23" i="4" s="1"/>
  <c r="N28" i="4" s="1"/>
  <c r="N30" i="4" s="1"/>
  <c r="N32" i="4" s="1"/>
  <c r="N35" i="4" s="1"/>
  <c r="D17" i="4"/>
  <c r="D23" i="4" s="1"/>
  <c r="D28" i="4" s="1"/>
  <c r="D30" i="4" s="1"/>
  <c r="D32" i="4" s="1"/>
  <c r="D37" i="4" s="1"/>
  <c r="L11" i="4"/>
  <c r="P44" i="4"/>
  <c r="F16" i="4"/>
  <c r="L16" i="4"/>
  <c r="I16" i="4"/>
  <c r="R22" i="4"/>
  <c r="I40" i="4"/>
  <c r="J45" i="4"/>
  <c r="J46" i="4" s="1"/>
  <c r="G16" i="4"/>
  <c r="G45" i="4"/>
  <c r="G46" i="4" s="1"/>
  <c r="M16" i="4"/>
  <c r="M45" i="4"/>
  <c r="M46" i="4" s="1"/>
  <c r="K37" i="4"/>
  <c r="K35" i="4"/>
  <c r="H37" i="4"/>
  <c r="N37" i="4"/>
  <c r="E40" i="4"/>
  <c r="E42" i="4"/>
  <c r="K40" i="4"/>
  <c r="K11" i="4"/>
  <c r="K42" i="4"/>
  <c r="G17" i="4"/>
  <c r="G23" i="4" s="1"/>
  <c r="G28" i="4" s="1"/>
  <c r="G30" i="4" s="1"/>
  <c r="G32" i="4" s="1"/>
  <c r="M17" i="4"/>
  <c r="M23" i="4" s="1"/>
  <c r="M28" i="4" s="1"/>
  <c r="M30" i="4" s="1"/>
  <c r="M32" i="4" s="1"/>
  <c r="P36" i="4"/>
  <c r="Q36" i="4" s="1"/>
  <c r="R36" i="4" s="1"/>
  <c r="S36" i="4" s="1"/>
  <c r="D40" i="4"/>
  <c r="J40" i="4"/>
  <c r="F42" i="4"/>
  <c r="L42" i="4"/>
  <c r="F45" i="4"/>
  <c r="F46" i="4" s="1"/>
  <c r="L45" i="4"/>
  <c r="L46" i="4" s="1"/>
  <c r="G42" i="4"/>
  <c r="M42" i="4"/>
  <c r="M11" i="4"/>
  <c r="R9" i="1"/>
  <c r="S9" i="1"/>
  <c r="S8" i="1"/>
  <c r="S7" i="1"/>
  <c r="R7" i="1"/>
  <c r="Q7" i="1"/>
  <c r="S6" i="1"/>
  <c r="R6" i="1"/>
  <c r="Q6" i="1"/>
  <c r="S5" i="1"/>
  <c r="R5" i="1"/>
  <c r="Q5" i="1"/>
  <c r="S4" i="1"/>
  <c r="R4" i="1"/>
  <c r="Q4" i="1"/>
  <c r="Q6" i="7" l="1"/>
  <c r="F35" i="4"/>
  <c r="E35" i="4"/>
  <c r="I35" i="4"/>
  <c r="S5" i="4"/>
  <c r="S12" i="4" s="1"/>
  <c r="Q5" i="4"/>
  <c r="R5" i="4"/>
  <c r="R12" i="4" s="1"/>
  <c r="P5" i="4"/>
  <c r="P12" i="4" s="1"/>
  <c r="L35" i="4"/>
  <c r="J35" i="4"/>
  <c r="D35" i="4"/>
  <c r="G35" i="4"/>
  <c r="G37" i="4"/>
  <c r="M35" i="4"/>
  <c r="M37" i="4"/>
  <c r="R7" i="4" l="1"/>
  <c r="R10" i="4" s="1"/>
  <c r="P7" i="4"/>
  <c r="P10" i="4" s="1"/>
  <c r="Q12" i="4"/>
  <c r="Q7" i="4"/>
  <c r="Q10" i="4" s="1"/>
  <c r="S7" i="4"/>
  <c r="S10" i="4" s="1"/>
  <c r="R39" i="4"/>
  <c r="R15" i="4"/>
  <c r="R40" i="4"/>
  <c r="R42" i="4"/>
  <c r="R11" i="4"/>
  <c r="S11" i="4"/>
  <c r="S15" i="4"/>
  <c r="S17" i="4" s="1"/>
  <c r="S23" i="4" s="1"/>
  <c r="S28" i="4" s="1"/>
  <c r="S30" i="4" s="1"/>
  <c r="S32" i="4" s="1"/>
  <c r="S40" i="4"/>
  <c r="S42" i="4"/>
  <c r="P42" i="4"/>
  <c r="P11" i="4"/>
  <c r="P15" i="4"/>
  <c r="P40" i="4"/>
  <c r="P39" i="4" l="1"/>
  <c r="Q15" i="4"/>
  <c r="Q17" i="4" s="1"/>
  <c r="Q23" i="4" s="1"/>
  <c r="Q28" i="4" s="1"/>
  <c r="Q30" i="4" s="1"/>
  <c r="Q32" i="4" s="1"/>
  <c r="Q40" i="4"/>
  <c r="Q42" i="4"/>
  <c r="Q11" i="4"/>
  <c r="Q39" i="4"/>
  <c r="S39" i="4"/>
  <c r="S35" i="4"/>
  <c r="S37" i="4"/>
  <c r="R16" i="4"/>
  <c r="R45" i="4"/>
  <c r="R46" i="4" s="1"/>
  <c r="R17" i="4"/>
  <c r="R23" i="4" s="1"/>
  <c r="R28" i="4" s="1"/>
  <c r="R30" i="4" s="1"/>
  <c r="R32" i="4" s="1"/>
  <c r="S16" i="4"/>
  <c r="S45" i="4"/>
  <c r="S46" i="4" s="1"/>
  <c r="P45" i="4"/>
  <c r="P46" i="4" s="1"/>
  <c r="P16" i="4"/>
  <c r="P17" i="4"/>
  <c r="P23" i="4" s="1"/>
  <c r="P28" i="4" s="1"/>
  <c r="P30" i="4" s="1"/>
  <c r="P32" i="4" s="1"/>
  <c r="T6" i="7" l="1"/>
  <c r="Q37" i="4"/>
  <c r="Q35" i="4"/>
  <c r="Q45" i="4"/>
  <c r="Q46" i="4" s="1"/>
  <c r="Q16" i="4"/>
  <c r="R35" i="4"/>
  <c r="R37" i="4"/>
  <c r="P37" i="4"/>
  <c r="P35" i="4"/>
  <c r="V6" i="7" l="1"/>
  <c r="U6" i="7"/>
  <c r="S39" i="1" l="1"/>
  <c r="R39" i="1"/>
  <c r="Q39" i="1"/>
  <c r="S37" i="1"/>
  <c r="R37" i="1"/>
  <c r="Q37" i="1"/>
  <c r="S36" i="1"/>
  <c r="R36" i="1"/>
  <c r="Q36" i="1"/>
  <c r="S35" i="1"/>
  <c r="R35" i="1"/>
  <c r="Q35" i="1"/>
  <c r="S34" i="1"/>
  <c r="R34" i="1"/>
  <c r="Q34" i="1"/>
  <c r="L39" i="1"/>
  <c r="N39" i="1"/>
  <c r="M39" i="1"/>
  <c r="N37" i="1"/>
  <c r="M37" i="1"/>
  <c r="N36" i="1"/>
  <c r="M36" i="1"/>
  <c r="L36" i="1"/>
  <c r="K36" i="1"/>
  <c r="J36" i="1"/>
  <c r="I36" i="1"/>
  <c r="H36" i="1"/>
  <c r="G36" i="1"/>
  <c r="F36" i="1"/>
  <c r="N35" i="1"/>
  <c r="M35" i="1"/>
  <c r="L35" i="1"/>
  <c r="K35" i="1"/>
  <c r="J35" i="1"/>
  <c r="I35" i="1"/>
  <c r="H35" i="1"/>
  <c r="G35" i="1"/>
  <c r="F35" i="1"/>
  <c r="N34" i="1"/>
  <c r="M34" i="1"/>
  <c r="L34" i="1"/>
  <c r="K34" i="1"/>
  <c r="J34" i="1"/>
  <c r="I34" i="1"/>
  <c r="H34" i="1"/>
  <c r="G34" i="1"/>
  <c r="F34" i="1"/>
  <c r="E36" i="1"/>
  <c r="E35" i="1"/>
  <c r="E34" i="1"/>
  <c r="N6" i="1" l="1"/>
  <c r="N7" i="1"/>
  <c r="M7" i="1"/>
  <c r="L7" i="1"/>
  <c r="K7" i="1"/>
  <c r="J7" i="1"/>
  <c r="I7" i="1"/>
  <c r="H7" i="1"/>
  <c r="G7" i="1"/>
  <c r="F7" i="1"/>
  <c r="E7" i="1"/>
  <c r="M6" i="1"/>
  <c r="L6" i="1"/>
  <c r="K6" i="1"/>
  <c r="J6" i="1"/>
  <c r="I6" i="1"/>
  <c r="H6" i="1"/>
  <c r="G6" i="1"/>
  <c r="F6" i="1"/>
  <c r="E6" i="1"/>
  <c r="N5" i="1"/>
  <c r="M5" i="1"/>
  <c r="L5" i="1"/>
  <c r="K5" i="1"/>
  <c r="J5" i="1"/>
  <c r="I5" i="1"/>
  <c r="H5" i="1"/>
  <c r="G5" i="1"/>
  <c r="F5" i="1"/>
  <c r="E5" i="1"/>
  <c r="N4" i="1"/>
  <c r="M4" i="1"/>
  <c r="L4" i="1"/>
  <c r="K4" i="1"/>
  <c r="J4" i="1"/>
  <c r="I4" i="1"/>
  <c r="H4" i="1"/>
  <c r="G4" i="1"/>
  <c r="F4" i="1"/>
  <c r="E4" i="1"/>
  <c r="D7" i="1"/>
  <c r="D6" i="1"/>
  <c r="D5" i="1"/>
  <c r="D4" i="1"/>
  <c r="S30" i="1"/>
  <c r="R30" i="1"/>
  <c r="Q30" i="1"/>
  <c r="N30" i="1"/>
  <c r="M30" i="1"/>
  <c r="L30" i="1"/>
  <c r="K30" i="1"/>
  <c r="J30" i="1"/>
  <c r="I30" i="1"/>
  <c r="H30" i="1"/>
  <c r="G30" i="1"/>
  <c r="F30" i="1"/>
  <c r="E30" i="1"/>
  <c r="S26" i="1"/>
  <c r="R26" i="1"/>
  <c r="Q26" i="1"/>
  <c r="N26" i="1"/>
  <c r="M26" i="1"/>
  <c r="L26" i="1"/>
  <c r="K26" i="1"/>
  <c r="J26" i="1"/>
  <c r="I26" i="1"/>
  <c r="H26" i="1"/>
  <c r="G26" i="1"/>
  <c r="F26" i="1"/>
  <c r="E26" i="1"/>
  <c r="S23" i="1"/>
  <c r="R23" i="1"/>
  <c r="Q23" i="1"/>
  <c r="N23" i="1"/>
  <c r="M23" i="1"/>
  <c r="L23" i="1"/>
  <c r="K23" i="1"/>
  <c r="J23" i="1"/>
  <c r="I23" i="1"/>
  <c r="H23" i="1"/>
  <c r="G23" i="1"/>
  <c r="F23" i="1"/>
  <c r="E23" i="1"/>
  <c r="S20" i="1"/>
  <c r="R20" i="1"/>
  <c r="Q20" i="1"/>
  <c r="N20" i="1"/>
  <c r="M20" i="1"/>
  <c r="L20" i="1"/>
  <c r="K20" i="1"/>
  <c r="J20" i="1"/>
  <c r="I20" i="1"/>
  <c r="H20" i="1"/>
  <c r="G20" i="1"/>
  <c r="F20" i="1"/>
  <c r="E20" i="1"/>
  <c r="D30" i="1"/>
  <c r="D26" i="1"/>
  <c r="D23" i="1"/>
  <c r="D20" i="1"/>
  <c r="S13" i="1"/>
  <c r="R13" i="1"/>
  <c r="Q13" i="1"/>
  <c r="P13" i="1"/>
  <c r="F13" i="1" l="1"/>
  <c r="L13" i="1"/>
  <c r="N13" i="1"/>
  <c r="G13" i="1"/>
  <c r="J13" i="1"/>
  <c r="H13" i="1"/>
  <c r="E13" i="1"/>
  <c r="K13" i="1"/>
  <c r="I13" i="1"/>
  <c r="M13" i="1"/>
  <c r="D13" i="1"/>
  <c r="M31" i="1"/>
  <c r="N31" i="1"/>
  <c r="Q31" i="1"/>
  <c r="R31" i="1"/>
  <c r="P31" i="1"/>
  <c r="S31" i="1"/>
  <c r="L31" i="1"/>
  <c r="K31" i="1"/>
  <c r="J31" i="1"/>
  <c r="I31" i="1"/>
  <c r="H31" i="1"/>
  <c r="G31" i="1"/>
  <c r="F31" i="1"/>
  <c r="E31" i="1"/>
  <c r="D31" i="1"/>
  <c r="O31" i="1" l="1"/>
  <c r="M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Tiago Vieira</author>
  </authors>
  <commentList>
    <comment ref="L15" authorId="0" shapeId="0" xr:uid="{16784BD5-6DA9-46AF-81FD-418F1F6F9BBE}">
      <text>
        <r>
          <rPr>
            <b/>
            <sz val="9"/>
            <color indexed="81"/>
            <rFont val="Tahoma"/>
            <family val="2"/>
          </rPr>
          <t>Tiago Vieira:</t>
        </r>
        <r>
          <rPr>
            <sz val="9"/>
            <color indexed="81"/>
            <rFont val="Tahoma"/>
            <family val="2"/>
          </rPr>
          <t xml:space="preserve">
Beginning of Y Production</t>
        </r>
      </text>
    </comment>
    <comment ref="J37" authorId="0" shapeId="0" xr:uid="{0E3AC823-EBC8-4162-BE85-64CF8F1C8076}">
      <text>
        <r>
          <rPr>
            <b/>
            <sz val="9"/>
            <color indexed="81"/>
            <rFont val="Tahoma"/>
            <family val="2"/>
          </rPr>
          <t>Tiago Vieira:</t>
        </r>
        <r>
          <rPr>
            <sz val="9"/>
            <color indexed="81"/>
            <rFont val="Tahoma"/>
            <family val="2"/>
          </rPr>
          <t xml:space="preserve">
Y in Production</t>
        </r>
      </text>
    </comment>
  </commentList>
</comments>
</file>

<file path=xl/sharedStrings.xml><?xml version="1.0" encoding="utf-8"?>
<sst xmlns="http://schemas.openxmlformats.org/spreadsheetml/2006/main" count="328" uniqueCount="181">
  <si>
    <t>Model 3</t>
  </si>
  <si>
    <t>Model Y</t>
  </si>
  <si>
    <t>Q1</t>
  </si>
  <si>
    <t>Q2</t>
  </si>
  <si>
    <t>Q3</t>
  </si>
  <si>
    <t>Q4</t>
  </si>
  <si>
    <t>Model S</t>
  </si>
  <si>
    <t>Model X</t>
  </si>
  <si>
    <t>Cybertruck</t>
  </si>
  <si>
    <t>Semi</t>
  </si>
  <si>
    <t>Roadster</t>
  </si>
  <si>
    <t>Compact</t>
  </si>
  <si>
    <t>European Model</t>
  </si>
  <si>
    <t>Total Vehicles Sold</t>
  </si>
  <si>
    <t>NUMBER OF VEHICLES SOLD</t>
  </si>
  <si>
    <t>Fremont Model S</t>
  </si>
  <si>
    <t>Fremont Model X</t>
  </si>
  <si>
    <t>Fremont Model 3</t>
  </si>
  <si>
    <t>Fremont Model Y</t>
  </si>
  <si>
    <t>Total Fremont</t>
  </si>
  <si>
    <t>Shanghai Model 3</t>
  </si>
  <si>
    <t>Shanghai Model Y</t>
  </si>
  <si>
    <t>Total Shanghai</t>
  </si>
  <si>
    <t>Berlin Model 3</t>
  </si>
  <si>
    <t>Berlin Model Y</t>
  </si>
  <si>
    <t>Total Berlin</t>
  </si>
  <si>
    <t>Texas Model Y</t>
  </si>
  <si>
    <t>Texas Cybertruck</t>
  </si>
  <si>
    <t>Texas Semi</t>
  </si>
  <si>
    <t>Total Texas</t>
  </si>
  <si>
    <t>All Sites and Models</t>
  </si>
  <si>
    <t>Automotive Revenue</t>
  </si>
  <si>
    <t>Energy/Generation and Storage</t>
  </si>
  <si>
    <t>Services and Other</t>
  </si>
  <si>
    <t>Total Revenues</t>
  </si>
  <si>
    <t>Automotive COS</t>
  </si>
  <si>
    <t>Total COS</t>
  </si>
  <si>
    <t>Gross Margin %</t>
  </si>
  <si>
    <t>Gross Margin</t>
  </si>
  <si>
    <t>Research &amp; Development</t>
  </si>
  <si>
    <t>Selling, General &amp; Administrative</t>
  </si>
  <si>
    <t>Restructuring &amp; Others</t>
  </si>
  <si>
    <t>Total Operating Expenses</t>
  </si>
  <si>
    <t>Income/(Loss) from Operations</t>
  </si>
  <si>
    <t>$'s in Millions</t>
  </si>
  <si>
    <t>Interest Income</t>
  </si>
  <si>
    <t>Interest Expense</t>
  </si>
  <si>
    <t>Other Income/(Expense), Net</t>
  </si>
  <si>
    <t>Income/(Loss) Before Income Taxes</t>
  </si>
  <si>
    <t>Provision/(Benefit) for Income Taxes</t>
  </si>
  <si>
    <t>Net Income/(Loss)</t>
  </si>
  <si>
    <t>Net Loss Attributable to Noncontrolling</t>
  </si>
  <si>
    <t>Net Income/(Loss) Attributable to Common</t>
  </si>
  <si>
    <t>Shares Outstanding (basic)</t>
  </si>
  <si>
    <t>Shares Outstanding (diluted)</t>
  </si>
  <si>
    <t>Earnings per Share (diluted )</t>
  </si>
  <si>
    <t>Earnings per Share (basic)</t>
  </si>
  <si>
    <t>Automotive Gross Margin</t>
  </si>
  <si>
    <t>Automotive COS %</t>
  </si>
  <si>
    <t>COS %</t>
  </si>
  <si>
    <t>Solar Deployed (MW)</t>
  </si>
  <si>
    <t>Storage Deployed (MWh)</t>
  </si>
  <si>
    <t>Fremont</t>
  </si>
  <si>
    <t>Shanghai</t>
  </si>
  <si>
    <t>Berlin</t>
  </si>
  <si>
    <t>Texas</t>
  </si>
  <si>
    <t>Installed Annual Capacity</t>
  </si>
  <si>
    <t>Model S/X</t>
  </si>
  <si>
    <t>Model 3/Y</t>
  </si>
  <si>
    <t>United States</t>
  </si>
  <si>
    <t>Tesla Semi</t>
  </si>
  <si>
    <t>Regulatory Credits</t>
  </si>
  <si>
    <t>Automotive Revenue Excl. Reg. Credits</t>
  </si>
  <si>
    <t>Automotive Gross Margin Excl Reg Credits</t>
  </si>
  <si>
    <t>Gross Profit</t>
  </si>
  <si>
    <t>Total Gross Margin</t>
  </si>
  <si>
    <t>ASP</t>
  </si>
  <si>
    <t>ICannotEnough Estimates</t>
  </si>
  <si>
    <t>energia</t>
  </si>
  <si>
    <t>rev/mwh</t>
  </si>
  <si>
    <t>revenue ($M)</t>
  </si>
  <si>
    <t>mwh</t>
  </si>
  <si>
    <t>kwh</t>
  </si>
  <si>
    <t>twh</t>
  </si>
  <si>
    <t>gwh</t>
  </si>
  <si>
    <t>FSD</t>
  </si>
  <si>
    <t>carros</t>
  </si>
  <si>
    <t>kwh total</t>
  </si>
  <si>
    <t>kwh unit</t>
  </si>
  <si>
    <t>por ação</t>
  </si>
  <si>
    <t>nr ações</t>
  </si>
  <si>
    <t>market cap</t>
  </si>
  <si>
    <t>PE</t>
  </si>
  <si>
    <t>earnings</t>
  </si>
  <si>
    <t>profit %</t>
  </si>
  <si>
    <t>revenue</t>
  </si>
  <si>
    <t>units</t>
  </si>
  <si>
    <t>Vehicles Produced</t>
  </si>
  <si>
    <t>5 year CAGR (%)</t>
  </si>
  <si>
    <t>% Change</t>
  </si>
  <si>
    <t>Solving the Money Problem</t>
  </si>
  <si>
    <t>Vehicles Sold</t>
  </si>
  <si>
    <t>(With Full Self Driving for 2 users, additional users can be added for additional cost, not included here)</t>
  </si>
  <si>
    <t>Sold/Year</t>
  </si>
  <si>
    <t>Avg Cost</t>
  </si>
  <si>
    <t>Margin</t>
  </si>
  <si>
    <t>Tesla Insurance</t>
  </si>
  <si>
    <t>(Cumulative 50M covers all purchasers that have purchased vehicles over time)</t>
  </si>
  <si>
    <t>Total Owned Vehicles</t>
  </si>
  <si>
    <t>Autonomous Network</t>
  </si>
  <si>
    <t>Total Vehicles</t>
  </si>
  <si>
    <t>Revenues</t>
  </si>
  <si>
    <t>Per Day</t>
  </si>
  <si>
    <t>Costs</t>
  </si>
  <si>
    <t>Total Margin Car</t>
  </si>
  <si>
    <t>(312 Days/Year)</t>
  </si>
  <si>
    <t>Fleet Vehicles</t>
  </si>
  <si>
    <t>Royalty</t>
  </si>
  <si>
    <t>(10 hours of Use Per Day, Revenues of $15/hour, Royalty paid to Tesla = 35% Revenue, 6 Days/Week)</t>
  </si>
  <si>
    <t>(12 hours of Use Per Day, Revenues of $15/hour, Costs = 25% of Revenues, 6 Days/Week)</t>
  </si>
  <si>
    <t>(Owner Profit = $150/day - $38costs - $53royalty = $59/day * 312 = 18k per year (this assumes they use their car as well)</t>
  </si>
  <si>
    <t>Energy, Solar, Storage (I don´t have specific estimates, just a guess)</t>
  </si>
  <si>
    <t>Other Overhead Costs</t>
  </si>
  <si>
    <t>Income Taxes(22%)</t>
  </si>
  <si>
    <t>Net Profit</t>
  </si>
  <si>
    <t>Total Shares Outstanding</t>
  </si>
  <si>
    <t>PE ratio</t>
  </si>
  <si>
    <t>Price per Share</t>
  </si>
  <si>
    <t>Market Capitalization</t>
  </si>
  <si>
    <t>Total $ Margin ($B)</t>
  </si>
  <si>
    <t>Earnings per Share</t>
  </si>
  <si>
    <t>$B</t>
  </si>
  <si>
    <t>Assumptions</t>
  </si>
  <si>
    <t>Revenue Growth (% Change)</t>
  </si>
  <si>
    <t>Cost of Goods Sold (% of Revenue)</t>
  </si>
  <si>
    <t>Accounts Receivable (Days)</t>
  </si>
  <si>
    <t>Inventory (Days)</t>
  </si>
  <si>
    <t>Accounts Payable (Days)</t>
  </si>
  <si>
    <t>Income Statement</t>
  </si>
  <si>
    <t>Total Revenue</t>
  </si>
  <si>
    <t>Cost of Revenue</t>
  </si>
  <si>
    <t>Automotive</t>
  </si>
  <si>
    <t>Total Cost of Revenue</t>
  </si>
  <si>
    <t>Operating Expenses</t>
  </si>
  <si>
    <t>Selling, general and administrative</t>
  </si>
  <si>
    <t>Restructuring and other</t>
  </si>
  <si>
    <t>Research and development</t>
  </si>
  <si>
    <t>Interest income</t>
  </si>
  <si>
    <t>Interest expense</t>
  </si>
  <si>
    <t>Other expense, net</t>
  </si>
  <si>
    <t>Provision for income taxes</t>
  </si>
  <si>
    <t>Income (loss) from operations</t>
  </si>
  <si>
    <t>Net Income (loss)</t>
  </si>
  <si>
    <t>Income (loss) before income taxes</t>
  </si>
  <si>
    <t>Research and development (% of Revenue)</t>
  </si>
  <si>
    <t>Selling, general and administrative (% of Revenue)</t>
  </si>
  <si>
    <t>Restructuring and other (% of Revenue)</t>
  </si>
  <si>
    <t>Automotive Gross Margin (%)</t>
  </si>
  <si>
    <t>Operating Margin (%)</t>
  </si>
  <si>
    <t>Profit Margin (%)</t>
  </si>
  <si>
    <t>Capital Expenditures</t>
  </si>
  <si>
    <t>Discounted Cash Flow Model</t>
  </si>
  <si>
    <t>Total Cars Delivered</t>
  </si>
  <si>
    <t>Cars Delivered Growth</t>
  </si>
  <si>
    <t>Average Selling Price (Average)</t>
  </si>
  <si>
    <t>Tax Rate</t>
  </si>
  <si>
    <t>Net Income</t>
  </si>
  <si>
    <t>Less: CAPEX</t>
  </si>
  <si>
    <t>Less: Changes in NWC</t>
  </si>
  <si>
    <t>Free Cash Flow</t>
  </si>
  <si>
    <t>Store and Service Locations</t>
  </si>
  <si>
    <t>Mobile Service Fleet</t>
  </si>
  <si>
    <t>Supercharger Stations</t>
  </si>
  <si>
    <t>Supercharger Connectores</t>
  </si>
  <si>
    <t>DELIVERIES BY SITE AND MODEL</t>
  </si>
  <si>
    <t>DELIVERIES BY SITE AND MODEL (%)</t>
  </si>
  <si>
    <t>NUMBER OF VEHICLES PRODUCED</t>
  </si>
  <si>
    <t>Total Vehicles Produced</t>
  </si>
  <si>
    <t>Construction</t>
  </si>
  <si>
    <t>In Development</t>
  </si>
  <si>
    <t>Total Prod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</si>
</sst>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##0.00;\(##0.00\)"/>
    <numFmt numFmtId="167" formatCode="##0;\(##0\)"/>
    <numFmt numFmtId="168" formatCode="_(* #,##0.00_);_(* \(#,##0.00\);_(* &quot;-&quot;??_);_(@_)"/>
    <numFmt numFmtId="169" formatCode="_-&quot;$&quot;* #,##0.00_-;\-&quot;$&quot;* #,##0.00_-;_-&quot;$&quot;* &quot;-&quot;??_-;_-@_-"/>
    <numFmt numFmtId="170" formatCode="0.000%"/>
    <numFmt numFmtId="171" formatCode="\ #,##0_);\(\ #,##0\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Arial Narrow"/>
      <family val="2"/>
    </font>
    <font>
      <sz val="12"/>
      <color indexed="8"/>
      <name val="Verdana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0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1"/>
      <color rgb="FF00CCFF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Arial"/>
      <family val="2"/>
    </font>
    <font>
      <b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1"/>
      <color rgb="FF0070C0"/>
      <name val="Calibri Light"/>
      <family val="2"/>
      <scheme val="major"/>
    </font>
    <font>
      <sz val="11"/>
      <color rgb="FF0070C0"/>
      <name val="Calibri Light"/>
      <family val="2"/>
      <scheme val="major"/>
    </font>
    <font>
      <b/>
      <sz val="14"/>
      <color rgb="FF0070C0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Protection="0">
      <alignment vertical="top" wrapText="1"/>
    </xf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8" fillId="0" borderId="0"/>
    <xf numFmtId="0" fontId="14" fillId="0" borderId="0"/>
  </cellStyleXfs>
  <cellXfs count="118">
    <xf numFmtId="0" fontId="0" fillId="0" borderId="0" xfId="0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3" fontId="3" fillId="0" borderId="0" xfId="1" applyFont="1" applyBorder="1" applyAlignment="1">
      <alignment horizontal="center" vertical="center"/>
    </xf>
    <xf numFmtId="43" fontId="3" fillId="0" borderId="0" xfId="1" applyFont="1" applyBorder="1" applyAlignment="1">
      <alignment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5" fontId="3" fillId="0" borderId="0" xfId="2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164" fontId="4" fillId="0" borderId="0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vertical="center"/>
    </xf>
    <xf numFmtId="165" fontId="3" fillId="0" borderId="1" xfId="2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43" fontId="4" fillId="0" borderId="0" xfId="1" applyFont="1" applyBorder="1" applyAlignment="1">
      <alignment horizontal="center" vertical="center"/>
    </xf>
    <xf numFmtId="167" fontId="4" fillId="0" borderId="0" xfId="1" applyNumberFormat="1" applyFont="1" applyBorder="1" applyAlignment="1">
      <alignment horizontal="center" vertical="center"/>
    </xf>
    <xf numFmtId="167" fontId="3" fillId="0" borderId="1" xfId="1" applyNumberFormat="1" applyFont="1" applyBorder="1" applyAlignment="1">
      <alignment vertical="center"/>
    </xf>
    <xf numFmtId="167" fontId="3" fillId="0" borderId="0" xfId="0" applyNumberFormat="1" applyFont="1" applyBorder="1" applyAlignment="1">
      <alignment horizontal="center" vertical="center"/>
    </xf>
    <xf numFmtId="167" fontId="4" fillId="0" borderId="3" xfId="1" applyNumberFormat="1" applyFont="1" applyBorder="1" applyAlignment="1">
      <alignment horizontal="center" vertical="center"/>
    </xf>
    <xf numFmtId="167" fontId="3" fillId="0" borderId="0" xfId="0" applyNumberFormat="1" applyFont="1" applyBorder="1" applyAlignment="1">
      <alignment vertical="center"/>
    </xf>
    <xf numFmtId="167" fontId="4" fillId="0" borderId="0" xfId="0" applyNumberFormat="1" applyFont="1" applyBorder="1" applyAlignment="1">
      <alignment horizontal="center" vertical="center"/>
    </xf>
    <xf numFmtId="167" fontId="3" fillId="0" borderId="5" xfId="0" applyNumberFormat="1" applyFont="1" applyBorder="1" applyAlignment="1">
      <alignment horizontal="center" vertical="center"/>
    </xf>
    <xf numFmtId="167" fontId="4" fillId="0" borderId="6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4" fontId="3" fillId="2" borderId="4" xfId="1" applyNumberFormat="1" applyFont="1" applyFill="1" applyBorder="1" applyAlignment="1">
      <alignment horizontal="center" vertical="center"/>
    </xf>
    <xf numFmtId="165" fontId="3" fillId="2" borderId="0" xfId="2" applyNumberFormat="1" applyFont="1" applyFill="1" applyBorder="1" applyAlignment="1">
      <alignment horizontal="center" vertical="center"/>
    </xf>
    <xf numFmtId="9" fontId="3" fillId="0" borderId="0" xfId="2" applyNumberFormat="1" applyFont="1" applyBorder="1" applyAlignment="1">
      <alignment horizontal="center" vertical="center"/>
    </xf>
    <xf numFmtId="165" fontId="3" fillId="2" borderId="1" xfId="2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64" fontId="4" fillId="2" borderId="0" xfId="1" applyNumberFormat="1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165" fontId="3" fillId="3" borderId="0" xfId="2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3" fillId="0" borderId="0" xfId="2" applyFont="1" applyBorder="1" applyAlignment="1">
      <alignment vertical="center"/>
    </xf>
    <xf numFmtId="164" fontId="9" fillId="0" borderId="0" xfId="1" applyNumberFormat="1" applyFont="1" applyBorder="1" applyAlignment="1">
      <alignment horizontal="center" vertical="center"/>
    </xf>
    <xf numFmtId="164" fontId="9" fillId="2" borderId="0" xfId="1" applyNumberFormat="1" applyFont="1" applyFill="1" applyBorder="1" applyAlignment="1">
      <alignment horizontal="center" vertical="center"/>
    </xf>
    <xf numFmtId="10" fontId="10" fillId="0" borderId="0" xfId="2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vertical="center"/>
    </xf>
    <xf numFmtId="43" fontId="0" fillId="0" borderId="0" xfId="1" applyFont="1"/>
    <xf numFmtId="164" fontId="0" fillId="0" borderId="0" xfId="0" applyNumberFormat="1"/>
    <xf numFmtId="164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"/>
    </xf>
    <xf numFmtId="0" fontId="3" fillId="0" borderId="0" xfId="0" applyFont="1"/>
    <xf numFmtId="0" fontId="11" fillId="0" borderId="0" xfId="0" applyFont="1"/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164" fontId="3" fillId="4" borderId="0" xfId="0" applyNumberFormat="1" applyFont="1" applyFill="1"/>
    <xf numFmtId="170" fontId="3" fillId="0" borderId="0" xfId="2" applyNumberFormat="1" applyFont="1" applyAlignment="1">
      <alignment vertical="center"/>
    </xf>
    <xf numFmtId="170" fontId="3" fillId="4" borderId="0" xfId="2" applyNumberFormat="1" applyFont="1" applyFill="1"/>
    <xf numFmtId="9" fontId="3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/>
    <xf numFmtId="0" fontId="4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13" fillId="0" borderId="0" xfId="1" applyNumberFormat="1" applyFont="1" applyAlignment="1">
      <alignment vertical="center"/>
    </xf>
    <xf numFmtId="165" fontId="13" fillId="0" borderId="0" xfId="2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3" fillId="0" borderId="0" xfId="2" applyNumberFormat="1" applyFont="1" applyAlignment="1">
      <alignment horizontal="center" vertical="center"/>
    </xf>
    <xf numFmtId="165" fontId="4" fillId="0" borderId="0" xfId="2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71" fontId="4" fillId="0" borderId="0" xfId="1" applyNumberFormat="1" applyFont="1" applyAlignment="1">
      <alignment vertical="center"/>
    </xf>
    <xf numFmtId="0" fontId="15" fillId="0" borderId="0" xfId="0" applyFont="1" applyAlignment="1">
      <alignment horizontal="center" vertical="center"/>
    </xf>
    <xf numFmtId="164" fontId="15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64" fontId="18" fillId="0" borderId="0" xfId="1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71" fontId="17" fillId="0" borderId="0" xfId="1" applyNumberFormat="1" applyFont="1" applyAlignment="1">
      <alignment vertical="center"/>
    </xf>
    <xf numFmtId="164" fontId="19" fillId="0" borderId="0" xfId="1" applyNumberFormat="1" applyFont="1" applyAlignment="1">
      <alignment horizontal="center" vertical="center"/>
    </xf>
    <xf numFmtId="165" fontId="17" fillId="0" borderId="0" xfId="2" applyNumberFormat="1" applyFont="1" applyAlignment="1">
      <alignment horizontal="center" vertical="center"/>
    </xf>
    <xf numFmtId="165" fontId="18" fillId="0" borderId="0" xfId="2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5" borderId="0" xfId="0" applyFont="1" applyFill="1" applyBorder="1" applyAlignment="1">
      <alignment vertical="center"/>
    </xf>
    <xf numFmtId="0" fontId="0" fillId="5" borderId="0" xfId="0" applyFill="1"/>
    <xf numFmtId="164" fontId="3" fillId="6" borderId="0" xfId="1" applyNumberFormat="1" applyFont="1" applyFill="1" applyBorder="1" applyAlignment="1">
      <alignment horizontal="center" vertical="center"/>
    </xf>
    <xf numFmtId="164" fontId="3" fillId="6" borderId="1" xfId="1" applyNumberFormat="1" applyFont="1" applyFill="1" applyBorder="1" applyAlignment="1">
      <alignment horizontal="center" vertical="center"/>
    </xf>
    <xf numFmtId="164" fontId="9" fillId="6" borderId="0" xfId="1" applyNumberFormat="1" applyFont="1" applyFill="1" applyBorder="1" applyAlignment="1">
      <alignment horizontal="center" vertical="center"/>
    </xf>
    <xf numFmtId="165" fontId="3" fillId="0" borderId="0" xfId="2" applyNumberFormat="1" applyFont="1" applyBorder="1" applyAlignment="1">
      <alignment vertical="center"/>
    </xf>
    <xf numFmtId="165" fontId="3" fillId="6" borderId="0" xfId="2" applyNumberFormat="1" applyFont="1" applyFill="1" applyBorder="1" applyAlignment="1">
      <alignment horizontal="center" vertical="center"/>
    </xf>
    <xf numFmtId="165" fontId="3" fillId="6" borderId="1" xfId="2" applyNumberFormat="1" applyFont="1" applyFill="1" applyBorder="1" applyAlignment="1">
      <alignment horizontal="center" vertical="center"/>
    </xf>
    <xf numFmtId="9" fontId="3" fillId="6" borderId="0" xfId="2" applyNumberFormat="1" applyFont="1" applyFill="1" applyBorder="1" applyAlignment="1">
      <alignment horizontal="center" vertical="center"/>
    </xf>
    <xf numFmtId="164" fontId="3" fillId="6" borderId="4" xfId="1" applyNumberFormat="1" applyFont="1" applyFill="1" applyBorder="1" applyAlignment="1">
      <alignment horizontal="center" vertical="center"/>
    </xf>
    <xf numFmtId="164" fontId="3" fillId="6" borderId="0" xfId="1" applyNumberFormat="1" applyFont="1" applyFill="1" applyBorder="1" applyAlignment="1">
      <alignment vertical="center"/>
    </xf>
    <xf numFmtId="164" fontId="22" fillId="2" borderId="0" xfId="1" applyNumberFormat="1" applyFont="1" applyFill="1" applyBorder="1" applyAlignment="1">
      <alignment horizontal="center" vertical="center"/>
    </xf>
    <xf numFmtId="164" fontId="23" fillId="2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4" fillId="0" borderId="0" xfId="0" applyFont="1"/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164" fontId="9" fillId="0" borderId="0" xfId="0" applyNumberFormat="1" applyFont="1" applyBorder="1" applyAlignment="1">
      <alignment horizontal="center" vertical="center"/>
    </xf>
  </cellXfs>
  <cellStyles count="12">
    <cellStyle name="Comma 2" xfId="7" xr:uid="{81D744B3-C29D-487C-950F-81C0D9A384EB}"/>
    <cellStyle name="Comma 3 2" xfId="4" xr:uid="{0C2426AC-A340-467E-A439-4A1B684F0C2D}"/>
    <cellStyle name="Currency 3" xfId="9" xr:uid="{81818EB5-ECBA-4609-8055-B2A926879DC0}"/>
    <cellStyle name="Normal" xfId="0" builtinId="0"/>
    <cellStyle name="Normal 2" xfId="11" xr:uid="{9BC3985F-4DD5-459B-8B72-F0715EAD5BED}"/>
    <cellStyle name="Normal 2 2" xfId="10" xr:uid="{AF4418F2-F8F7-4448-AD53-F1F09A543EED}"/>
    <cellStyle name="Normal 3" xfId="3" xr:uid="{7EB03BD1-36E2-4436-A1AD-439A25E417A0}"/>
    <cellStyle name="Percent 2" xfId="6" xr:uid="{ADF45E0A-2806-4D76-89E7-06EDB58DEB62}"/>
    <cellStyle name="Percent 2 2" xfId="8" xr:uid="{29209F93-2E2E-4983-83E9-1D45D786D0DE}"/>
    <cellStyle name="Percent 3" xfId="5" xr:uid="{9A074473-F205-408D-A46A-A1A1EB8C1DD6}"/>
    <cellStyle name="Percentagem" xfId="2" builtinId="5"/>
    <cellStyle name="Vírgula" xfId="1" builtinId="3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940F-A9BD-4AA9-9F6F-40437285739B}">
  <sheetPr>
    <tabColor theme="1"/>
  </sheetPr>
  <dimension ref="A1:S51"/>
  <sheetViews>
    <sheetView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24" sqref="N24"/>
    </sheetView>
  </sheetViews>
  <sheetFormatPr defaultRowHeight="15"/>
  <cols>
    <col min="1" max="1" width="2.7109375" style="1" customWidth="1"/>
    <col min="2" max="2" width="39" style="1" bestFit="1" customWidth="1"/>
    <col min="3" max="3" width="2.7109375" style="3" customWidth="1"/>
    <col min="4" max="7" width="9.7109375" style="3" customWidth="1"/>
    <col min="8" max="10" width="11.7109375" style="3" customWidth="1"/>
    <col min="11" max="19" width="11.7109375" style="1" customWidth="1"/>
    <col min="20" max="20" width="9.140625" style="1"/>
    <col min="21" max="21" width="14.7109375" style="1" customWidth="1"/>
    <col min="22" max="22" width="10.7109375" style="1" customWidth="1"/>
    <col min="23" max="24" width="12.7109375" style="1" customWidth="1"/>
    <col min="25" max="28" width="9.7109375" style="1" bestFit="1" customWidth="1"/>
    <col min="29" max="16384" width="9.140625" style="1"/>
  </cols>
  <sheetData>
    <row r="1" spans="1:19">
      <c r="D1" s="96">
        <v>2018</v>
      </c>
      <c r="E1" s="96"/>
      <c r="F1" s="96"/>
      <c r="G1" s="96"/>
      <c r="H1" s="96">
        <v>2019</v>
      </c>
      <c r="I1" s="96"/>
      <c r="J1" s="96"/>
      <c r="K1" s="96"/>
      <c r="L1" s="96">
        <v>2020</v>
      </c>
      <c r="M1" s="96"/>
      <c r="N1" s="96"/>
      <c r="O1" s="96"/>
      <c r="P1" s="96">
        <v>2021</v>
      </c>
      <c r="Q1" s="96"/>
      <c r="R1" s="96"/>
      <c r="S1" s="96"/>
    </row>
    <row r="2" spans="1:19">
      <c r="D2" s="78" t="s">
        <v>2</v>
      </c>
      <c r="E2" s="78" t="s">
        <v>3</v>
      </c>
      <c r="F2" s="78" t="s">
        <v>4</v>
      </c>
      <c r="G2" s="78" t="s">
        <v>5</v>
      </c>
      <c r="H2" s="78" t="s">
        <v>2</v>
      </c>
      <c r="I2" s="78" t="s">
        <v>3</v>
      </c>
      <c r="J2" s="78" t="s">
        <v>4</v>
      </c>
      <c r="K2" s="78" t="s">
        <v>5</v>
      </c>
      <c r="L2" s="78" t="s">
        <v>2</v>
      </c>
      <c r="M2" s="78" t="s">
        <v>3</v>
      </c>
      <c r="N2" s="78" t="s">
        <v>4</v>
      </c>
      <c r="O2" s="78" t="s">
        <v>5</v>
      </c>
      <c r="P2" s="78" t="s">
        <v>2</v>
      </c>
      <c r="Q2" s="78" t="s">
        <v>3</v>
      </c>
      <c r="R2" s="78" t="s">
        <v>4</v>
      </c>
      <c r="S2" s="78" t="s">
        <v>5</v>
      </c>
    </row>
    <row r="3" spans="1:19" ht="16.5">
      <c r="A3" s="11" t="s">
        <v>14</v>
      </c>
      <c r="D3" s="6"/>
      <c r="E3" s="6"/>
      <c r="F3" s="6"/>
      <c r="G3" s="6"/>
      <c r="H3" s="6"/>
      <c r="I3" s="6"/>
      <c r="J3" s="6"/>
      <c r="K3" s="7"/>
      <c r="L3" s="7"/>
      <c r="M3" s="7"/>
      <c r="N3" s="7"/>
      <c r="O3" s="7"/>
      <c r="P3" s="7"/>
      <c r="Q3" s="7"/>
      <c r="R3" s="7"/>
      <c r="S3" s="7"/>
    </row>
    <row r="4" spans="1:19">
      <c r="B4" s="1" t="s">
        <v>67</v>
      </c>
      <c r="D4" s="8">
        <v>0</v>
      </c>
      <c r="E4" s="8">
        <v>0</v>
      </c>
      <c r="F4" s="8">
        <v>0</v>
      </c>
      <c r="G4" s="8">
        <v>27607</v>
      </c>
      <c r="H4" s="8">
        <v>12091</v>
      </c>
      <c r="I4" s="8">
        <v>17722</v>
      </c>
      <c r="J4" s="8">
        <v>17483</v>
      </c>
      <c r="K4" s="8">
        <v>19475</v>
      </c>
      <c r="L4" s="8">
        <v>12230</v>
      </c>
      <c r="M4" s="8">
        <v>10614</v>
      </c>
      <c r="N4" s="8">
        <v>15275</v>
      </c>
      <c r="O4" s="8">
        <v>18966</v>
      </c>
      <c r="P4" s="8">
        <v>2020</v>
      </c>
      <c r="Q4" s="8">
        <v>0</v>
      </c>
      <c r="R4" s="8">
        <v>0</v>
      </c>
      <c r="S4" s="8">
        <v>0</v>
      </c>
    </row>
    <row r="5" spans="1:19">
      <c r="B5" s="1" t="s">
        <v>68</v>
      </c>
      <c r="D5" s="8">
        <v>0</v>
      </c>
      <c r="E5" s="8">
        <v>0</v>
      </c>
      <c r="F5" s="8">
        <v>0</v>
      </c>
      <c r="G5" s="8">
        <v>63359</v>
      </c>
      <c r="H5" s="8">
        <v>50928</v>
      </c>
      <c r="I5" s="8">
        <v>77634</v>
      </c>
      <c r="J5" s="8">
        <v>79703</v>
      </c>
      <c r="K5" s="8">
        <v>92620</v>
      </c>
      <c r="L5" s="8">
        <v>76266</v>
      </c>
      <c r="M5" s="8">
        <v>80277</v>
      </c>
      <c r="N5" s="8">
        <v>124318</v>
      </c>
      <c r="O5" s="8">
        <v>161701</v>
      </c>
      <c r="P5" s="8">
        <v>182780</v>
      </c>
      <c r="Q5" s="8">
        <v>0</v>
      </c>
      <c r="R5" s="8">
        <v>0</v>
      </c>
      <c r="S5" s="8">
        <v>0</v>
      </c>
    </row>
    <row r="6" spans="1:19">
      <c r="B6" s="1" t="s">
        <v>8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</row>
    <row r="7" spans="1:19">
      <c r="B7" s="1" t="s">
        <v>9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</row>
    <row r="8" spans="1:19">
      <c r="B8" s="1" t="s">
        <v>10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</row>
    <row r="9" spans="1:19">
      <c r="B9" s="1" t="s">
        <v>11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</row>
    <row r="10" spans="1:19">
      <c r="B10" s="1" t="s">
        <v>12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</row>
    <row r="11" spans="1:19">
      <c r="A11" s="2" t="s">
        <v>13</v>
      </c>
      <c r="D11" s="10">
        <f>SUM(D3:D10)</f>
        <v>0</v>
      </c>
      <c r="E11" s="10">
        <f>SUM(E3:E10)</f>
        <v>0</v>
      </c>
      <c r="F11" s="10">
        <f>SUM(F3:F10)</f>
        <v>0</v>
      </c>
      <c r="G11" s="10">
        <f>SUM(G3:G10)</f>
        <v>90966</v>
      </c>
      <c r="H11" s="10">
        <f>SUM(H3:H10)</f>
        <v>63019</v>
      </c>
      <c r="I11" s="10">
        <f>SUM(I3:I10)</f>
        <v>95356</v>
      </c>
      <c r="J11" s="10">
        <f>SUM(J3:J10)</f>
        <v>97186</v>
      </c>
      <c r="K11" s="10">
        <f>SUM(K3:K10)</f>
        <v>112095</v>
      </c>
      <c r="L11" s="10">
        <f>SUM(L3:L10)</f>
        <v>88496</v>
      </c>
      <c r="M11" s="10">
        <f>SUM(M3:M10)</f>
        <v>90891</v>
      </c>
      <c r="N11" s="10">
        <f>SUM(N3:N10)</f>
        <v>139593</v>
      </c>
      <c r="O11" s="10">
        <f>SUM(O3:O10)</f>
        <v>180667</v>
      </c>
      <c r="P11" s="10">
        <f>SUM(P3:P10)</f>
        <v>184800</v>
      </c>
      <c r="Q11" s="10">
        <f>SUM(Q3:Q10)</f>
        <v>0</v>
      </c>
      <c r="R11" s="10">
        <f>SUM(R3:R10)</f>
        <v>0</v>
      </c>
      <c r="S11" s="10">
        <f>SUM(S3:S10)</f>
        <v>0</v>
      </c>
    </row>
    <row r="13" spans="1:19" ht="16.5">
      <c r="A13" s="11" t="s">
        <v>176</v>
      </c>
      <c r="D13" s="6"/>
      <c r="E13" s="6"/>
      <c r="F13" s="6"/>
      <c r="G13" s="6"/>
      <c r="H13" s="6"/>
      <c r="I13" s="6"/>
      <c r="J13" s="6"/>
      <c r="K13" s="7"/>
      <c r="L13" s="7"/>
      <c r="M13" s="7"/>
      <c r="N13" s="7"/>
      <c r="O13" s="7"/>
      <c r="P13" s="7"/>
      <c r="Q13" s="7"/>
      <c r="R13" s="7"/>
      <c r="S13" s="7"/>
    </row>
    <row r="14" spans="1:19">
      <c r="B14" s="1" t="s">
        <v>67</v>
      </c>
      <c r="D14" s="8">
        <v>0</v>
      </c>
      <c r="E14" s="8">
        <v>0</v>
      </c>
      <c r="F14" s="8">
        <v>0</v>
      </c>
      <c r="G14" s="8">
        <v>25161</v>
      </c>
      <c r="H14" s="8">
        <v>14163</v>
      </c>
      <c r="I14" s="8">
        <v>14517</v>
      </c>
      <c r="J14" s="8">
        <v>16318</v>
      </c>
      <c r="K14" s="8">
        <v>17933</v>
      </c>
      <c r="L14" s="8">
        <v>15390</v>
      </c>
      <c r="M14" s="8">
        <v>6326</v>
      </c>
      <c r="N14" s="8">
        <v>16992</v>
      </c>
      <c r="O14" s="8">
        <v>16097</v>
      </c>
      <c r="P14" s="8">
        <v>0</v>
      </c>
      <c r="Q14" s="8">
        <f t="shared" ref="Q14:S14" si="0">SUM(Q23)</f>
        <v>0</v>
      </c>
      <c r="R14" s="8">
        <f t="shared" si="0"/>
        <v>0</v>
      </c>
      <c r="S14" s="8">
        <f t="shared" si="0"/>
        <v>0</v>
      </c>
    </row>
    <row r="15" spans="1:19">
      <c r="B15" s="1" t="s">
        <v>68</v>
      </c>
      <c r="D15" s="8">
        <f>SUM(D25,D28,D31)</f>
        <v>0</v>
      </c>
      <c r="E15" s="8">
        <f t="shared" ref="E15" si="1">SUM(E25,E28,E31)</f>
        <v>0</v>
      </c>
      <c r="F15" s="8">
        <v>56065</v>
      </c>
      <c r="G15" s="8">
        <v>61394</v>
      </c>
      <c r="H15" s="8">
        <v>62975</v>
      </c>
      <c r="I15" s="8">
        <v>72531</v>
      </c>
      <c r="J15" s="8">
        <v>79837</v>
      </c>
      <c r="K15" s="8">
        <v>86958</v>
      </c>
      <c r="L15" s="8">
        <v>87282</v>
      </c>
      <c r="M15" s="8">
        <v>75946</v>
      </c>
      <c r="N15" s="8">
        <v>128044</v>
      </c>
      <c r="O15" s="8">
        <v>163660</v>
      </c>
      <c r="P15" s="8">
        <v>180338</v>
      </c>
      <c r="Q15" s="8">
        <f t="shared" ref="Q15:S15" si="2">SUM(Q25,Q28,Q31)</f>
        <v>0</v>
      </c>
      <c r="R15" s="8">
        <f t="shared" si="2"/>
        <v>0</v>
      </c>
      <c r="S15" s="8">
        <f t="shared" si="2"/>
        <v>0</v>
      </c>
    </row>
    <row r="16" spans="1:19">
      <c r="B16" s="1" t="s">
        <v>8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f>SUM(S35)</f>
        <v>0</v>
      </c>
    </row>
    <row r="17" spans="1:19">
      <c r="B17" s="1" t="s">
        <v>9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f>SUM(R36)</f>
        <v>0</v>
      </c>
      <c r="S17" s="9">
        <f>SUM(S36)</f>
        <v>0</v>
      </c>
    </row>
    <row r="18" spans="1:19">
      <c r="B18" s="1" t="s">
        <v>10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</row>
    <row r="19" spans="1:19">
      <c r="B19" s="1" t="s">
        <v>11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</row>
    <row r="20" spans="1:19">
      <c r="B20" s="1" t="s">
        <v>12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</row>
    <row r="21" spans="1:19">
      <c r="A21" s="2" t="s">
        <v>177</v>
      </c>
      <c r="D21" s="10">
        <f>SUM(D13:D20)</f>
        <v>0</v>
      </c>
      <c r="E21" s="10">
        <f>SUM(E13:E20)</f>
        <v>0</v>
      </c>
      <c r="F21" s="10">
        <f>SUM(F13:F20)</f>
        <v>56065</v>
      </c>
      <c r="G21" s="10">
        <f>SUM(G13:G20)</f>
        <v>86555</v>
      </c>
      <c r="H21" s="10">
        <f>SUM(H13:H20)</f>
        <v>77138</v>
      </c>
      <c r="I21" s="10">
        <f>SUM(I13:I20)</f>
        <v>87048</v>
      </c>
      <c r="J21" s="10">
        <f>SUM(J13:J20)</f>
        <v>96155</v>
      </c>
      <c r="K21" s="10">
        <f>SUM(K13:K20)</f>
        <v>104891</v>
      </c>
      <c r="L21" s="10">
        <f>SUM(L13:L20)</f>
        <v>102672</v>
      </c>
      <c r="M21" s="10">
        <f>SUM(M13:M20)</f>
        <v>82272</v>
      </c>
      <c r="N21" s="10">
        <f>SUM(N13:N20)</f>
        <v>145036</v>
      </c>
      <c r="O21" s="10">
        <f>SUM(O13:O20)</f>
        <v>179757</v>
      </c>
      <c r="P21" s="10">
        <f>SUM(P13:P20)</f>
        <v>180338</v>
      </c>
      <c r="Q21" s="10">
        <f>SUM(Q13:Q20)</f>
        <v>0</v>
      </c>
      <c r="R21" s="10">
        <f>SUM(R13:R20)</f>
        <v>0</v>
      </c>
      <c r="S21" s="10">
        <f>SUM(S13:S20)</f>
        <v>0</v>
      </c>
    </row>
    <row r="22" spans="1:19" customFormat="1"/>
    <row r="23" spans="1:19">
      <c r="B23" s="1" t="s">
        <v>60</v>
      </c>
      <c r="D23" s="8">
        <v>76</v>
      </c>
      <c r="E23" s="8">
        <v>84</v>
      </c>
      <c r="F23" s="8">
        <v>93</v>
      </c>
      <c r="G23" s="8">
        <v>73</v>
      </c>
      <c r="H23" s="8">
        <v>47</v>
      </c>
      <c r="I23" s="8">
        <v>29</v>
      </c>
      <c r="J23" s="8">
        <v>43</v>
      </c>
      <c r="K23" s="8">
        <v>54</v>
      </c>
      <c r="L23" s="8">
        <v>35</v>
      </c>
      <c r="M23" s="8">
        <v>27</v>
      </c>
      <c r="N23" s="8">
        <v>57</v>
      </c>
      <c r="O23" s="8">
        <v>86</v>
      </c>
      <c r="P23" s="8"/>
      <c r="Q23" s="8"/>
      <c r="R23" s="8"/>
      <c r="S23" s="8"/>
    </row>
    <row r="24" spans="1:19">
      <c r="B24" s="1" t="s">
        <v>61</v>
      </c>
      <c r="D24" s="8">
        <v>373</v>
      </c>
      <c r="E24" s="8">
        <v>203</v>
      </c>
      <c r="F24" s="8">
        <v>239</v>
      </c>
      <c r="G24" s="8">
        <v>225</v>
      </c>
      <c r="H24" s="8">
        <v>229</v>
      </c>
      <c r="I24" s="8">
        <v>415</v>
      </c>
      <c r="J24" s="8">
        <v>477</v>
      </c>
      <c r="K24" s="8">
        <v>530</v>
      </c>
      <c r="L24" s="8">
        <v>260</v>
      </c>
      <c r="M24" s="8">
        <v>419</v>
      </c>
      <c r="N24" s="8">
        <v>759</v>
      </c>
      <c r="O24" s="8">
        <v>1586</v>
      </c>
      <c r="P24" s="8"/>
      <c r="Q24" s="8"/>
      <c r="R24" s="8"/>
      <c r="S24" s="8"/>
    </row>
    <row r="25" spans="1:19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>
      <c r="B26" s="1" t="s">
        <v>170</v>
      </c>
      <c r="G26" s="3">
        <v>378</v>
      </c>
      <c r="H26" s="3">
        <v>377</v>
      </c>
      <c r="I26" s="3">
        <v>402</v>
      </c>
      <c r="J26" s="3">
        <v>413</v>
      </c>
      <c r="K26" s="1">
        <v>433</v>
      </c>
      <c r="L26" s="1">
        <v>438</v>
      </c>
      <c r="M26" s="1">
        <v>446</v>
      </c>
      <c r="N26" s="1">
        <v>466</v>
      </c>
      <c r="O26" s="1">
        <v>523</v>
      </c>
    </row>
    <row r="27" spans="1:19">
      <c r="B27" s="1" t="s">
        <v>171</v>
      </c>
      <c r="G27" s="3">
        <v>411</v>
      </c>
      <c r="H27" s="3">
        <v>550</v>
      </c>
      <c r="I27" s="3">
        <v>651</v>
      </c>
      <c r="J27" s="3">
        <v>719</v>
      </c>
      <c r="K27" s="1">
        <v>743</v>
      </c>
      <c r="L27" s="1">
        <v>756</v>
      </c>
      <c r="M27" s="1">
        <v>769</v>
      </c>
      <c r="N27" s="1">
        <v>780</v>
      </c>
      <c r="O27" s="1">
        <v>823</v>
      </c>
    </row>
    <row r="29" spans="1:19">
      <c r="B29" s="1" t="s">
        <v>172</v>
      </c>
      <c r="G29" s="3">
        <v>1421</v>
      </c>
      <c r="H29" s="3">
        <v>1490</v>
      </c>
      <c r="I29" s="3">
        <v>1587</v>
      </c>
      <c r="J29" s="3">
        <v>1653</v>
      </c>
      <c r="K29" s="1">
        <v>1821</v>
      </c>
      <c r="L29" s="1">
        <v>1917</v>
      </c>
      <c r="M29" s="1">
        <v>2035</v>
      </c>
      <c r="N29" s="1">
        <v>2181</v>
      </c>
      <c r="O29" s="1">
        <v>2564</v>
      </c>
    </row>
    <row r="30" spans="1:19">
      <c r="B30" s="1" t="s">
        <v>173</v>
      </c>
      <c r="G30" s="3">
        <v>12002</v>
      </c>
      <c r="H30" s="3">
        <v>12767</v>
      </c>
      <c r="I30" s="3">
        <v>13881</v>
      </c>
      <c r="J30" s="3">
        <v>14658</v>
      </c>
      <c r="K30" s="1">
        <v>16104</v>
      </c>
      <c r="L30" s="1">
        <v>17007</v>
      </c>
      <c r="M30" s="1">
        <v>18.100000000000001</v>
      </c>
      <c r="N30" s="1">
        <v>19437</v>
      </c>
      <c r="O30" s="1">
        <v>23277</v>
      </c>
    </row>
    <row r="33" spans="4:15" ht="16.5">
      <c r="D33"/>
      <c r="E33"/>
      <c r="F33"/>
      <c r="G33"/>
      <c r="H33" s="95" t="s">
        <v>66</v>
      </c>
      <c r="I33" s="95"/>
      <c r="J33" s="95"/>
    </row>
    <row r="34" spans="4:15">
      <c r="D34"/>
      <c r="E34"/>
      <c r="F34"/>
      <c r="G34"/>
    </row>
    <row r="35" spans="4:15">
      <c r="D35"/>
      <c r="E35"/>
      <c r="F35"/>
      <c r="G35"/>
      <c r="H35" s="38" t="s">
        <v>62</v>
      </c>
      <c r="I35" s="1"/>
    </row>
    <row r="36" spans="4:15">
      <c r="D36"/>
      <c r="E36"/>
      <c r="F36"/>
      <c r="G36"/>
      <c r="H36" s="39"/>
      <c r="I36" s="1" t="s">
        <v>67</v>
      </c>
      <c r="J36" s="40">
        <v>90000</v>
      </c>
      <c r="K36" s="40">
        <v>90000</v>
      </c>
      <c r="L36" s="40">
        <v>90000</v>
      </c>
      <c r="M36" s="40">
        <v>90000</v>
      </c>
      <c r="N36" s="40">
        <v>90000</v>
      </c>
      <c r="O36" s="40">
        <v>100000</v>
      </c>
    </row>
    <row r="37" spans="4:15">
      <c r="D37"/>
      <c r="E37"/>
      <c r="F37"/>
      <c r="G37"/>
      <c r="H37" s="39"/>
      <c r="I37" s="1" t="s">
        <v>68</v>
      </c>
      <c r="J37" s="40">
        <v>350000</v>
      </c>
      <c r="K37" s="40">
        <v>400000</v>
      </c>
      <c r="L37" s="40">
        <v>400000</v>
      </c>
      <c r="M37" s="40">
        <v>400000</v>
      </c>
      <c r="N37" s="40">
        <v>500000</v>
      </c>
      <c r="O37" s="40">
        <v>500000</v>
      </c>
    </row>
    <row r="38" spans="4:15">
      <c r="D38"/>
      <c r="E38"/>
      <c r="F38"/>
      <c r="G38"/>
      <c r="H38" s="39"/>
      <c r="I38" s="1"/>
      <c r="J38" s="40"/>
      <c r="K38" s="40"/>
      <c r="L38" s="40"/>
      <c r="M38" s="40"/>
      <c r="N38" s="40"/>
      <c r="O38" s="40"/>
    </row>
    <row r="39" spans="4:15">
      <c r="D39"/>
      <c r="E39"/>
      <c r="F39"/>
      <c r="G39"/>
      <c r="H39" s="38" t="s">
        <v>63</v>
      </c>
      <c r="I39" s="1" t="s">
        <v>0</v>
      </c>
      <c r="J39" s="40">
        <v>150000</v>
      </c>
      <c r="K39" s="40">
        <v>150000</v>
      </c>
      <c r="L39" s="40">
        <v>200000</v>
      </c>
      <c r="M39" s="40">
        <v>200000</v>
      </c>
      <c r="N39" s="40">
        <v>250000</v>
      </c>
      <c r="O39" s="40">
        <v>250000</v>
      </c>
    </row>
    <row r="40" spans="4:15">
      <c r="D40"/>
      <c r="E40"/>
      <c r="F40"/>
      <c r="G40"/>
      <c r="H40" s="39"/>
      <c r="I40" s="1" t="s">
        <v>1</v>
      </c>
      <c r="J40" s="112" t="s">
        <v>179</v>
      </c>
      <c r="K40" s="111" t="s">
        <v>178</v>
      </c>
      <c r="L40" s="111" t="s">
        <v>178</v>
      </c>
      <c r="M40" s="111" t="s">
        <v>178</v>
      </c>
      <c r="N40" s="111" t="s">
        <v>178</v>
      </c>
      <c r="O40" s="40">
        <v>200000</v>
      </c>
    </row>
    <row r="41" spans="4:15">
      <c r="D41"/>
      <c r="E41"/>
      <c r="F41"/>
      <c r="G41"/>
      <c r="H41" s="39"/>
      <c r="I41" s="1"/>
      <c r="J41" s="40"/>
      <c r="K41" s="40"/>
      <c r="L41" s="40"/>
      <c r="M41" s="40"/>
      <c r="N41" s="40"/>
      <c r="O41" s="40"/>
    </row>
    <row r="42" spans="4:15">
      <c r="D42"/>
      <c r="E42"/>
      <c r="F42"/>
      <c r="G42"/>
      <c r="H42" s="38" t="s">
        <v>64</v>
      </c>
      <c r="I42" s="1" t="s">
        <v>0</v>
      </c>
      <c r="J42" s="112" t="s">
        <v>179</v>
      </c>
      <c r="K42" s="112" t="s">
        <v>179</v>
      </c>
      <c r="L42" s="112" t="s">
        <v>179</v>
      </c>
      <c r="M42" s="112" t="s">
        <v>179</v>
      </c>
      <c r="N42" s="112" t="s">
        <v>179</v>
      </c>
      <c r="O42" s="112" t="s">
        <v>179</v>
      </c>
    </row>
    <row r="43" spans="4:15">
      <c r="D43"/>
      <c r="E43"/>
      <c r="F43"/>
      <c r="G43"/>
      <c r="H43" s="39"/>
      <c r="I43" s="1" t="s">
        <v>1</v>
      </c>
      <c r="J43" s="112" t="s">
        <v>179</v>
      </c>
      <c r="K43" s="112" t="s">
        <v>179</v>
      </c>
      <c r="L43" s="111" t="s">
        <v>178</v>
      </c>
      <c r="M43" s="111" t="s">
        <v>178</v>
      </c>
      <c r="N43" s="111" t="s">
        <v>178</v>
      </c>
      <c r="O43" s="111" t="s">
        <v>178</v>
      </c>
    </row>
    <row r="44" spans="4:15">
      <c r="D44"/>
      <c r="E44"/>
      <c r="F44"/>
      <c r="G44"/>
      <c r="H44" s="39"/>
      <c r="I44" s="1"/>
      <c r="J44" s="40"/>
      <c r="K44" s="40"/>
      <c r="L44" s="40"/>
      <c r="M44" s="40"/>
      <c r="N44" s="40"/>
      <c r="O44" s="40"/>
    </row>
    <row r="45" spans="4:15">
      <c r="D45"/>
      <c r="E45"/>
      <c r="F45"/>
      <c r="G45"/>
      <c r="H45" s="38" t="s">
        <v>65</v>
      </c>
      <c r="I45" s="1" t="s">
        <v>1</v>
      </c>
      <c r="J45" s="112" t="s">
        <v>179</v>
      </c>
      <c r="K45" s="112" t="s">
        <v>179</v>
      </c>
      <c r="L45" s="112" t="s">
        <v>179</v>
      </c>
      <c r="M45" s="112" t="s">
        <v>179</v>
      </c>
      <c r="N45" s="111" t="s">
        <v>178</v>
      </c>
      <c r="O45" s="111" t="s">
        <v>178</v>
      </c>
    </row>
    <row r="46" spans="4:15">
      <c r="D46"/>
      <c r="E46"/>
      <c r="F46"/>
      <c r="G46"/>
      <c r="H46" s="39"/>
      <c r="I46" s="1" t="s">
        <v>8</v>
      </c>
      <c r="J46" s="112" t="s">
        <v>179</v>
      </c>
      <c r="K46" s="112" t="s">
        <v>179</v>
      </c>
      <c r="L46" s="112" t="s">
        <v>179</v>
      </c>
      <c r="M46" s="112" t="s">
        <v>179</v>
      </c>
      <c r="N46" s="112" t="s">
        <v>179</v>
      </c>
      <c r="O46" s="112" t="s">
        <v>179</v>
      </c>
    </row>
    <row r="47" spans="4:15">
      <c r="D47"/>
      <c r="E47"/>
      <c r="F47"/>
      <c r="G47"/>
      <c r="H47" s="39"/>
      <c r="I47" s="1"/>
      <c r="J47" s="40"/>
      <c r="K47" s="40"/>
      <c r="L47" s="40"/>
      <c r="M47" s="40"/>
      <c r="N47" s="40"/>
      <c r="O47" s="40"/>
    </row>
    <row r="48" spans="4:15">
      <c r="D48"/>
      <c r="E48"/>
      <c r="F48"/>
      <c r="G48"/>
      <c r="H48" s="38" t="s">
        <v>69</v>
      </c>
      <c r="I48" s="1" t="s">
        <v>70</v>
      </c>
      <c r="J48" s="112" t="s">
        <v>179</v>
      </c>
      <c r="K48" s="112" t="s">
        <v>179</v>
      </c>
      <c r="L48" s="112" t="s">
        <v>179</v>
      </c>
      <c r="M48" s="112" t="s">
        <v>179</v>
      </c>
      <c r="N48" s="112" t="s">
        <v>179</v>
      </c>
      <c r="O48" s="112" t="s">
        <v>179</v>
      </c>
    </row>
    <row r="49" spans="3:15">
      <c r="D49"/>
      <c r="E49"/>
      <c r="F49"/>
      <c r="G49"/>
      <c r="H49" s="39"/>
      <c r="I49" s="1" t="s">
        <v>10</v>
      </c>
      <c r="J49" s="112" t="s">
        <v>179</v>
      </c>
      <c r="K49" s="112" t="s">
        <v>179</v>
      </c>
      <c r="L49" s="112" t="s">
        <v>179</v>
      </c>
      <c r="M49" s="112" t="s">
        <v>179</v>
      </c>
      <c r="N49" s="112" t="s">
        <v>179</v>
      </c>
      <c r="O49" s="112" t="s">
        <v>179</v>
      </c>
    </row>
    <row r="50" spans="3:15" s="116" customFormat="1" ht="15.75">
      <c r="C50" s="113"/>
      <c r="D50" s="114"/>
      <c r="E50" s="114"/>
      <c r="F50" s="114"/>
      <c r="G50" s="114"/>
      <c r="H50" s="115" t="s">
        <v>180</v>
      </c>
      <c r="I50" s="113"/>
      <c r="J50" s="117">
        <f>+SUM(J36:J49)</f>
        <v>590000</v>
      </c>
      <c r="K50" s="117">
        <f t="shared" ref="K50:O50" si="3">+SUM(K36:K49)</f>
        <v>640000</v>
      </c>
      <c r="L50" s="117">
        <f t="shared" si="3"/>
        <v>690000</v>
      </c>
      <c r="M50" s="117">
        <f t="shared" si="3"/>
        <v>690000</v>
      </c>
      <c r="N50" s="117">
        <f t="shared" si="3"/>
        <v>840000</v>
      </c>
      <c r="O50" s="117">
        <f t="shared" si="3"/>
        <v>1050000</v>
      </c>
    </row>
    <row r="51" spans="3:15">
      <c r="D51"/>
      <c r="E51"/>
      <c r="F51"/>
      <c r="G51"/>
    </row>
  </sheetData>
  <mergeCells count="5">
    <mergeCell ref="H33:J33"/>
    <mergeCell ref="D1:G1"/>
    <mergeCell ref="H1:K1"/>
    <mergeCell ref="L1:O1"/>
    <mergeCell ref="P1:S1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282F-86AC-4AA5-BA25-8FD7AB6C9D2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8EB4-99A2-41F4-A1B4-8FCF6AACD59F}">
  <dimension ref="A1:AD49"/>
  <sheetViews>
    <sheetView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Y3" sqref="Y3"/>
    </sheetView>
  </sheetViews>
  <sheetFormatPr defaultRowHeight="15"/>
  <cols>
    <col min="1" max="1" width="2.7109375" style="1" customWidth="1"/>
    <col min="2" max="2" width="39" style="1" bestFit="1" customWidth="1"/>
    <col min="3" max="3" width="2.7109375" style="3" customWidth="1"/>
    <col min="4" max="10" width="9.7109375" style="3" customWidth="1"/>
    <col min="11" max="19" width="9.7109375" style="1" customWidth="1"/>
    <col min="20" max="20" width="9.140625" style="1"/>
    <col min="21" max="21" width="14.7109375" style="1" customWidth="1"/>
    <col min="22" max="22" width="10.7109375" style="1" customWidth="1"/>
    <col min="23" max="24" width="12.7109375" style="1" customWidth="1"/>
    <col min="25" max="28" width="9.7109375" style="1" bestFit="1" customWidth="1"/>
    <col min="29" max="16384" width="9.140625" style="1"/>
  </cols>
  <sheetData>
    <row r="1" spans="1:28">
      <c r="D1" s="96">
        <v>2018</v>
      </c>
      <c r="E1" s="96"/>
      <c r="F1" s="96"/>
      <c r="G1" s="96"/>
      <c r="H1" s="96">
        <v>2019</v>
      </c>
      <c r="I1" s="96"/>
      <c r="J1" s="96"/>
      <c r="K1" s="96"/>
      <c r="L1" s="96">
        <v>2020</v>
      </c>
      <c r="M1" s="96"/>
      <c r="N1" s="96"/>
      <c r="O1" s="96"/>
      <c r="P1" s="96">
        <v>2021</v>
      </c>
      <c r="Q1" s="96"/>
      <c r="R1" s="96"/>
      <c r="S1" s="96"/>
    </row>
    <row r="2" spans="1:28">
      <c r="D2" s="4" t="s">
        <v>2</v>
      </c>
      <c r="E2" s="4" t="s">
        <v>3</v>
      </c>
      <c r="F2" s="4" t="s">
        <v>4</v>
      </c>
      <c r="G2" s="4" t="s">
        <v>5</v>
      </c>
      <c r="H2" s="4" t="s">
        <v>2</v>
      </c>
      <c r="I2" s="4" t="s">
        <v>3</v>
      </c>
      <c r="J2" s="4" t="s">
        <v>4</v>
      </c>
      <c r="K2" s="4" t="s">
        <v>5</v>
      </c>
      <c r="L2" s="4" t="s">
        <v>2</v>
      </c>
      <c r="M2" s="4" t="s">
        <v>3</v>
      </c>
      <c r="N2" s="4" t="s">
        <v>4</v>
      </c>
      <c r="O2" s="4" t="s">
        <v>5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8" ht="16.5">
      <c r="A3" s="11" t="s">
        <v>14</v>
      </c>
      <c r="D3" s="6"/>
      <c r="E3" s="6"/>
      <c r="F3" s="6"/>
      <c r="G3" s="6"/>
      <c r="H3" s="6"/>
      <c r="I3" s="6"/>
      <c r="J3" s="6"/>
      <c r="K3" s="7"/>
      <c r="L3" s="7"/>
      <c r="M3" s="7"/>
      <c r="N3" s="7"/>
      <c r="O3" s="7"/>
      <c r="P3" s="7"/>
      <c r="Q3" s="7"/>
      <c r="R3" s="7"/>
      <c r="S3" s="7"/>
    </row>
    <row r="4" spans="1:28">
      <c r="B4" s="1" t="s">
        <v>6</v>
      </c>
      <c r="D4" s="8">
        <f>SUM(D16)</f>
        <v>11730</v>
      </c>
      <c r="E4" s="8">
        <f t="shared" ref="E4:P5" si="0">SUM(E16)</f>
        <v>10949</v>
      </c>
      <c r="F4" s="8">
        <f t="shared" si="0"/>
        <v>14470</v>
      </c>
      <c r="G4" s="8">
        <f t="shared" si="0"/>
        <v>11031</v>
      </c>
      <c r="H4" s="8">
        <f t="shared" si="0"/>
        <v>5800</v>
      </c>
      <c r="I4" s="8">
        <f t="shared" si="0"/>
        <v>8392</v>
      </c>
      <c r="J4" s="8">
        <f t="shared" si="0"/>
        <v>7414</v>
      </c>
      <c r="K4" s="8">
        <f t="shared" si="0"/>
        <v>7862</v>
      </c>
      <c r="L4" s="8">
        <f t="shared" si="0"/>
        <v>3370</v>
      </c>
      <c r="M4" s="8">
        <f t="shared" si="0"/>
        <v>5124</v>
      </c>
      <c r="N4" s="8">
        <f t="shared" si="0"/>
        <v>6387</v>
      </c>
      <c r="O4" s="102">
        <f t="shared" si="0"/>
        <v>6920.9647110036776</v>
      </c>
      <c r="P4" s="102">
        <f t="shared" si="0"/>
        <v>1000</v>
      </c>
      <c r="Q4" s="8">
        <f t="shared" ref="O4:S4" si="1">SUM(Q16)</f>
        <v>9770</v>
      </c>
      <c r="R4" s="8">
        <f t="shared" si="1"/>
        <v>8025</v>
      </c>
      <c r="S4" s="8">
        <f t="shared" si="1"/>
        <v>8155</v>
      </c>
    </row>
    <row r="5" spans="1:28">
      <c r="B5" s="1" t="s">
        <v>7</v>
      </c>
      <c r="D5" s="8">
        <f>SUM(D17)</f>
        <v>10070</v>
      </c>
      <c r="E5" s="8">
        <f t="shared" ref="E5:N5" si="2">SUM(E17)</f>
        <v>11370</v>
      </c>
      <c r="F5" s="8">
        <f t="shared" si="2"/>
        <v>13240</v>
      </c>
      <c r="G5" s="8">
        <f t="shared" si="2"/>
        <v>11846</v>
      </c>
      <c r="H5" s="8">
        <f t="shared" si="2"/>
        <v>6291</v>
      </c>
      <c r="I5" s="8">
        <f t="shared" si="2"/>
        <v>9330</v>
      </c>
      <c r="J5" s="8">
        <f t="shared" si="2"/>
        <v>10069</v>
      </c>
      <c r="K5" s="8">
        <f t="shared" si="2"/>
        <v>11613</v>
      </c>
      <c r="L5" s="8">
        <f t="shared" si="2"/>
        <v>8860</v>
      </c>
      <c r="M5" s="8">
        <f t="shared" si="2"/>
        <v>5490</v>
      </c>
      <c r="N5" s="8">
        <f t="shared" si="2"/>
        <v>8888</v>
      </c>
      <c r="O5" s="102">
        <f t="shared" si="0"/>
        <v>11999.035288996321</v>
      </c>
      <c r="P5" s="102">
        <f t="shared" si="0"/>
        <v>1020</v>
      </c>
      <c r="Q5" s="8">
        <f t="shared" ref="O5:S5" si="3">SUM(Q17)</f>
        <v>12650</v>
      </c>
      <c r="R5" s="8">
        <f t="shared" si="3"/>
        <v>10086</v>
      </c>
      <c r="S5" s="8">
        <f t="shared" si="3"/>
        <v>10574</v>
      </c>
    </row>
    <row r="6" spans="1:28">
      <c r="B6" s="1" t="s">
        <v>0</v>
      </c>
      <c r="D6" s="8">
        <f>SUM(D18,D21,D24)</f>
        <v>8182</v>
      </c>
      <c r="E6" s="8">
        <f t="shared" ref="E6:M6" si="4">SUM(E18,E21,E24)</f>
        <v>18449</v>
      </c>
      <c r="F6" s="8">
        <f t="shared" si="4"/>
        <v>56065</v>
      </c>
      <c r="G6" s="8">
        <f t="shared" si="4"/>
        <v>68089</v>
      </c>
      <c r="H6" s="8">
        <f t="shared" si="4"/>
        <v>50928</v>
      </c>
      <c r="I6" s="8">
        <f t="shared" si="4"/>
        <v>77634</v>
      </c>
      <c r="J6" s="8">
        <f t="shared" si="4"/>
        <v>79703</v>
      </c>
      <c r="K6" s="8">
        <f t="shared" si="4"/>
        <v>92620</v>
      </c>
      <c r="L6" s="8">
        <f t="shared" si="4"/>
        <v>74310</v>
      </c>
      <c r="M6" s="8">
        <f t="shared" si="4"/>
        <v>67082</v>
      </c>
      <c r="N6" s="8">
        <f>SUM(N18,N21,N24)</f>
        <v>91965</v>
      </c>
      <c r="O6" s="102">
        <f>SUM(O18,O21,O24)</f>
        <v>115000</v>
      </c>
      <c r="P6" s="102">
        <f t="shared" ref="P6" si="5">SUM(P18,P21,P24)</f>
        <v>100000</v>
      </c>
      <c r="Q6" s="8">
        <f t="shared" ref="P6:S6" si="6">SUM(Q18,Q21,Q24)</f>
        <v>119130</v>
      </c>
      <c r="R6" s="8">
        <f t="shared" si="6"/>
        <v>119590</v>
      </c>
      <c r="S6" s="8">
        <f t="shared" si="6"/>
        <v>123485</v>
      </c>
    </row>
    <row r="7" spans="1:28">
      <c r="B7" s="1" t="s">
        <v>1</v>
      </c>
      <c r="D7" s="8">
        <f>SUM(D19,D22,D25,D27)</f>
        <v>0</v>
      </c>
      <c r="E7" s="8">
        <f t="shared" ref="E7:P7" si="7">SUM(E19,E22,E25,E27)</f>
        <v>0</v>
      </c>
      <c r="F7" s="8">
        <f t="shared" si="7"/>
        <v>0</v>
      </c>
      <c r="G7" s="8">
        <f t="shared" si="7"/>
        <v>0</v>
      </c>
      <c r="H7" s="8">
        <f t="shared" si="7"/>
        <v>0</v>
      </c>
      <c r="I7" s="8">
        <f t="shared" si="7"/>
        <v>0</v>
      </c>
      <c r="J7" s="8">
        <f t="shared" si="7"/>
        <v>0</v>
      </c>
      <c r="K7" s="8">
        <f t="shared" si="7"/>
        <v>0</v>
      </c>
      <c r="L7" s="8">
        <f t="shared" si="7"/>
        <v>1956</v>
      </c>
      <c r="M7" s="8">
        <f t="shared" si="7"/>
        <v>13195</v>
      </c>
      <c r="N7" s="8">
        <f t="shared" si="7"/>
        <v>32353</v>
      </c>
      <c r="O7" s="102">
        <f t="shared" si="7"/>
        <v>46250</v>
      </c>
      <c r="P7" s="102">
        <f t="shared" si="7"/>
        <v>82780</v>
      </c>
      <c r="Q7" s="8">
        <f t="shared" ref="O7:S7" si="8">SUM(Q19,Q22,Q25,Q27)</f>
        <v>69200</v>
      </c>
      <c r="R7" s="8">
        <f t="shared" si="8"/>
        <v>90800</v>
      </c>
      <c r="S7" s="8">
        <f t="shared" si="8"/>
        <v>120950</v>
      </c>
    </row>
    <row r="8" spans="1:28">
      <c r="B8" s="1" t="s">
        <v>8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9">
        <v>0</v>
      </c>
      <c r="L8" s="9">
        <v>0</v>
      </c>
      <c r="M8" s="9">
        <v>0</v>
      </c>
      <c r="N8" s="9">
        <v>0</v>
      </c>
      <c r="O8" s="110">
        <v>0</v>
      </c>
      <c r="P8" s="110">
        <v>0</v>
      </c>
      <c r="Q8" s="9">
        <v>0</v>
      </c>
      <c r="R8" s="9">
        <v>0</v>
      </c>
      <c r="S8" s="9">
        <f>SUM(S28)</f>
        <v>7700</v>
      </c>
    </row>
    <row r="9" spans="1:28">
      <c r="B9" s="1" t="s">
        <v>9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9">
        <v>0</v>
      </c>
      <c r="L9" s="9">
        <v>0</v>
      </c>
      <c r="M9" s="9">
        <v>0</v>
      </c>
      <c r="N9" s="9">
        <v>0</v>
      </c>
      <c r="O9" s="110">
        <v>0</v>
      </c>
      <c r="P9" s="110">
        <v>0</v>
      </c>
      <c r="Q9" s="9">
        <v>0</v>
      </c>
      <c r="R9" s="9">
        <f>SUM(R29)</f>
        <v>300</v>
      </c>
      <c r="S9" s="9">
        <f>SUM(S29)</f>
        <v>4800</v>
      </c>
    </row>
    <row r="10" spans="1:28">
      <c r="B10" s="1" t="s">
        <v>10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9">
        <v>0</v>
      </c>
      <c r="L10" s="9">
        <v>0</v>
      </c>
      <c r="M10" s="9">
        <v>0</v>
      </c>
      <c r="N10" s="9">
        <v>0</v>
      </c>
      <c r="O10" s="110">
        <v>0</v>
      </c>
      <c r="P10" s="110">
        <v>0</v>
      </c>
      <c r="Q10" s="9">
        <v>0</v>
      </c>
      <c r="R10" s="9">
        <v>0</v>
      </c>
      <c r="S10" s="9">
        <v>0</v>
      </c>
    </row>
    <row r="11" spans="1:28">
      <c r="B11" s="1" t="s">
        <v>11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9">
        <v>0</v>
      </c>
      <c r="L11" s="9">
        <v>0</v>
      </c>
      <c r="M11" s="9">
        <v>0</v>
      </c>
      <c r="N11" s="9">
        <v>0</v>
      </c>
      <c r="O11" s="110">
        <v>0</v>
      </c>
      <c r="P11" s="110">
        <v>0</v>
      </c>
      <c r="Q11" s="9">
        <v>0</v>
      </c>
      <c r="R11" s="9">
        <v>0</v>
      </c>
      <c r="S11" s="9">
        <v>0</v>
      </c>
    </row>
    <row r="12" spans="1:28">
      <c r="B12" s="1" t="s">
        <v>12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9">
        <v>0</v>
      </c>
      <c r="L12" s="9">
        <v>0</v>
      </c>
      <c r="M12" s="9">
        <v>0</v>
      </c>
      <c r="N12" s="9">
        <v>0</v>
      </c>
      <c r="O12" s="110">
        <v>0</v>
      </c>
      <c r="P12" s="110">
        <v>0</v>
      </c>
      <c r="Q12" s="9">
        <v>0</v>
      </c>
      <c r="R12" s="9">
        <v>0</v>
      </c>
      <c r="S12" s="9">
        <v>0</v>
      </c>
    </row>
    <row r="13" spans="1:28">
      <c r="A13" s="2" t="s">
        <v>13</v>
      </c>
      <c r="D13" s="10">
        <f>SUM(D3:D12)</f>
        <v>29982</v>
      </c>
      <c r="E13" s="10">
        <f t="shared" ref="E13:S13" si="9">SUM(E3:E12)</f>
        <v>40768</v>
      </c>
      <c r="F13" s="10">
        <f t="shared" si="9"/>
        <v>83775</v>
      </c>
      <c r="G13" s="10">
        <f t="shared" si="9"/>
        <v>90966</v>
      </c>
      <c r="H13" s="10">
        <f t="shared" si="9"/>
        <v>63019</v>
      </c>
      <c r="I13" s="10">
        <f t="shared" si="9"/>
        <v>95356</v>
      </c>
      <c r="J13" s="10">
        <f t="shared" si="9"/>
        <v>97186</v>
      </c>
      <c r="K13" s="10">
        <f t="shared" si="9"/>
        <v>112095</v>
      </c>
      <c r="L13" s="10">
        <f t="shared" si="9"/>
        <v>88496</v>
      </c>
      <c r="M13" s="10">
        <f t="shared" si="9"/>
        <v>90891</v>
      </c>
      <c r="N13" s="10">
        <f t="shared" si="9"/>
        <v>139593</v>
      </c>
      <c r="O13" s="10">
        <f t="shared" si="9"/>
        <v>180170</v>
      </c>
      <c r="P13" s="10">
        <f t="shared" si="9"/>
        <v>184800</v>
      </c>
      <c r="Q13" s="10">
        <f t="shared" si="9"/>
        <v>210750</v>
      </c>
      <c r="R13" s="10">
        <f t="shared" si="9"/>
        <v>228801</v>
      </c>
      <c r="S13" s="10">
        <f t="shared" si="9"/>
        <v>275664</v>
      </c>
    </row>
    <row r="14" spans="1:28">
      <c r="P14" s="1" t="s">
        <v>77</v>
      </c>
      <c r="U14"/>
      <c r="V14"/>
      <c r="W14"/>
      <c r="X14"/>
      <c r="Y14"/>
      <c r="Z14"/>
      <c r="AA14"/>
      <c r="AB14"/>
    </row>
    <row r="15" spans="1:28" ht="16.5">
      <c r="A15" s="11" t="s">
        <v>174</v>
      </c>
      <c r="G15" s="105"/>
      <c r="H15" s="105"/>
      <c r="I15" s="105"/>
      <c r="J15" s="105"/>
      <c r="K15" s="105"/>
      <c r="L15" s="105"/>
      <c r="M15" s="105"/>
      <c r="N15" s="105"/>
      <c r="O15" s="100"/>
      <c r="U15"/>
      <c r="V15"/>
      <c r="W15"/>
      <c r="X15"/>
      <c r="Y15"/>
      <c r="Z15"/>
      <c r="AA15"/>
      <c r="AB15"/>
    </row>
    <row r="16" spans="1:28">
      <c r="B16" s="1" t="s">
        <v>15</v>
      </c>
      <c r="D16" s="8">
        <v>11730</v>
      </c>
      <c r="E16" s="8">
        <v>10949</v>
      </c>
      <c r="F16" s="8">
        <v>14470</v>
      </c>
      <c r="G16" s="8">
        <v>11031</v>
      </c>
      <c r="H16" s="8">
        <v>5800</v>
      </c>
      <c r="I16" s="8">
        <v>8392</v>
      </c>
      <c r="J16" s="8">
        <v>7414</v>
      </c>
      <c r="K16" s="8">
        <v>7862</v>
      </c>
      <c r="L16" s="8">
        <v>3370</v>
      </c>
      <c r="M16" s="8">
        <v>5124</v>
      </c>
      <c r="N16" s="8">
        <v>6387</v>
      </c>
      <c r="O16" s="102">
        <v>6920.9647110036776</v>
      </c>
      <c r="P16" s="102">
        <v>1000</v>
      </c>
      <c r="Q16" s="32">
        <v>9770</v>
      </c>
      <c r="R16" s="32">
        <v>8025</v>
      </c>
      <c r="S16" s="32">
        <v>8155</v>
      </c>
      <c r="U16"/>
      <c r="V16"/>
      <c r="W16"/>
      <c r="X16"/>
      <c r="Y16"/>
      <c r="Z16"/>
      <c r="AA16"/>
      <c r="AB16"/>
    </row>
    <row r="17" spans="2:28">
      <c r="B17" s="1" t="s">
        <v>16</v>
      </c>
      <c r="D17" s="8">
        <v>10070</v>
      </c>
      <c r="E17" s="8">
        <v>11370</v>
      </c>
      <c r="F17" s="8">
        <v>13240</v>
      </c>
      <c r="G17" s="8">
        <v>11846</v>
      </c>
      <c r="H17" s="8">
        <v>6291</v>
      </c>
      <c r="I17" s="8">
        <v>9330</v>
      </c>
      <c r="J17" s="8">
        <v>10069</v>
      </c>
      <c r="K17" s="8">
        <v>11613</v>
      </c>
      <c r="L17" s="8">
        <v>8860</v>
      </c>
      <c r="M17" s="8">
        <v>5490</v>
      </c>
      <c r="N17" s="8">
        <v>8888</v>
      </c>
      <c r="O17" s="102">
        <v>11999.035288996321</v>
      </c>
      <c r="P17" s="102">
        <v>1020</v>
      </c>
      <c r="Q17" s="32">
        <v>12650</v>
      </c>
      <c r="R17" s="32">
        <v>10086</v>
      </c>
      <c r="S17" s="32">
        <v>10574</v>
      </c>
      <c r="U17"/>
      <c r="V17"/>
      <c r="W17"/>
      <c r="X17"/>
      <c r="Y17"/>
      <c r="Z17"/>
      <c r="AA17"/>
      <c r="AB17"/>
    </row>
    <row r="18" spans="2:28">
      <c r="B18" s="1" t="s">
        <v>17</v>
      </c>
      <c r="D18" s="8">
        <v>8182</v>
      </c>
      <c r="E18" s="8">
        <v>18449</v>
      </c>
      <c r="F18" s="8">
        <v>56065</v>
      </c>
      <c r="G18" s="8">
        <v>68089</v>
      </c>
      <c r="H18" s="8">
        <v>50928</v>
      </c>
      <c r="I18" s="8">
        <v>77634</v>
      </c>
      <c r="J18" s="8">
        <v>79703</v>
      </c>
      <c r="K18" s="8">
        <v>91930</v>
      </c>
      <c r="L18" s="8">
        <v>64313</v>
      </c>
      <c r="M18" s="8">
        <v>34242</v>
      </c>
      <c r="N18" s="8">
        <v>57415</v>
      </c>
      <c r="O18" s="102">
        <v>80000</v>
      </c>
      <c r="P18" s="102">
        <v>75000</v>
      </c>
      <c r="Q18" s="32">
        <v>64880</v>
      </c>
      <c r="R18" s="32">
        <v>65590</v>
      </c>
      <c r="S18" s="32">
        <v>66800</v>
      </c>
      <c r="U18"/>
      <c r="V18"/>
      <c r="W18"/>
      <c r="X18"/>
      <c r="Y18"/>
      <c r="Z18"/>
      <c r="AA18"/>
      <c r="AB18"/>
    </row>
    <row r="19" spans="2:28">
      <c r="B19" s="1" t="s">
        <v>18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1956</v>
      </c>
      <c r="M19" s="12">
        <v>13195</v>
      </c>
      <c r="N19" s="12">
        <v>32353</v>
      </c>
      <c r="O19" s="103">
        <v>45250</v>
      </c>
      <c r="P19" s="103">
        <v>52605</v>
      </c>
      <c r="Q19" s="33">
        <v>51350</v>
      </c>
      <c r="R19" s="33">
        <v>53000</v>
      </c>
      <c r="S19" s="33">
        <v>56000</v>
      </c>
      <c r="U19"/>
      <c r="V19"/>
      <c r="W19"/>
      <c r="X19"/>
      <c r="Y19"/>
      <c r="Z19"/>
      <c r="AA19"/>
      <c r="AB19"/>
    </row>
    <row r="20" spans="2:28">
      <c r="B20" s="5" t="s">
        <v>19</v>
      </c>
      <c r="D20" s="46">
        <f>SUM(D16:D19)</f>
        <v>29982</v>
      </c>
      <c r="E20" s="46">
        <f t="shared" ref="E20:S20" si="10">SUM(E16:E19)</f>
        <v>40768</v>
      </c>
      <c r="F20" s="46">
        <f t="shared" si="10"/>
        <v>83775</v>
      </c>
      <c r="G20" s="46">
        <f t="shared" si="10"/>
        <v>90966</v>
      </c>
      <c r="H20" s="46">
        <f t="shared" si="10"/>
        <v>63019</v>
      </c>
      <c r="I20" s="46">
        <f t="shared" si="10"/>
        <v>95356</v>
      </c>
      <c r="J20" s="46">
        <f t="shared" si="10"/>
        <v>97186</v>
      </c>
      <c r="K20" s="46">
        <f t="shared" si="10"/>
        <v>111405</v>
      </c>
      <c r="L20" s="46">
        <f t="shared" si="10"/>
        <v>78499</v>
      </c>
      <c r="M20" s="46">
        <f t="shared" si="10"/>
        <v>58051</v>
      </c>
      <c r="N20" s="46">
        <f t="shared" si="10"/>
        <v>105043</v>
      </c>
      <c r="O20" s="104">
        <f t="shared" si="10"/>
        <v>144170</v>
      </c>
      <c r="P20" s="104">
        <f t="shared" si="10"/>
        <v>129625</v>
      </c>
      <c r="Q20" s="47">
        <f t="shared" si="10"/>
        <v>138650</v>
      </c>
      <c r="R20" s="47">
        <f t="shared" si="10"/>
        <v>136701</v>
      </c>
      <c r="S20" s="47">
        <f t="shared" si="10"/>
        <v>141529</v>
      </c>
      <c r="U20"/>
      <c r="V20"/>
      <c r="W20"/>
      <c r="X20"/>
      <c r="Y20"/>
      <c r="Z20"/>
      <c r="AA20"/>
      <c r="AB20"/>
    </row>
    <row r="21" spans="2:28">
      <c r="B21" s="1" t="s">
        <v>20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690</v>
      </c>
      <c r="L21" s="8">
        <v>9997</v>
      </c>
      <c r="M21" s="8">
        <v>32840</v>
      </c>
      <c r="N21" s="8">
        <v>34550</v>
      </c>
      <c r="O21" s="102">
        <v>35000</v>
      </c>
      <c r="P21" s="102">
        <v>25000</v>
      </c>
      <c r="Q21" s="32">
        <v>54250</v>
      </c>
      <c r="R21" s="32">
        <v>54000</v>
      </c>
      <c r="S21" s="32">
        <v>55385</v>
      </c>
      <c r="U21"/>
      <c r="V21"/>
      <c r="W21"/>
      <c r="X21"/>
      <c r="Y21"/>
      <c r="Z21"/>
      <c r="AA21"/>
      <c r="AB21"/>
    </row>
    <row r="22" spans="2:28">
      <c r="B22" s="1" t="s">
        <v>21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03">
        <v>1000</v>
      </c>
      <c r="P22" s="103">
        <v>30175</v>
      </c>
      <c r="Q22" s="33">
        <v>15550</v>
      </c>
      <c r="R22" s="33">
        <v>27250</v>
      </c>
      <c r="S22" s="33">
        <v>37400</v>
      </c>
      <c r="U22"/>
      <c r="V22"/>
      <c r="W22"/>
      <c r="X22"/>
      <c r="Y22"/>
      <c r="Z22"/>
      <c r="AA22"/>
      <c r="AB22"/>
    </row>
    <row r="23" spans="2:28">
      <c r="B23" s="5" t="s">
        <v>22</v>
      </c>
      <c r="D23" s="46">
        <f>SUM(D21:D22)</f>
        <v>0</v>
      </c>
      <c r="E23" s="46">
        <f t="shared" ref="E23:S23" si="11">SUM(E21:E22)</f>
        <v>0</v>
      </c>
      <c r="F23" s="46">
        <f t="shared" si="11"/>
        <v>0</v>
      </c>
      <c r="G23" s="46">
        <f t="shared" si="11"/>
        <v>0</v>
      </c>
      <c r="H23" s="46">
        <f t="shared" si="11"/>
        <v>0</v>
      </c>
      <c r="I23" s="46">
        <f t="shared" si="11"/>
        <v>0</v>
      </c>
      <c r="J23" s="46">
        <f t="shared" si="11"/>
        <v>0</v>
      </c>
      <c r="K23" s="46">
        <f t="shared" si="11"/>
        <v>690</v>
      </c>
      <c r="L23" s="46">
        <f t="shared" si="11"/>
        <v>9997</v>
      </c>
      <c r="M23" s="46">
        <f t="shared" si="11"/>
        <v>32840</v>
      </c>
      <c r="N23" s="46">
        <f t="shared" si="11"/>
        <v>34550</v>
      </c>
      <c r="O23" s="104">
        <f t="shared" si="11"/>
        <v>36000</v>
      </c>
      <c r="P23" s="104">
        <f t="shared" si="11"/>
        <v>55175</v>
      </c>
      <c r="Q23" s="47">
        <f t="shared" si="11"/>
        <v>69800</v>
      </c>
      <c r="R23" s="47">
        <f t="shared" si="11"/>
        <v>81250</v>
      </c>
      <c r="S23" s="47">
        <f t="shared" si="11"/>
        <v>92785</v>
      </c>
      <c r="U23"/>
      <c r="V23"/>
      <c r="W23"/>
      <c r="X23"/>
      <c r="Y23"/>
      <c r="Z23"/>
      <c r="AA23"/>
      <c r="AB23"/>
    </row>
    <row r="24" spans="2:28">
      <c r="B24" s="1" t="s">
        <v>23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02">
        <v>0</v>
      </c>
      <c r="P24" s="102">
        <v>0</v>
      </c>
      <c r="Q24" s="32">
        <v>0</v>
      </c>
      <c r="R24" s="32">
        <v>0</v>
      </c>
      <c r="S24" s="32">
        <v>1300</v>
      </c>
      <c r="U24"/>
      <c r="V24"/>
      <c r="W24"/>
      <c r="X24"/>
      <c r="Y24"/>
      <c r="Z24"/>
      <c r="AA24"/>
      <c r="AB24"/>
    </row>
    <row r="25" spans="2:28">
      <c r="B25" s="1" t="s">
        <v>24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03">
        <v>0</v>
      </c>
      <c r="P25" s="103">
        <v>0</v>
      </c>
      <c r="Q25" s="33">
        <v>2300</v>
      </c>
      <c r="R25" s="33">
        <v>8650</v>
      </c>
      <c r="S25" s="33">
        <v>14600</v>
      </c>
      <c r="U25"/>
      <c r="V25"/>
      <c r="W25"/>
      <c r="X25"/>
      <c r="Y25"/>
      <c r="Z25"/>
      <c r="AA25"/>
      <c r="AB25"/>
    </row>
    <row r="26" spans="2:28">
      <c r="B26" s="5" t="s">
        <v>25</v>
      </c>
      <c r="D26" s="46">
        <f>SUM(D24:D25)</f>
        <v>0</v>
      </c>
      <c r="E26" s="46">
        <f t="shared" ref="E26:S26" si="12">SUM(E24:E25)</f>
        <v>0</v>
      </c>
      <c r="F26" s="46">
        <f t="shared" si="12"/>
        <v>0</v>
      </c>
      <c r="G26" s="46">
        <f t="shared" si="12"/>
        <v>0</v>
      </c>
      <c r="H26" s="46">
        <f t="shared" si="12"/>
        <v>0</v>
      </c>
      <c r="I26" s="46">
        <f t="shared" si="12"/>
        <v>0</v>
      </c>
      <c r="J26" s="46">
        <f t="shared" si="12"/>
        <v>0</v>
      </c>
      <c r="K26" s="46">
        <f t="shared" si="12"/>
        <v>0</v>
      </c>
      <c r="L26" s="46">
        <f t="shared" si="12"/>
        <v>0</v>
      </c>
      <c r="M26" s="46">
        <f t="shared" si="12"/>
        <v>0</v>
      </c>
      <c r="N26" s="46">
        <f t="shared" si="12"/>
        <v>0</v>
      </c>
      <c r="O26" s="104">
        <f t="shared" si="12"/>
        <v>0</v>
      </c>
      <c r="P26" s="104">
        <f t="shared" si="12"/>
        <v>0</v>
      </c>
      <c r="Q26" s="47">
        <f t="shared" si="12"/>
        <v>2300</v>
      </c>
      <c r="R26" s="47">
        <f t="shared" si="12"/>
        <v>8650</v>
      </c>
      <c r="S26" s="47">
        <f t="shared" si="12"/>
        <v>15900</v>
      </c>
      <c r="U26"/>
      <c r="V26"/>
      <c r="W26"/>
      <c r="X26"/>
      <c r="Y26"/>
      <c r="Z26"/>
      <c r="AA26"/>
      <c r="AB26"/>
    </row>
    <row r="27" spans="2:28">
      <c r="B27" s="1" t="s">
        <v>26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02">
        <v>0</v>
      </c>
      <c r="P27" s="102">
        <v>0</v>
      </c>
      <c r="Q27" s="32">
        <v>0</v>
      </c>
      <c r="R27" s="32">
        <v>1900</v>
      </c>
      <c r="S27" s="32">
        <v>12950</v>
      </c>
      <c r="U27"/>
      <c r="V27"/>
      <c r="W27"/>
      <c r="X27"/>
      <c r="Y27"/>
      <c r="Z27"/>
      <c r="AA27"/>
      <c r="AB27"/>
    </row>
    <row r="28" spans="2:28">
      <c r="B28" s="1" t="s">
        <v>27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102">
        <v>0</v>
      </c>
      <c r="P28" s="102">
        <v>0</v>
      </c>
      <c r="Q28" s="32">
        <v>0</v>
      </c>
      <c r="R28" s="32">
        <v>0</v>
      </c>
      <c r="S28" s="32">
        <v>7700</v>
      </c>
      <c r="U28"/>
      <c r="V28"/>
      <c r="W28"/>
      <c r="X28"/>
      <c r="Y28"/>
      <c r="Z28"/>
      <c r="AA28"/>
      <c r="AB28"/>
    </row>
    <row r="29" spans="2:28">
      <c r="B29" s="1" t="s">
        <v>28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03">
        <v>0</v>
      </c>
      <c r="P29" s="103">
        <v>0</v>
      </c>
      <c r="Q29" s="33">
        <v>0</v>
      </c>
      <c r="R29" s="33">
        <v>300</v>
      </c>
      <c r="S29" s="33">
        <v>4800</v>
      </c>
      <c r="U29"/>
      <c r="V29"/>
      <c r="W29"/>
      <c r="X29"/>
      <c r="Y29"/>
      <c r="Z29"/>
      <c r="AA29"/>
      <c r="AB29"/>
    </row>
    <row r="30" spans="2:28">
      <c r="B30" s="5" t="s">
        <v>29</v>
      </c>
      <c r="D30" s="46">
        <f>SUM(D27:D29)</f>
        <v>0</v>
      </c>
      <c r="E30" s="46">
        <f t="shared" ref="E30:S30" si="13">SUM(E27:E29)</f>
        <v>0</v>
      </c>
      <c r="F30" s="46">
        <f t="shared" si="13"/>
        <v>0</v>
      </c>
      <c r="G30" s="46">
        <f t="shared" si="13"/>
        <v>0</v>
      </c>
      <c r="H30" s="46">
        <f t="shared" si="13"/>
        <v>0</v>
      </c>
      <c r="I30" s="46">
        <f t="shared" si="13"/>
        <v>0</v>
      </c>
      <c r="J30" s="46">
        <f t="shared" si="13"/>
        <v>0</v>
      </c>
      <c r="K30" s="46">
        <f t="shared" si="13"/>
        <v>0</v>
      </c>
      <c r="L30" s="46">
        <f t="shared" si="13"/>
        <v>0</v>
      </c>
      <c r="M30" s="46">
        <f t="shared" si="13"/>
        <v>0</v>
      </c>
      <c r="N30" s="46">
        <f t="shared" si="13"/>
        <v>0</v>
      </c>
      <c r="O30" s="104">
        <f t="shared" si="13"/>
        <v>0</v>
      </c>
      <c r="P30" s="104">
        <f t="shared" si="13"/>
        <v>0</v>
      </c>
      <c r="Q30" s="47">
        <f t="shared" si="13"/>
        <v>0</v>
      </c>
      <c r="R30" s="47">
        <f t="shared" si="13"/>
        <v>2200</v>
      </c>
      <c r="S30" s="47">
        <f t="shared" si="13"/>
        <v>25450</v>
      </c>
      <c r="U30"/>
      <c r="V30"/>
      <c r="W30"/>
      <c r="X30"/>
      <c r="Y30"/>
      <c r="Z30"/>
      <c r="AA30"/>
      <c r="AB30"/>
    </row>
    <row r="31" spans="2:28">
      <c r="B31" s="1" t="s">
        <v>30</v>
      </c>
      <c r="D31" s="46">
        <f>SUM(D30,D26,D23,D20)</f>
        <v>29982</v>
      </c>
      <c r="E31" s="46">
        <f t="shared" ref="E31:S31" si="14">SUM(E30,E26,E23,E20)</f>
        <v>40768</v>
      </c>
      <c r="F31" s="46">
        <f t="shared" si="14"/>
        <v>83775</v>
      </c>
      <c r="G31" s="46">
        <f t="shared" si="14"/>
        <v>90966</v>
      </c>
      <c r="H31" s="46">
        <f t="shared" si="14"/>
        <v>63019</v>
      </c>
      <c r="I31" s="46">
        <f t="shared" si="14"/>
        <v>95356</v>
      </c>
      <c r="J31" s="46">
        <f t="shared" si="14"/>
        <v>97186</v>
      </c>
      <c r="K31" s="46">
        <f t="shared" si="14"/>
        <v>112095</v>
      </c>
      <c r="L31" s="46">
        <f t="shared" si="14"/>
        <v>88496</v>
      </c>
      <c r="M31" s="46">
        <f t="shared" si="14"/>
        <v>90891</v>
      </c>
      <c r="N31" s="46">
        <f t="shared" si="14"/>
        <v>139593</v>
      </c>
      <c r="O31" s="46">
        <f t="shared" si="14"/>
        <v>180170</v>
      </c>
      <c r="P31" s="46">
        <f t="shared" si="14"/>
        <v>184800</v>
      </c>
      <c r="Q31" s="47">
        <f t="shared" si="14"/>
        <v>210750</v>
      </c>
      <c r="R31" s="47">
        <f t="shared" si="14"/>
        <v>228801</v>
      </c>
      <c r="S31" s="47">
        <f t="shared" si="14"/>
        <v>275664</v>
      </c>
      <c r="U31"/>
      <c r="V31"/>
      <c r="W31"/>
      <c r="X31"/>
      <c r="Y31"/>
      <c r="Z31"/>
      <c r="AA31"/>
      <c r="AB31"/>
    </row>
    <row r="32" spans="2:28"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01"/>
      <c r="P32"/>
      <c r="Q32"/>
      <c r="R32"/>
      <c r="S32"/>
      <c r="U32"/>
      <c r="V32"/>
      <c r="W32"/>
      <c r="X32"/>
      <c r="Y32"/>
      <c r="Z32"/>
      <c r="AA32"/>
      <c r="AB32"/>
    </row>
    <row r="33" spans="1:30" ht="16.5">
      <c r="A33" s="11" t="s">
        <v>175</v>
      </c>
      <c r="O33" s="100"/>
      <c r="U33"/>
      <c r="V33"/>
      <c r="W33"/>
      <c r="X33"/>
      <c r="Y33"/>
      <c r="Z33"/>
      <c r="AA33"/>
      <c r="AB33"/>
    </row>
    <row r="34" spans="1:30">
      <c r="B34" s="1" t="s">
        <v>15</v>
      </c>
      <c r="D34" s="8">
        <v>0</v>
      </c>
      <c r="E34" s="14">
        <f>E16/D16-1</f>
        <v>-6.6581415174765568E-2</v>
      </c>
      <c r="F34" s="14">
        <f t="shared" ref="F34:N34" si="15">F16/E16-1</f>
        <v>0.32158187962370999</v>
      </c>
      <c r="G34" s="14">
        <f t="shared" si="15"/>
        <v>-0.23766413268832065</v>
      </c>
      <c r="H34" s="14">
        <f t="shared" si="15"/>
        <v>-0.47420904723053214</v>
      </c>
      <c r="I34" s="14">
        <f t="shared" si="15"/>
        <v>0.44689655172413789</v>
      </c>
      <c r="J34" s="14">
        <f t="shared" si="15"/>
        <v>-0.11653956148713063</v>
      </c>
      <c r="K34" s="14">
        <f t="shared" si="15"/>
        <v>6.0426220663609476E-2</v>
      </c>
      <c r="L34" s="14">
        <f t="shared" si="15"/>
        <v>-0.57135588908674639</v>
      </c>
      <c r="M34" s="14">
        <f t="shared" si="15"/>
        <v>0.52047477744807114</v>
      </c>
      <c r="N34" s="14">
        <f t="shared" si="15"/>
        <v>0.24648711943793922</v>
      </c>
      <c r="O34" s="106">
        <f>O16/N16-1</f>
        <v>8.3601802255155455E-2</v>
      </c>
      <c r="P34" s="106">
        <f t="shared" ref="P34" si="16">P16/O16-1</f>
        <v>-0.85551147249600989</v>
      </c>
      <c r="Q34" s="35">
        <f t="shared" ref="P34:S34" si="17">Q16/P16-1</f>
        <v>8.77</v>
      </c>
      <c r="R34" s="35">
        <f t="shared" si="17"/>
        <v>-0.17860798362333674</v>
      </c>
      <c r="S34" s="35">
        <f t="shared" si="17"/>
        <v>1.6199376947040545E-2</v>
      </c>
      <c r="U34"/>
      <c r="V34"/>
      <c r="W34"/>
      <c r="X34"/>
      <c r="Y34"/>
      <c r="Z34"/>
      <c r="AA34"/>
      <c r="AB34"/>
    </row>
    <row r="35" spans="1:30">
      <c r="B35" s="1" t="s">
        <v>16</v>
      </c>
      <c r="D35" s="8">
        <v>0</v>
      </c>
      <c r="E35" s="14">
        <f>E17/D17-1</f>
        <v>0.12909632571996021</v>
      </c>
      <c r="F35" s="14">
        <f t="shared" ref="F35:S37" si="18">F17/E17-1</f>
        <v>0.16446789797713279</v>
      </c>
      <c r="G35" s="14">
        <f t="shared" si="18"/>
        <v>-0.10528700906344413</v>
      </c>
      <c r="H35" s="14">
        <f t="shared" si="18"/>
        <v>-0.46893466148911023</v>
      </c>
      <c r="I35" s="14">
        <f t="shared" si="18"/>
        <v>0.48307105388650462</v>
      </c>
      <c r="J35" s="14">
        <f t="shared" si="18"/>
        <v>7.9206859592711787E-2</v>
      </c>
      <c r="K35" s="14">
        <f t="shared" si="18"/>
        <v>0.15334194060979245</v>
      </c>
      <c r="L35" s="14">
        <f t="shared" si="18"/>
        <v>-0.23706191337294413</v>
      </c>
      <c r="M35" s="14">
        <f t="shared" si="18"/>
        <v>-0.38036117381489842</v>
      </c>
      <c r="N35" s="14">
        <f t="shared" si="18"/>
        <v>0.61894353369763211</v>
      </c>
      <c r="O35" s="106">
        <f t="shared" si="18"/>
        <v>0.35002647265935205</v>
      </c>
      <c r="P35" s="106">
        <f t="shared" si="18"/>
        <v>-0.91499316608099424</v>
      </c>
      <c r="Q35" s="35">
        <f t="shared" si="18"/>
        <v>11.401960784313726</v>
      </c>
      <c r="R35" s="35">
        <f t="shared" si="18"/>
        <v>-0.20268774703557313</v>
      </c>
      <c r="S35" s="35">
        <f t="shared" si="18"/>
        <v>4.8383898473131071E-2</v>
      </c>
      <c r="U35"/>
      <c r="V35"/>
      <c r="W35"/>
      <c r="X35"/>
      <c r="Y35"/>
      <c r="Z35"/>
      <c r="AA35"/>
      <c r="AB35"/>
    </row>
    <row r="36" spans="1:30">
      <c r="B36" s="1" t="s">
        <v>17</v>
      </c>
      <c r="D36" s="8">
        <v>0</v>
      </c>
      <c r="E36" s="14">
        <f>E18/D18-1</f>
        <v>1.2548276704962111</v>
      </c>
      <c r="F36" s="14">
        <f t="shared" ref="F36:S37" si="19">F18/E18-1</f>
        <v>2.0389180985419264</v>
      </c>
      <c r="G36" s="14">
        <f t="shared" si="19"/>
        <v>0.21446535271559797</v>
      </c>
      <c r="H36" s="14">
        <f t="shared" si="19"/>
        <v>-0.25203777408979422</v>
      </c>
      <c r="I36" s="14">
        <f t="shared" si="19"/>
        <v>0.52438737040527794</v>
      </c>
      <c r="J36" s="14">
        <f t="shared" si="19"/>
        <v>2.6650694283432586E-2</v>
      </c>
      <c r="K36" s="14">
        <f t="shared" si="19"/>
        <v>0.15340702357502223</v>
      </c>
      <c r="L36" s="14">
        <f t="shared" si="19"/>
        <v>-0.30041335798977487</v>
      </c>
      <c r="M36" s="14">
        <f t="shared" si="19"/>
        <v>-0.46757265249638491</v>
      </c>
      <c r="N36" s="14">
        <f t="shared" si="19"/>
        <v>0.67674201273290113</v>
      </c>
      <c r="O36" s="106">
        <f t="shared" si="18"/>
        <v>0.39336410345728479</v>
      </c>
      <c r="P36" s="106">
        <f t="shared" si="18"/>
        <v>-6.25E-2</v>
      </c>
      <c r="Q36" s="35">
        <f t="shared" si="19"/>
        <v>-0.13493333333333335</v>
      </c>
      <c r="R36" s="35">
        <f t="shared" si="19"/>
        <v>1.094327990135624E-2</v>
      </c>
      <c r="S36" s="35">
        <f t="shared" si="19"/>
        <v>1.8447934136301303E-2</v>
      </c>
    </row>
    <row r="37" spans="1:30">
      <c r="B37" s="1" t="s">
        <v>18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8">
        <f t="shared" si="19"/>
        <v>5.7459100204498981</v>
      </c>
      <c r="N37" s="18">
        <f t="shared" si="19"/>
        <v>1.4519136036377414</v>
      </c>
      <c r="O37" s="107">
        <f t="shared" si="18"/>
        <v>0.39863382066578068</v>
      </c>
      <c r="P37" s="107">
        <f t="shared" si="18"/>
        <v>0.16254143646408847</v>
      </c>
      <c r="Q37" s="37">
        <f t="shared" si="19"/>
        <v>-2.3857047809143661E-2</v>
      </c>
      <c r="R37" s="37">
        <f t="shared" si="19"/>
        <v>3.213242453748788E-2</v>
      </c>
      <c r="S37" s="37">
        <f t="shared" si="19"/>
        <v>5.6603773584905648E-2</v>
      </c>
    </row>
    <row r="38" spans="1:30">
      <c r="B38" s="5" t="s">
        <v>62</v>
      </c>
      <c r="D38" s="8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108"/>
      <c r="P38" s="102"/>
      <c r="Q38" s="32"/>
      <c r="R38" s="32"/>
      <c r="S38" s="32"/>
    </row>
    <row r="39" spans="1:30">
      <c r="B39" s="1" t="s">
        <v>20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14">
        <f>L21/K21-1</f>
        <v>13.48840579710145</v>
      </c>
      <c r="M39" s="14">
        <f t="shared" ref="M39:S39" si="20">M21/L21-1</f>
        <v>2.2849854956486948</v>
      </c>
      <c r="N39" s="14">
        <f t="shared" si="20"/>
        <v>5.2070645554202155E-2</v>
      </c>
      <c r="O39" s="106">
        <f t="shared" si="20"/>
        <v>1.3024602026049159E-2</v>
      </c>
      <c r="P39" s="106">
        <f t="shared" si="20"/>
        <v>-0.2857142857142857</v>
      </c>
      <c r="Q39" s="35">
        <f t="shared" si="20"/>
        <v>1.17</v>
      </c>
      <c r="R39" s="35">
        <f t="shared" si="20"/>
        <v>-4.6082949308755561E-3</v>
      </c>
      <c r="S39" s="35">
        <f t="shared" si="20"/>
        <v>2.5648148148148087E-2</v>
      </c>
    </row>
    <row r="40" spans="1:30">
      <c r="B40" s="1" t="s">
        <v>21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03">
        <v>0</v>
      </c>
      <c r="P40" s="103">
        <v>0</v>
      </c>
      <c r="Q40" s="33">
        <v>0</v>
      </c>
      <c r="R40" s="33">
        <v>0</v>
      </c>
      <c r="S40" s="33">
        <v>0</v>
      </c>
    </row>
    <row r="41" spans="1:30">
      <c r="B41" s="5" t="s">
        <v>63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02"/>
      <c r="P41" s="102"/>
      <c r="Q41" s="32"/>
      <c r="R41" s="32"/>
      <c r="S41" s="32"/>
    </row>
    <row r="42" spans="1:30">
      <c r="B42" s="1" t="s">
        <v>23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102">
        <v>0</v>
      </c>
      <c r="P42" s="102">
        <v>0</v>
      </c>
      <c r="Q42" s="32">
        <v>0</v>
      </c>
      <c r="R42" s="32">
        <v>0</v>
      </c>
      <c r="S42" s="32">
        <v>0</v>
      </c>
    </row>
    <row r="43" spans="1:30">
      <c r="B43" s="1" t="s">
        <v>24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03">
        <v>0</v>
      </c>
      <c r="P43" s="103">
        <v>0</v>
      </c>
      <c r="Q43" s="33">
        <v>0</v>
      </c>
      <c r="R43" s="33">
        <v>0</v>
      </c>
      <c r="S43" s="33">
        <v>0</v>
      </c>
    </row>
    <row r="44" spans="1:30">
      <c r="B44" s="5" t="s">
        <v>64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02"/>
      <c r="P44" s="102"/>
      <c r="Q44" s="32"/>
      <c r="R44" s="32"/>
      <c r="S44" s="32"/>
      <c r="U44"/>
      <c r="V44"/>
      <c r="W44"/>
      <c r="X44"/>
      <c r="Y44"/>
      <c r="Z44"/>
      <c r="AA44"/>
      <c r="AB44"/>
      <c r="AC44"/>
      <c r="AD44"/>
    </row>
    <row r="45" spans="1:30">
      <c r="B45" s="1" t="s">
        <v>26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102">
        <v>0</v>
      </c>
      <c r="P45" s="102">
        <v>0</v>
      </c>
      <c r="Q45" s="32">
        <v>0</v>
      </c>
      <c r="R45" s="32">
        <v>0</v>
      </c>
      <c r="S45" s="32">
        <v>0</v>
      </c>
      <c r="U45"/>
      <c r="V45"/>
      <c r="W45"/>
      <c r="X45"/>
      <c r="Y45"/>
      <c r="Z45"/>
      <c r="AA45"/>
      <c r="AB45"/>
      <c r="AC45"/>
      <c r="AD45"/>
    </row>
    <row r="46" spans="1:30">
      <c r="B46" s="1" t="s">
        <v>27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102">
        <v>0</v>
      </c>
      <c r="P46" s="102">
        <v>0</v>
      </c>
      <c r="Q46" s="32">
        <v>0</v>
      </c>
      <c r="R46" s="32">
        <v>0</v>
      </c>
      <c r="S46" s="32">
        <v>0</v>
      </c>
      <c r="U46"/>
      <c r="V46"/>
      <c r="W46"/>
      <c r="X46"/>
      <c r="Y46"/>
      <c r="Z46"/>
      <c r="AA46"/>
      <c r="AB46"/>
      <c r="AC46"/>
      <c r="AD46"/>
    </row>
    <row r="47" spans="1:30">
      <c r="B47" s="1" t="s">
        <v>28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03">
        <v>0</v>
      </c>
      <c r="P47" s="103">
        <v>0</v>
      </c>
      <c r="Q47" s="33">
        <v>0</v>
      </c>
      <c r="R47" s="33">
        <v>0</v>
      </c>
      <c r="S47" s="33">
        <v>0</v>
      </c>
      <c r="U47"/>
      <c r="V47"/>
      <c r="W47"/>
      <c r="X47"/>
      <c r="Y47"/>
      <c r="Z47"/>
      <c r="AA47"/>
      <c r="AB47"/>
      <c r="AC47"/>
      <c r="AD47"/>
    </row>
    <row r="48" spans="1:30" ht="15.75" thickBot="1">
      <c r="B48" s="5" t="s">
        <v>65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09"/>
      <c r="P48" s="109"/>
      <c r="Q48" s="34"/>
      <c r="R48" s="34"/>
      <c r="S48" s="34"/>
      <c r="U48"/>
      <c r="V48"/>
      <c r="W48"/>
      <c r="X48"/>
      <c r="Y48"/>
      <c r="Z48"/>
      <c r="AA48"/>
      <c r="AB48"/>
      <c r="AC48"/>
      <c r="AD48"/>
    </row>
    <row r="49" spans="15:15" customFormat="1">
      <c r="O49" s="101"/>
    </row>
  </sheetData>
  <mergeCells count="4">
    <mergeCell ref="D1:G1"/>
    <mergeCell ref="H1:K1"/>
    <mergeCell ref="L1:O1"/>
    <mergeCell ref="P1:S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25C3-4574-4F32-8D84-13FDEBA1DCC8}">
  <dimension ref="B1:S46"/>
  <sheetViews>
    <sheetView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39" sqref="P39"/>
    </sheetView>
  </sheetViews>
  <sheetFormatPr defaultRowHeight="15"/>
  <cols>
    <col min="1" max="1" width="2.7109375" style="1" customWidth="1"/>
    <col min="2" max="2" width="39" style="1" bestFit="1" customWidth="1"/>
    <col min="3" max="3" width="2.7109375" style="3" customWidth="1"/>
    <col min="4" max="10" width="9.7109375" style="3" customWidth="1"/>
    <col min="11" max="19" width="9.7109375" style="1" customWidth="1"/>
    <col min="20" max="20" width="9.140625" style="1"/>
    <col min="21" max="21" width="14.7109375" style="1" customWidth="1"/>
    <col min="22" max="22" width="10.7109375" style="1" customWidth="1"/>
    <col min="23" max="24" width="12.7109375" style="1" customWidth="1"/>
    <col min="25" max="28" width="9.7109375" style="1" bestFit="1" customWidth="1"/>
    <col min="29" max="16384" width="9.140625" style="1"/>
  </cols>
  <sheetData>
    <row r="1" spans="2:19">
      <c r="D1" s="96">
        <v>2018</v>
      </c>
      <c r="E1" s="96"/>
      <c r="F1" s="96"/>
      <c r="G1" s="96"/>
      <c r="H1" s="96">
        <v>2019</v>
      </c>
      <c r="I1" s="96"/>
      <c r="J1" s="96"/>
      <c r="K1" s="96"/>
      <c r="L1" s="96">
        <v>2020</v>
      </c>
      <c r="M1" s="96"/>
      <c r="N1" s="96"/>
      <c r="O1" s="96"/>
      <c r="P1" s="96">
        <v>2021</v>
      </c>
      <c r="Q1" s="96"/>
      <c r="R1" s="96"/>
      <c r="S1" s="96"/>
    </row>
    <row r="2" spans="2:19">
      <c r="D2" s="44" t="s">
        <v>2</v>
      </c>
      <c r="E2" s="44" t="s">
        <v>3</v>
      </c>
      <c r="F2" s="44" t="s">
        <v>4</v>
      </c>
      <c r="G2" s="44" t="s">
        <v>5</v>
      </c>
      <c r="H2" s="44" t="s">
        <v>2</v>
      </c>
      <c r="I2" s="44" t="s">
        <v>3</v>
      </c>
      <c r="J2" s="44" t="s">
        <v>4</v>
      </c>
      <c r="K2" s="44" t="s">
        <v>5</v>
      </c>
      <c r="L2" s="44" t="s">
        <v>2</v>
      </c>
      <c r="M2" s="44" t="s">
        <v>3</v>
      </c>
      <c r="N2" s="44" t="s">
        <v>4</v>
      </c>
      <c r="O2" s="44" t="s">
        <v>5</v>
      </c>
      <c r="P2" s="44" t="s">
        <v>2</v>
      </c>
      <c r="Q2" s="44" t="s">
        <v>3</v>
      </c>
      <c r="R2" s="44" t="s">
        <v>4</v>
      </c>
      <c r="S2" s="44" t="s">
        <v>5</v>
      </c>
    </row>
    <row r="4" spans="2:19">
      <c r="B4" s="15" t="s">
        <v>44</v>
      </c>
    </row>
    <row r="5" spans="2:19">
      <c r="B5" s="1" t="s">
        <v>72</v>
      </c>
      <c r="D5" s="8">
        <f>D7-D6</f>
        <v>2735</v>
      </c>
      <c r="E5" s="8">
        <f t="shared" ref="E5:O5" si="0">E7-E6</f>
        <v>3357</v>
      </c>
      <c r="F5" s="8">
        <f t="shared" si="0"/>
        <v>6098</v>
      </c>
      <c r="G5" s="8">
        <f t="shared" si="0"/>
        <v>6169</v>
      </c>
      <c r="H5" s="8">
        <f t="shared" si="0"/>
        <v>3724</v>
      </c>
      <c r="I5" s="8">
        <f t="shared" si="0"/>
        <v>5375</v>
      </c>
      <c r="J5" s="8">
        <f t="shared" si="0"/>
        <v>5353</v>
      </c>
      <c r="K5" s="8">
        <f t="shared" si="0"/>
        <v>6368</v>
      </c>
      <c r="L5" s="8">
        <f t="shared" si="0"/>
        <v>5132</v>
      </c>
      <c r="M5" s="8">
        <f t="shared" si="0"/>
        <v>5179</v>
      </c>
      <c r="N5" s="8">
        <f t="shared" si="0"/>
        <v>7611</v>
      </c>
      <c r="O5" s="8">
        <f t="shared" si="0"/>
        <v>0</v>
      </c>
      <c r="P5" s="8" t="e">
        <f>SUM('Detailed Deliveries'!#REF!,'Detailed Deliveries'!#REF!,'Detailed Deliveries'!#REF!,'Detailed Deliveries'!#REF!)</f>
        <v>#REF!</v>
      </c>
      <c r="Q5" s="8" t="e">
        <f>SUM('Detailed Deliveries'!#REF!,'Detailed Deliveries'!#REF!,'Detailed Deliveries'!#REF!,'Detailed Deliveries'!#REF!)</f>
        <v>#REF!</v>
      </c>
      <c r="R5" s="8" t="e">
        <f>SUM('Detailed Deliveries'!#REF!,'Detailed Deliveries'!#REF!,'Detailed Deliveries'!#REF!,'Detailed Deliveries'!#REF!)</f>
        <v>#REF!</v>
      </c>
      <c r="S5" s="8" t="e">
        <f>SUM('Detailed Deliveries'!#REF!,'Detailed Deliveries'!#REF!,'Detailed Deliveries'!#REF!,'Detailed Deliveries'!#REF!)</f>
        <v>#REF!</v>
      </c>
    </row>
    <row r="6" spans="2:19">
      <c r="B6" s="1" t="s">
        <v>71</v>
      </c>
      <c r="D6" s="12"/>
      <c r="E6" s="12"/>
      <c r="F6" s="12"/>
      <c r="G6" s="12"/>
      <c r="H6" s="12"/>
      <c r="I6" s="12"/>
      <c r="J6" s="12"/>
      <c r="K6" s="17"/>
      <c r="L6" s="17"/>
      <c r="M6" s="17"/>
      <c r="N6" s="17"/>
      <c r="O6" s="17"/>
      <c r="P6" s="17"/>
      <c r="Q6" s="17"/>
      <c r="R6" s="17"/>
      <c r="S6" s="17"/>
    </row>
    <row r="7" spans="2:19">
      <c r="B7" s="1" t="s">
        <v>31</v>
      </c>
      <c r="D7" s="8">
        <v>2735</v>
      </c>
      <c r="E7" s="8">
        <v>3357</v>
      </c>
      <c r="F7" s="8">
        <v>6098</v>
      </c>
      <c r="G7" s="8">
        <v>6169</v>
      </c>
      <c r="H7" s="8">
        <v>3724</v>
      </c>
      <c r="I7" s="8">
        <v>5375</v>
      </c>
      <c r="J7" s="8">
        <v>5353</v>
      </c>
      <c r="K7" s="9">
        <v>6368</v>
      </c>
      <c r="L7" s="9">
        <v>5132</v>
      </c>
      <c r="M7" s="9">
        <v>5179</v>
      </c>
      <c r="N7" s="9">
        <v>7611</v>
      </c>
      <c r="O7" s="9">
        <v>0</v>
      </c>
      <c r="P7" s="9" t="e">
        <f>SUM(P5:P6)</f>
        <v>#REF!</v>
      </c>
      <c r="Q7" s="9" t="e">
        <f>SUM(Q5:Q6)</f>
        <v>#REF!</v>
      </c>
      <c r="R7" s="9" t="e">
        <f>SUM(R5:R6)</f>
        <v>#REF!</v>
      </c>
      <c r="S7" s="9" t="e">
        <f>SUM(S5:S6)</f>
        <v>#REF!</v>
      </c>
    </row>
    <row r="8" spans="2:19">
      <c r="B8" s="1" t="s">
        <v>32</v>
      </c>
      <c r="D8" s="8">
        <v>410</v>
      </c>
      <c r="E8" s="8">
        <v>374</v>
      </c>
      <c r="F8" s="8">
        <v>399</v>
      </c>
      <c r="G8" s="8">
        <v>372</v>
      </c>
      <c r="H8" s="8">
        <v>324</v>
      </c>
      <c r="I8" s="8">
        <v>369</v>
      </c>
      <c r="J8" s="8">
        <v>402</v>
      </c>
      <c r="K8" s="9">
        <v>436</v>
      </c>
      <c r="L8" s="9">
        <v>293</v>
      </c>
      <c r="M8" s="9">
        <v>370</v>
      </c>
      <c r="N8" s="9">
        <v>579</v>
      </c>
      <c r="O8" s="9">
        <v>0</v>
      </c>
      <c r="P8" s="9">
        <f>H8*1.1</f>
        <v>356.40000000000003</v>
      </c>
      <c r="Q8" s="9">
        <f>I8*1.1</f>
        <v>405.90000000000003</v>
      </c>
      <c r="R8" s="9">
        <f>J8*1.1</f>
        <v>442.20000000000005</v>
      </c>
      <c r="S8" s="9">
        <f>K8*1.1</f>
        <v>479.6</v>
      </c>
    </row>
    <row r="9" spans="2:19">
      <c r="B9" s="1" t="s">
        <v>33</v>
      </c>
      <c r="D9" s="12">
        <v>263</v>
      </c>
      <c r="E9" s="12">
        <v>270</v>
      </c>
      <c r="F9" s="12">
        <v>326</v>
      </c>
      <c r="G9" s="12">
        <v>531</v>
      </c>
      <c r="H9" s="12">
        <v>493</v>
      </c>
      <c r="I9" s="12">
        <v>605</v>
      </c>
      <c r="J9" s="12">
        <v>547</v>
      </c>
      <c r="K9" s="17">
        <v>580</v>
      </c>
      <c r="L9" s="17">
        <v>560</v>
      </c>
      <c r="M9" s="17">
        <v>487</v>
      </c>
      <c r="N9" s="17">
        <v>581</v>
      </c>
      <c r="O9" s="17">
        <v>0</v>
      </c>
      <c r="P9" s="17">
        <f t="shared" ref="P9:S9" si="1">H9*1.1</f>
        <v>542.30000000000007</v>
      </c>
      <c r="Q9" s="17">
        <f t="shared" si="1"/>
        <v>665.5</v>
      </c>
      <c r="R9" s="17">
        <f t="shared" si="1"/>
        <v>601.70000000000005</v>
      </c>
      <c r="S9" s="17">
        <f t="shared" si="1"/>
        <v>638</v>
      </c>
    </row>
    <row r="10" spans="2:19">
      <c r="B10" s="5" t="s">
        <v>34</v>
      </c>
      <c r="D10" s="16">
        <f>SUM(D7:D9)</f>
        <v>3408</v>
      </c>
      <c r="E10" s="16">
        <f t="shared" ref="E10:S10" si="2">SUM(E7:E9)</f>
        <v>4001</v>
      </c>
      <c r="F10" s="16">
        <f t="shared" si="2"/>
        <v>6823</v>
      </c>
      <c r="G10" s="16">
        <f t="shared" si="2"/>
        <v>7072</v>
      </c>
      <c r="H10" s="16">
        <f t="shared" si="2"/>
        <v>4541</v>
      </c>
      <c r="I10" s="16">
        <f t="shared" si="2"/>
        <v>6349</v>
      </c>
      <c r="J10" s="16">
        <f t="shared" si="2"/>
        <v>6302</v>
      </c>
      <c r="K10" s="16">
        <f t="shared" si="2"/>
        <v>7384</v>
      </c>
      <c r="L10" s="16">
        <f t="shared" si="2"/>
        <v>5985</v>
      </c>
      <c r="M10" s="16">
        <f t="shared" si="2"/>
        <v>6036</v>
      </c>
      <c r="N10" s="16">
        <f t="shared" si="2"/>
        <v>8771</v>
      </c>
      <c r="O10" s="16">
        <f t="shared" si="2"/>
        <v>0</v>
      </c>
      <c r="P10" s="16" t="e">
        <f t="shared" si="2"/>
        <v>#REF!</v>
      </c>
      <c r="Q10" s="16" t="e">
        <f t="shared" si="2"/>
        <v>#REF!</v>
      </c>
      <c r="R10" s="16" t="e">
        <f t="shared" si="2"/>
        <v>#REF!</v>
      </c>
      <c r="S10" s="16" t="e">
        <f t="shared" si="2"/>
        <v>#REF!</v>
      </c>
    </row>
    <row r="11" spans="2:19">
      <c r="D11" s="8"/>
      <c r="E11" s="8"/>
      <c r="F11" s="8"/>
      <c r="G11" s="8"/>
      <c r="H11" s="8"/>
      <c r="I11" s="8"/>
      <c r="J11" s="8"/>
      <c r="K11" s="45">
        <f>1-K12/K5</f>
        <v>0.22518844221105527</v>
      </c>
      <c r="L11" s="45">
        <f>1-L12/L5</f>
        <v>0.2554559625876851</v>
      </c>
      <c r="M11" s="45">
        <f>1-M12/M5</f>
        <v>0.25429619617686816</v>
      </c>
      <c r="N11" s="45">
        <f>1-N12/N5</f>
        <v>0.27657338063329395</v>
      </c>
      <c r="O11" s="9"/>
      <c r="P11" s="45" t="e">
        <f>1-P12/P5</f>
        <v>#REF!</v>
      </c>
      <c r="Q11" s="45" t="e">
        <f>1-Q12/Q5</f>
        <v>#REF!</v>
      </c>
      <c r="R11" s="45" t="e">
        <f>1-R12/R5</f>
        <v>#REF!</v>
      </c>
      <c r="S11" s="45" t="e">
        <f>1-S12/S5</f>
        <v>#REF!</v>
      </c>
    </row>
    <row r="12" spans="2:19">
      <c r="B12" s="1" t="s">
        <v>35</v>
      </c>
      <c r="D12" s="8">
        <v>2195</v>
      </c>
      <c r="E12" s="8">
        <v>2668</v>
      </c>
      <c r="F12" s="8">
        <v>4525</v>
      </c>
      <c r="G12" s="8">
        <v>4668</v>
      </c>
      <c r="H12" s="8">
        <v>2973</v>
      </c>
      <c r="I12" s="8">
        <v>4360</v>
      </c>
      <c r="J12" s="8">
        <v>4131</v>
      </c>
      <c r="K12" s="9">
        <v>4934</v>
      </c>
      <c r="L12" s="9">
        <v>3821</v>
      </c>
      <c r="M12" s="9">
        <v>3862</v>
      </c>
      <c r="N12" s="9">
        <v>5506</v>
      </c>
      <c r="O12" s="9">
        <v>0</v>
      </c>
      <c r="P12" s="9" t="e">
        <f>P5*0.75</f>
        <v>#REF!</v>
      </c>
      <c r="Q12" s="9" t="e">
        <f>Q5*0.75</f>
        <v>#REF!</v>
      </c>
      <c r="R12" s="9" t="e">
        <f>R5*0.75</f>
        <v>#REF!</v>
      </c>
      <c r="S12" s="9" t="e">
        <f>S5*0.75</f>
        <v>#REF!</v>
      </c>
    </row>
    <row r="13" spans="2:19">
      <c r="B13" s="1" t="s">
        <v>32</v>
      </c>
      <c r="D13" s="8">
        <v>379</v>
      </c>
      <c r="E13" s="8">
        <v>330</v>
      </c>
      <c r="F13" s="8">
        <v>331</v>
      </c>
      <c r="G13" s="8">
        <v>328</v>
      </c>
      <c r="H13" s="8">
        <v>316</v>
      </c>
      <c r="I13" s="8">
        <v>323</v>
      </c>
      <c r="J13" s="8">
        <v>314</v>
      </c>
      <c r="K13" s="9">
        <v>385</v>
      </c>
      <c r="L13" s="9">
        <v>282</v>
      </c>
      <c r="M13" s="9">
        <v>349</v>
      </c>
      <c r="N13" s="9">
        <v>558</v>
      </c>
      <c r="O13" s="9">
        <v>0</v>
      </c>
      <c r="P13" s="9">
        <f t="shared" ref="P13:S14" si="3">H13*1.1</f>
        <v>347.6</v>
      </c>
      <c r="Q13" s="9">
        <f t="shared" si="3"/>
        <v>355.3</v>
      </c>
      <c r="R13" s="9">
        <f t="shared" si="3"/>
        <v>345.40000000000003</v>
      </c>
      <c r="S13" s="9">
        <f t="shared" si="3"/>
        <v>423.50000000000006</v>
      </c>
    </row>
    <row r="14" spans="2:19">
      <c r="B14" s="1" t="s">
        <v>33</v>
      </c>
      <c r="D14" s="12">
        <v>381</v>
      </c>
      <c r="E14" s="12">
        <v>386</v>
      </c>
      <c r="F14" s="12">
        <v>445</v>
      </c>
      <c r="G14" s="12">
        <v>668</v>
      </c>
      <c r="H14" s="12">
        <v>686</v>
      </c>
      <c r="I14" s="12">
        <v>743</v>
      </c>
      <c r="J14" s="12">
        <v>667</v>
      </c>
      <c r="K14" s="17">
        <v>674</v>
      </c>
      <c r="L14" s="17">
        <v>647</v>
      </c>
      <c r="M14" s="17">
        <v>558</v>
      </c>
      <c r="N14" s="17">
        <v>644</v>
      </c>
      <c r="O14" s="17">
        <v>0</v>
      </c>
      <c r="P14" s="17">
        <f t="shared" si="3"/>
        <v>754.6</v>
      </c>
      <c r="Q14" s="17">
        <f t="shared" si="3"/>
        <v>817.30000000000007</v>
      </c>
      <c r="R14" s="17">
        <f t="shared" si="3"/>
        <v>733.7</v>
      </c>
      <c r="S14" s="17">
        <f t="shared" si="3"/>
        <v>741.40000000000009</v>
      </c>
    </row>
    <row r="15" spans="2:19">
      <c r="B15" s="5" t="s">
        <v>36</v>
      </c>
      <c r="D15" s="16">
        <f>SUM(D12:D14)</f>
        <v>2955</v>
      </c>
      <c r="E15" s="16">
        <f t="shared" ref="E15:S15" si="4">SUM(E12:E14)</f>
        <v>3384</v>
      </c>
      <c r="F15" s="16">
        <f t="shared" si="4"/>
        <v>5301</v>
      </c>
      <c r="G15" s="16">
        <f t="shared" si="4"/>
        <v>5664</v>
      </c>
      <c r="H15" s="16">
        <f t="shared" si="4"/>
        <v>3975</v>
      </c>
      <c r="I15" s="16">
        <f t="shared" si="4"/>
        <v>5426</v>
      </c>
      <c r="J15" s="16">
        <f t="shared" si="4"/>
        <v>5112</v>
      </c>
      <c r="K15" s="16">
        <f t="shared" si="4"/>
        <v>5993</v>
      </c>
      <c r="L15" s="16">
        <f t="shared" si="4"/>
        <v>4750</v>
      </c>
      <c r="M15" s="16">
        <f t="shared" si="4"/>
        <v>4769</v>
      </c>
      <c r="N15" s="16">
        <f t="shared" si="4"/>
        <v>6708</v>
      </c>
      <c r="O15" s="16">
        <f t="shared" si="4"/>
        <v>0</v>
      </c>
      <c r="P15" s="16" t="e">
        <f t="shared" si="4"/>
        <v>#REF!</v>
      </c>
      <c r="Q15" s="16" t="e">
        <f t="shared" si="4"/>
        <v>#REF!</v>
      </c>
      <c r="R15" s="16" t="e">
        <f t="shared" si="4"/>
        <v>#REF!</v>
      </c>
      <c r="S15" s="16" t="e">
        <f t="shared" si="4"/>
        <v>#REF!</v>
      </c>
    </row>
    <row r="16" spans="2:19">
      <c r="B16" s="1" t="s">
        <v>37</v>
      </c>
      <c r="D16" s="18">
        <f>IFERROR(1-D15/D10,0)</f>
        <v>0.13292253521126762</v>
      </c>
      <c r="E16" s="18">
        <f t="shared" ref="E16:S16" si="5">IFERROR(1-E15/E10,0)</f>
        <v>0.15421144713821544</v>
      </c>
      <c r="F16" s="18">
        <f t="shared" si="5"/>
        <v>0.22306903121793931</v>
      </c>
      <c r="G16" s="18">
        <f t="shared" si="5"/>
        <v>0.19909502262443435</v>
      </c>
      <c r="H16" s="18">
        <f t="shared" si="5"/>
        <v>0.12464214930632023</v>
      </c>
      <c r="I16" s="18">
        <f t="shared" si="5"/>
        <v>0.14537722475980475</v>
      </c>
      <c r="J16" s="18">
        <f t="shared" si="5"/>
        <v>0.18882894319263721</v>
      </c>
      <c r="K16" s="18">
        <f t="shared" si="5"/>
        <v>0.18838028169014087</v>
      </c>
      <c r="L16" s="18">
        <f t="shared" si="5"/>
        <v>0.20634920634920639</v>
      </c>
      <c r="M16" s="18">
        <f t="shared" si="5"/>
        <v>0.20990722332670642</v>
      </c>
      <c r="N16" s="18">
        <f t="shared" si="5"/>
        <v>0.23520693193478504</v>
      </c>
      <c r="O16" s="18">
        <f t="shared" si="5"/>
        <v>0</v>
      </c>
      <c r="P16" s="18">
        <f t="shared" si="5"/>
        <v>0</v>
      </c>
      <c r="Q16" s="18">
        <f t="shared" si="5"/>
        <v>0</v>
      </c>
      <c r="R16" s="18">
        <f t="shared" si="5"/>
        <v>0</v>
      </c>
      <c r="S16" s="18">
        <f t="shared" si="5"/>
        <v>0</v>
      </c>
    </row>
    <row r="17" spans="2:19">
      <c r="B17" s="5" t="s">
        <v>38</v>
      </c>
      <c r="D17" s="16">
        <f>D10-D15</f>
        <v>453</v>
      </c>
      <c r="E17" s="16">
        <f t="shared" ref="E17:S17" si="6">E10-E15</f>
        <v>617</v>
      </c>
      <c r="F17" s="16">
        <f t="shared" si="6"/>
        <v>1522</v>
      </c>
      <c r="G17" s="16">
        <f t="shared" si="6"/>
        <v>1408</v>
      </c>
      <c r="H17" s="16">
        <f t="shared" si="6"/>
        <v>566</v>
      </c>
      <c r="I17" s="16">
        <f t="shared" si="6"/>
        <v>923</v>
      </c>
      <c r="J17" s="16">
        <f t="shared" si="6"/>
        <v>1190</v>
      </c>
      <c r="K17" s="16">
        <f t="shared" si="6"/>
        <v>1391</v>
      </c>
      <c r="L17" s="16">
        <f t="shared" si="6"/>
        <v>1235</v>
      </c>
      <c r="M17" s="16">
        <f t="shared" si="6"/>
        <v>1267</v>
      </c>
      <c r="N17" s="16">
        <f t="shared" si="6"/>
        <v>2063</v>
      </c>
      <c r="O17" s="16">
        <f t="shared" si="6"/>
        <v>0</v>
      </c>
      <c r="P17" s="16" t="e">
        <f t="shared" si="6"/>
        <v>#REF!</v>
      </c>
      <c r="Q17" s="16" t="e">
        <f t="shared" si="6"/>
        <v>#REF!</v>
      </c>
      <c r="R17" s="16" t="e">
        <f t="shared" si="6"/>
        <v>#REF!</v>
      </c>
      <c r="S17" s="16" t="e">
        <f t="shared" si="6"/>
        <v>#REF!</v>
      </c>
    </row>
    <row r="18" spans="2:19">
      <c r="D18" s="8"/>
      <c r="E18" s="8"/>
      <c r="F18" s="8"/>
      <c r="G18" s="8"/>
      <c r="H18" s="8"/>
      <c r="I18" s="8"/>
      <c r="J18" s="8"/>
      <c r="K18" s="9"/>
      <c r="L18" s="9"/>
      <c r="M18" s="9"/>
      <c r="N18" s="9"/>
      <c r="O18" s="9"/>
      <c r="P18" s="9"/>
      <c r="Q18" s="9"/>
      <c r="R18" s="9"/>
      <c r="S18" s="9"/>
    </row>
    <row r="19" spans="2:19">
      <c r="B19" s="1" t="s">
        <v>39</v>
      </c>
      <c r="D19" s="8">
        <v>367</v>
      </c>
      <c r="E19" s="8">
        <v>386</v>
      </c>
      <c r="F19" s="8">
        <v>351</v>
      </c>
      <c r="G19" s="8">
        <v>356</v>
      </c>
      <c r="H19" s="8">
        <v>340</v>
      </c>
      <c r="I19" s="8">
        <v>324</v>
      </c>
      <c r="J19" s="8">
        <v>334</v>
      </c>
      <c r="K19" s="9">
        <v>345</v>
      </c>
      <c r="L19" s="9">
        <v>324</v>
      </c>
      <c r="M19" s="9">
        <v>279</v>
      </c>
      <c r="N19" s="9">
        <v>366</v>
      </c>
      <c r="O19" s="9"/>
      <c r="P19" s="9">
        <f t="shared" ref="P19:S21" si="7">H19*1.1</f>
        <v>374.00000000000006</v>
      </c>
      <c r="Q19" s="9">
        <f t="shared" si="7"/>
        <v>356.40000000000003</v>
      </c>
      <c r="R19" s="9">
        <f t="shared" si="7"/>
        <v>367.40000000000003</v>
      </c>
      <c r="S19" s="9">
        <f t="shared" si="7"/>
        <v>379.50000000000006</v>
      </c>
    </row>
    <row r="20" spans="2:19">
      <c r="B20" s="1" t="s">
        <v>40</v>
      </c>
      <c r="D20" s="8">
        <v>686</v>
      </c>
      <c r="E20" s="8">
        <v>751</v>
      </c>
      <c r="F20" s="8">
        <v>730</v>
      </c>
      <c r="G20" s="8">
        <v>667</v>
      </c>
      <c r="H20" s="8">
        <v>704</v>
      </c>
      <c r="I20" s="8">
        <v>647</v>
      </c>
      <c r="J20" s="8">
        <v>596</v>
      </c>
      <c r="K20" s="9">
        <v>699</v>
      </c>
      <c r="L20" s="9">
        <v>627</v>
      </c>
      <c r="M20" s="9">
        <v>661</v>
      </c>
      <c r="N20" s="9">
        <v>936</v>
      </c>
      <c r="O20" s="9"/>
      <c r="P20" s="9">
        <f t="shared" si="7"/>
        <v>774.40000000000009</v>
      </c>
      <c r="Q20" s="9">
        <f t="shared" si="7"/>
        <v>711.7</v>
      </c>
      <c r="R20" s="9">
        <f t="shared" si="7"/>
        <v>655.6</v>
      </c>
      <c r="S20" s="9">
        <f t="shared" si="7"/>
        <v>768.90000000000009</v>
      </c>
    </row>
    <row r="21" spans="2:19">
      <c r="B21" s="1" t="s">
        <v>41</v>
      </c>
      <c r="D21" s="12">
        <v>0</v>
      </c>
      <c r="E21" s="12">
        <v>103</v>
      </c>
      <c r="F21" s="12">
        <v>26</v>
      </c>
      <c r="G21" s="12">
        <v>6</v>
      </c>
      <c r="H21" s="12">
        <v>43</v>
      </c>
      <c r="I21" s="12">
        <v>117</v>
      </c>
      <c r="J21" s="12">
        <v>0</v>
      </c>
      <c r="K21" s="22">
        <v>-12</v>
      </c>
      <c r="L21" s="17">
        <v>0</v>
      </c>
      <c r="M21" s="17">
        <v>0</v>
      </c>
      <c r="N21" s="17">
        <v>0</v>
      </c>
      <c r="O21" s="17"/>
      <c r="P21" s="17">
        <f t="shared" si="7"/>
        <v>47.300000000000004</v>
      </c>
      <c r="Q21" s="17">
        <f t="shared" si="7"/>
        <v>128.70000000000002</v>
      </c>
      <c r="R21" s="17">
        <f t="shared" si="7"/>
        <v>0</v>
      </c>
      <c r="S21" s="17">
        <f t="shared" si="7"/>
        <v>-13.200000000000001</v>
      </c>
    </row>
    <row r="22" spans="2:19">
      <c r="B22" s="5" t="s">
        <v>42</v>
      </c>
      <c r="D22" s="19">
        <f>SUM(D19:D21)</f>
        <v>1053</v>
      </c>
      <c r="E22" s="19">
        <f t="shared" ref="E22:S22" si="8">SUM(E19:E21)</f>
        <v>1240</v>
      </c>
      <c r="F22" s="19">
        <f t="shared" si="8"/>
        <v>1107</v>
      </c>
      <c r="G22" s="19">
        <f t="shared" si="8"/>
        <v>1029</v>
      </c>
      <c r="H22" s="19">
        <f t="shared" si="8"/>
        <v>1087</v>
      </c>
      <c r="I22" s="19">
        <f t="shared" si="8"/>
        <v>1088</v>
      </c>
      <c r="J22" s="19">
        <f t="shared" si="8"/>
        <v>930</v>
      </c>
      <c r="K22" s="19">
        <f t="shared" si="8"/>
        <v>1032</v>
      </c>
      <c r="L22" s="19">
        <f t="shared" si="8"/>
        <v>951</v>
      </c>
      <c r="M22" s="19">
        <f t="shared" si="8"/>
        <v>940</v>
      </c>
      <c r="N22" s="19">
        <f t="shared" si="8"/>
        <v>1302</v>
      </c>
      <c r="O22" s="19">
        <f t="shared" si="8"/>
        <v>0</v>
      </c>
      <c r="P22" s="19">
        <f t="shared" si="8"/>
        <v>1195.7</v>
      </c>
      <c r="Q22" s="19">
        <f t="shared" si="8"/>
        <v>1196.8000000000002</v>
      </c>
      <c r="R22" s="19">
        <f t="shared" si="8"/>
        <v>1023</v>
      </c>
      <c r="S22" s="19">
        <f t="shared" si="8"/>
        <v>1135.2</v>
      </c>
    </row>
    <row r="23" spans="2:19">
      <c r="B23" s="5" t="s">
        <v>43</v>
      </c>
      <c r="D23" s="21">
        <f>D17-D22</f>
        <v>-600</v>
      </c>
      <c r="E23" s="21">
        <f t="shared" ref="E23:S23" si="9">E17-E22</f>
        <v>-623</v>
      </c>
      <c r="F23" s="21">
        <f t="shared" si="9"/>
        <v>415</v>
      </c>
      <c r="G23" s="21">
        <f t="shared" si="9"/>
        <v>379</v>
      </c>
      <c r="H23" s="21">
        <f t="shared" si="9"/>
        <v>-521</v>
      </c>
      <c r="I23" s="21">
        <f t="shared" si="9"/>
        <v>-165</v>
      </c>
      <c r="J23" s="21">
        <f t="shared" si="9"/>
        <v>260</v>
      </c>
      <c r="K23" s="21">
        <f t="shared" si="9"/>
        <v>359</v>
      </c>
      <c r="L23" s="21">
        <f t="shared" si="9"/>
        <v>284</v>
      </c>
      <c r="M23" s="21">
        <f t="shared" si="9"/>
        <v>327</v>
      </c>
      <c r="N23" s="21">
        <f t="shared" si="9"/>
        <v>761</v>
      </c>
      <c r="O23" s="20">
        <f t="shared" si="9"/>
        <v>0</v>
      </c>
      <c r="P23" s="16" t="e">
        <f t="shared" si="9"/>
        <v>#REF!</v>
      </c>
      <c r="Q23" s="16" t="e">
        <f t="shared" si="9"/>
        <v>#REF!</v>
      </c>
      <c r="R23" s="16" t="e">
        <f t="shared" si="9"/>
        <v>#REF!</v>
      </c>
      <c r="S23" s="16" t="e">
        <f t="shared" si="9"/>
        <v>#REF!</v>
      </c>
    </row>
    <row r="25" spans="2:19">
      <c r="B25" s="1" t="s">
        <v>45</v>
      </c>
      <c r="D25" s="23">
        <v>5</v>
      </c>
      <c r="E25" s="23">
        <v>5</v>
      </c>
      <c r="F25" s="23">
        <v>7</v>
      </c>
      <c r="G25" s="23">
        <v>7</v>
      </c>
      <c r="H25" s="23">
        <v>9</v>
      </c>
      <c r="I25" s="23">
        <v>10</v>
      </c>
      <c r="J25" s="23">
        <v>15</v>
      </c>
      <c r="K25" s="25">
        <v>10</v>
      </c>
      <c r="L25" s="25">
        <v>10</v>
      </c>
      <c r="M25" s="25">
        <v>8</v>
      </c>
      <c r="N25" s="25">
        <v>6</v>
      </c>
      <c r="O25" s="25"/>
      <c r="P25" s="25">
        <f t="shared" ref="P25:S27" si="10">H25*1.1</f>
        <v>9.9</v>
      </c>
      <c r="Q25" s="25">
        <f t="shared" si="10"/>
        <v>11</v>
      </c>
      <c r="R25" s="25">
        <f t="shared" si="10"/>
        <v>16.5</v>
      </c>
      <c r="S25" s="25">
        <f t="shared" si="10"/>
        <v>11</v>
      </c>
    </row>
    <row r="26" spans="2:19">
      <c r="B26" s="1" t="s">
        <v>46</v>
      </c>
      <c r="D26" s="23">
        <v>-150</v>
      </c>
      <c r="E26" s="23">
        <v>-164</v>
      </c>
      <c r="F26" s="23">
        <v>-175</v>
      </c>
      <c r="G26" s="23">
        <v>-175</v>
      </c>
      <c r="H26" s="23">
        <v>-157</v>
      </c>
      <c r="I26" s="23">
        <v>-172</v>
      </c>
      <c r="J26" s="23">
        <v>-185</v>
      </c>
      <c r="K26" s="25">
        <v>-170</v>
      </c>
      <c r="L26" s="25">
        <v>-169</v>
      </c>
      <c r="M26" s="25">
        <v>-170</v>
      </c>
      <c r="N26" s="25">
        <v>-163</v>
      </c>
      <c r="O26" s="25"/>
      <c r="P26" s="25">
        <f t="shared" si="10"/>
        <v>-172.70000000000002</v>
      </c>
      <c r="Q26" s="25">
        <f t="shared" si="10"/>
        <v>-189.20000000000002</v>
      </c>
      <c r="R26" s="25">
        <f t="shared" si="10"/>
        <v>-203.50000000000003</v>
      </c>
      <c r="S26" s="25">
        <f t="shared" si="10"/>
        <v>-187.00000000000003</v>
      </c>
    </row>
    <row r="27" spans="2:19">
      <c r="B27" s="1" t="s">
        <v>47</v>
      </c>
      <c r="D27" s="23">
        <v>-38</v>
      </c>
      <c r="E27" s="23">
        <v>51</v>
      </c>
      <c r="F27" s="23">
        <v>23</v>
      </c>
      <c r="G27" s="23">
        <v>-14</v>
      </c>
      <c r="H27" s="23">
        <v>26</v>
      </c>
      <c r="I27" s="23">
        <v>-41</v>
      </c>
      <c r="J27" s="23">
        <v>85</v>
      </c>
      <c r="K27" s="25">
        <v>-25</v>
      </c>
      <c r="L27" s="25">
        <v>-54</v>
      </c>
      <c r="M27" s="25">
        <v>-15</v>
      </c>
      <c r="N27" s="25">
        <v>-97</v>
      </c>
      <c r="O27" s="25"/>
      <c r="P27" s="25">
        <f t="shared" si="10"/>
        <v>28.6</v>
      </c>
      <c r="Q27" s="25">
        <f t="shared" si="10"/>
        <v>-45.1</v>
      </c>
      <c r="R27" s="25">
        <f t="shared" si="10"/>
        <v>93.500000000000014</v>
      </c>
      <c r="S27" s="25">
        <f t="shared" si="10"/>
        <v>-27.500000000000004</v>
      </c>
    </row>
    <row r="28" spans="2:19">
      <c r="B28" s="2" t="s">
        <v>48</v>
      </c>
      <c r="D28" s="24">
        <f>D23+SUM(D25:D27)</f>
        <v>-783</v>
      </c>
      <c r="E28" s="24">
        <f t="shared" ref="E28:S28" si="11">E23+SUM(E25:E27)</f>
        <v>-731</v>
      </c>
      <c r="F28" s="24">
        <f t="shared" si="11"/>
        <v>270</v>
      </c>
      <c r="G28" s="24">
        <f t="shared" si="11"/>
        <v>197</v>
      </c>
      <c r="H28" s="24">
        <f t="shared" si="11"/>
        <v>-643</v>
      </c>
      <c r="I28" s="24">
        <f t="shared" si="11"/>
        <v>-368</v>
      </c>
      <c r="J28" s="24">
        <f t="shared" si="11"/>
        <v>175</v>
      </c>
      <c r="K28" s="24">
        <f t="shared" si="11"/>
        <v>174</v>
      </c>
      <c r="L28" s="24">
        <f t="shared" si="11"/>
        <v>71</v>
      </c>
      <c r="M28" s="24">
        <f t="shared" si="11"/>
        <v>150</v>
      </c>
      <c r="N28" s="24">
        <f t="shared" si="11"/>
        <v>507</v>
      </c>
      <c r="O28" s="24">
        <f t="shared" si="11"/>
        <v>0</v>
      </c>
      <c r="P28" s="24" t="e">
        <f t="shared" si="11"/>
        <v>#REF!</v>
      </c>
      <c r="Q28" s="24" t="e">
        <f t="shared" si="11"/>
        <v>#REF!</v>
      </c>
      <c r="R28" s="24" t="e">
        <f t="shared" si="11"/>
        <v>#REF!</v>
      </c>
      <c r="S28" s="24" t="e">
        <f t="shared" si="11"/>
        <v>#REF!</v>
      </c>
    </row>
    <row r="29" spans="2:19" ht="15.75" thickBot="1">
      <c r="B29" s="1" t="s">
        <v>49</v>
      </c>
      <c r="D29" s="27">
        <v>6</v>
      </c>
      <c r="E29" s="27">
        <v>14</v>
      </c>
      <c r="F29" s="27">
        <v>17</v>
      </c>
      <c r="G29" s="27">
        <v>19</v>
      </c>
      <c r="H29" s="27">
        <v>23</v>
      </c>
      <c r="I29" s="27">
        <v>19</v>
      </c>
      <c r="J29" s="27">
        <v>26</v>
      </c>
      <c r="K29" s="27">
        <v>42</v>
      </c>
      <c r="L29" s="27">
        <v>2</v>
      </c>
      <c r="M29" s="27">
        <v>21</v>
      </c>
      <c r="N29" s="27">
        <v>170</v>
      </c>
      <c r="O29" s="27"/>
      <c r="P29" s="27">
        <f t="shared" ref="P29:S29" si="12">H29*1.1</f>
        <v>25.3</v>
      </c>
      <c r="Q29" s="27">
        <f t="shared" si="12"/>
        <v>20.900000000000002</v>
      </c>
      <c r="R29" s="27">
        <f t="shared" si="12"/>
        <v>28.6</v>
      </c>
      <c r="S29" s="27">
        <f t="shared" si="12"/>
        <v>46.2</v>
      </c>
    </row>
    <row r="30" spans="2:19">
      <c r="B30" s="1" t="s">
        <v>50</v>
      </c>
      <c r="D30" s="26">
        <f>D28-D29</f>
        <v>-789</v>
      </c>
      <c r="E30" s="26">
        <f t="shared" ref="E30:S30" si="13">E28-E29</f>
        <v>-745</v>
      </c>
      <c r="F30" s="26">
        <f t="shared" si="13"/>
        <v>253</v>
      </c>
      <c r="G30" s="26">
        <f t="shared" si="13"/>
        <v>178</v>
      </c>
      <c r="H30" s="26">
        <f t="shared" si="13"/>
        <v>-666</v>
      </c>
      <c r="I30" s="26">
        <f t="shared" si="13"/>
        <v>-387</v>
      </c>
      <c r="J30" s="26">
        <f t="shared" si="13"/>
        <v>149</v>
      </c>
      <c r="K30" s="26">
        <f t="shared" si="13"/>
        <v>132</v>
      </c>
      <c r="L30" s="26">
        <f t="shared" si="13"/>
        <v>69</v>
      </c>
      <c r="M30" s="26">
        <f t="shared" si="13"/>
        <v>129</v>
      </c>
      <c r="N30" s="26">
        <f t="shared" si="13"/>
        <v>337</v>
      </c>
      <c r="O30" s="26"/>
      <c r="P30" s="26" t="e">
        <f t="shared" si="13"/>
        <v>#REF!</v>
      </c>
      <c r="Q30" s="26" t="e">
        <f t="shared" si="13"/>
        <v>#REF!</v>
      </c>
      <c r="R30" s="26" t="e">
        <f t="shared" si="13"/>
        <v>#REF!</v>
      </c>
      <c r="S30" s="26" t="e">
        <f t="shared" si="13"/>
        <v>#REF!</v>
      </c>
    </row>
    <row r="31" spans="2:19">
      <c r="B31" s="1" t="s">
        <v>51</v>
      </c>
      <c r="D31" s="23">
        <v>-75</v>
      </c>
      <c r="E31" s="23">
        <v>-25</v>
      </c>
      <c r="F31" s="23">
        <v>-57</v>
      </c>
      <c r="G31" s="23">
        <v>71</v>
      </c>
      <c r="H31" s="23">
        <v>34</v>
      </c>
      <c r="I31" s="23">
        <v>19</v>
      </c>
      <c r="J31" s="23">
        <v>7</v>
      </c>
      <c r="K31" s="23">
        <v>27</v>
      </c>
      <c r="L31" s="23">
        <v>52</v>
      </c>
      <c r="M31" s="23">
        <v>25</v>
      </c>
      <c r="N31" s="23">
        <v>69</v>
      </c>
      <c r="O31" s="23"/>
      <c r="P31" s="23">
        <f t="shared" ref="P31:S31" si="14">H31*1.1</f>
        <v>37.400000000000006</v>
      </c>
      <c r="Q31" s="23">
        <f t="shared" si="14"/>
        <v>20.900000000000002</v>
      </c>
      <c r="R31" s="23">
        <f t="shared" si="14"/>
        <v>7.7000000000000011</v>
      </c>
      <c r="S31" s="23">
        <f t="shared" si="14"/>
        <v>29.700000000000003</v>
      </c>
    </row>
    <row r="32" spans="2:19">
      <c r="B32" s="1" t="s">
        <v>52</v>
      </c>
      <c r="D32" s="28">
        <f>D30-D31</f>
        <v>-714</v>
      </c>
      <c r="E32" s="28">
        <f t="shared" ref="E32:S32" si="15">E30-E31</f>
        <v>-720</v>
      </c>
      <c r="F32" s="28">
        <f t="shared" si="15"/>
        <v>310</v>
      </c>
      <c r="G32" s="28">
        <f t="shared" si="15"/>
        <v>107</v>
      </c>
      <c r="H32" s="28">
        <f t="shared" si="15"/>
        <v>-700</v>
      </c>
      <c r="I32" s="28">
        <f t="shared" si="15"/>
        <v>-406</v>
      </c>
      <c r="J32" s="28">
        <f t="shared" si="15"/>
        <v>142</v>
      </c>
      <c r="K32" s="28">
        <f t="shared" si="15"/>
        <v>105</v>
      </c>
      <c r="L32" s="28">
        <f t="shared" si="15"/>
        <v>17</v>
      </c>
      <c r="M32" s="28">
        <f t="shared" si="15"/>
        <v>104</v>
      </c>
      <c r="N32" s="28">
        <f t="shared" si="15"/>
        <v>268</v>
      </c>
      <c r="O32" s="28"/>
      <c r="P32" s="28" t="e">
        <f t="shared" si="15"/>
        <v>#REF!</v>
      </c>
      <c r="Q32" s="28" t="e">
        <f t="shared" si="15"/>
        <v>#REF!</v>
      </c>
      <c r="R32" s="28" t="e">
        <f t="shared" si="15"/>
        <v>#REF!</v>
      </c>
      <c r="S32" s="28" t="e">
        <f t="shared" si="15"/>
        <v>#REF!</v>
      </c>
    </row>
    <row r="33" spans="2:19">
      <c r="E33" s="48">
        <f>E34/D34-1</f>
        <v>3.9119804400977953E-2</v>
      </c>
      <c r="F33" s="48">
        <f t="shared" ref="F33:N33" si="16">F34/E34-1</f>
        <v>4.8235294117647154E-2</v>
      </c>
      <c r="G33" s="48">
        <f t="shared" si="16"/>
        <v>-3.3670033670033628E-2</v>
      </c>
      <c r="H33" s="48">
        <f t="shared" si="16"/>
        <v>4.6457607433216808E-3</v>
      </c>
      <c r="I33" s="48">
        <f t="shared" si="16"/>
        <v>2.0809248554913395E-2</v>
      </c>
      <c r="J33" s="48">
        <f t="shared" si="16"/>
        <v>1.3590033975084959E-2</v>
      </c>
      <c r="K33" s="48">
        <f t="shared" si="16"/>
        <v>1.1173184357541999E-2</v>
      </c>
      <c r="L33" s="48">
        <f t="shared" si="16"/>
        <v>1.2154696132596676E-2</v>
      </c>
      <c r="M33" s="48">
        <f t="shared" si="16"/>
        <v>1.3100436681222627E-2</v>
      </c>
      <c r="N33" s="48">
        <f t="shared" si="16"/>
        <v>9.6982758620689502E-3</v>
      </c>
    </row>
    <row r="34" spans="2:19">
      <c r="B34" s="1" t="s">
        <v>53</v>
      </c>
      <c r="D34" s="3">
        <v>818</v>
      </c>
      <c r="E34" s="3">
        <v>850</v>
      </c>
      <c r="F34" s="3">
        <v>891</v>
      </c>
      <c r="G34" s="3">
        <v>861</v>
      </c>
      <c r="H34" s="3">
        <v>865</v>
      </c>
      <c r="I34" s="3">
        <v>883</v>
      </c>
      <c r="J34" s="3">
        <v>895</v>
      </c>
      <c r="K34" s="1">
        <v>905</v>
      </c>
      <c r="L34" s="1">
        <v>916</v>
      </c>
      <c r="M34" s="1">
        <v>928</v>
      </c>
      <c r="N34" s="1">
        <v>937</v>
      </c>
      <c r="O34" s="49">
        <f>N34*1.01</f>
        <v>946.37</v>
      </c>
      <c r="P34" s="49">
        <f>O34*1.01</f>
        <v>955.83370000000002</v>
      </c>
      <c r="Q34" s="49">
        <f>P34*1.01</f>
        <v>965.39203700000007</v>
      </c>
      <c r="R34" s="49">
        <f>Q34*1.01</f>
        <v>975.04595737000011</v>
      </c>
      <c r="S34" s="49">
        <f>R34*1.01</f>
        <v>984.79641694370014</v>
      </c>
    </row>
    <row r="35" spans="2:19">
      <c r="B35" s="1" t="s">
        <v>56</v>
      </c>
      <c r="D35" s="29">
        <f t="shared" ref="D35:S35" si="17">IFERROR(D32/D34,"")</f>
        <v>-0.87286063569682149</v>
      </c>
      <c r="E35" s="29">
        <f t="shared" si="17"/>
        <v>-0.84705882352941175</v>
      </c>
      <c r="F35" s="29">
        <f t="shared" si="17"/>
        <v>0.34792368125701462</v>
      </c>
      <c r="G35" s="29">
        <f t="shared" si="17"/>
        <v>0.12427409988385599</v>
      </c>
      <c r="H35" s="29">
        <f t="shared" si="17"/>
        <v>-0.80924855491329484</v>
      </c>
      <c r="I35" s="29">
        <f t="shared" si="17"/>
        <v>-0.45979614949037373</v>
      </c>
      <c r="J35" s="29">
        <f t="shared" si="17"/>
        <v>0.15865921787709497</v>
      </c>
      <c r="K35" s="29">
        <f t="shared" si="17"/>
        <v>0.11602209944751381</v>
      </c>
      <c r="L35" s="29">
        <f t="shared" si="17"/>
        <v>1.8558951965065504E-2</v>
      </c>
      <c r="M35" s="29">
        <f t="shared" si="17"/>
        <v>0.11206896551724138</v>
      </c>
      <c r="N35" s="29">
        <f t="shared" si="17"/>
        <v>0.28601921024546423</v>
      </c>
      <c r="O35" s="29">
        <f t="shared" si="17"/>
        <v>0</v>
      </c>
      <c r="P35" s="29" t="str">
        <f t="shared" si="17"/>
        <v/>
      </c>
      <c r="Q35" s="29" t="str">
        <f t="shared" si="17"/>
        <v/>
      </c>
      <c r="R35" s="29" t="str">
        <f t="shared" si="17"/>
        <v/>
      </c>
      <c r="S35" s="29" t="str">
        <f t="shared" si="17"/>
        <v/>
      </c>
    </row>
    <row r="36" spans="2:19">
      <c r="B36" s="1" t="s">
        <v>54</v>
      </c>
      <c r="D36" s="3">
        <v>853</v>
      </c>
      <c r="E36" s="3">
        <v>885</v>
      </c>
      <c r="F36" s="3">
        <v>926</v>
      </c>
      <c r="G36" s="3">
        <v>896</v>
      </c>
      <c r="H36" s="3">
        <v>900</v>
      </c>
      <c r="I36" s="3">
        <v>918</v>
      </c>
      <c r="J36" s="3">
        <v>930</v>
      </c>
      <c r="K36" s="1">
        <v>940</v>
      </c>
      <c r="L36" s="1">
        <v>996</v>
      </c>
      <c r="M36" s="1">
        <v>1036</v>
      </c>
      <c r="N36" s="1">
        <v>1105</v>
      </c>
      <c r="O36" s="49">
        <f t="shared" ref="O36:S36" si="18">N36*1.01</f>
        <v>1116.05</v>
      </c>
      <c r="P36" s="49">
        <f t="shared" si="18"/>
        <v>1127.2104999999999</v>
      </c>
      <c r="Q36" s="49">
        <f t="shared" si="18"/>
        <v>1138.4826049999999</v>
      </c>
      <c r="R36" s="49">
        <f t="shared" si="18"/>
        <v>1149.8674310499998</v>
      </c>
      <c r="S36" s="49">
        <f t="shared" si="18"/>
        <v>1161.3661053604999</v>
      </c>
    </row>
    <row r="37" spans="2:19">
      <c r="B37" s="1" t="s">
        <v>55</v>
      </c>
      <c r="D37" s="29">
        <f>IFERROR(D32/D36,"")</f>
        <v>-0.83704572098475971</v>
      </c>
      <c r="E37" s="29">
        <f t="shared" ref="E37:S37" si="19">IFERROR(E32/E36,"")</f>
        <v>-0.81355932203389836</v>
      </c>
      <c r="F37" s="29">
        <f t="shared" si="19"/>
        <v>0.33477321814254862</v>
      </c>
      <c r="G37" s="29">
        <f t="shared" si="19"/>
        <v>0.11941964285714286</v>
      </c>
      <c r="H37" s="29">
        <f t="shared" si="19"/>
        <v>-0.77777777777777779</v>
      </c>
      <c r="I37" s="29">
        <f t="shared" si="19"/>
        <v>-0.44226579520697168</v>
      </c>
      <c r="J37" s="29">
        <f t="shared" si="19"/>
        <v>0.15268817204301074</v>
      </c>
      <c r="K37" s="29">
        <f t="shared" si="19"/>
        <v>0.11170212765957446</v>
      </c>
      <c r="L37" s="29">
        <f t="shared" si="19"/>
        <v>1.7068273092369479E-2</v>
      </c>
      <c r="M37" s="29">
        <f t="shared" si="19"/>
        <v>0.10038610038610038</v>
      </c>
      <c r="N37" s="29">
        <f t="shared" si="19"/>
        <v>0.24253393665158371</v>
      </c>
      <c r="O37" s="29">
        <f t="shared" si="19"/>
        <v>0</v>
      </c>
      <c r="P37" s="29" t="str">
        <f t="shared" si="19"/>
        <v/>
      </c>
      <c r="Q37" s="29" t="str">
        <f t="shared" si="19"/>
        <v/>
      </c>
      <c r="R37" s="29" t="str">
        <f t="shared" si="19"/>
        <v/>
      </c>
      <c r="S37" s="29" t="str">
        <f t="shared" si="19"/>
        <v/>
      </c>
    </row>
    <row r="39" spans="2:19">
      <c r="B39" s="41" t="s">
        <v>57</v>
      </c>
      <c r="C39" s="42"/>
      <c r="D39" s="43">
        <f>IFERROR(1-D12/D7,"")</f>
        <v>0.19744058500914075</v>
      </c>
      <c r="E39" s="43">
        <f t="shared" ref="E39:S39" si="20">IFERROR(1-E12/E7,"")</f>
        <v>0.20524277628835275</v>
      </c>
      <c r="F39" s="43">
        <f t="shared" si="20"/>
        <v>0.25795342735323057</v>
      </c>
      <c r="G39" s="43">
        <f t="shared" si="20"/>
        <v>0.24331334089803858</v>
      </c>
      <c r="H39" s="43">
        <f t="shared" si="20"/>
        <v>0.20166487647690656</v>
      </c>
      <c r="I39" s="43">
        <f t="shared" si="20"/>
        <v>0.18883720930232561</v>
      </c>
      <c r="J39" s="43">
        <f t="shared" si="20"/>
        <v>0.22828320567905847</v>
      </c>
      <c r="K39" s="43">
        <f t="shared" si="20"/>
        <v>0.22518844221105527</v>
      </c>
      <c r="L39" s="43">
        <f t="shared" si="20"/>
        <v>0.2554559625876851</v>
      </c>
      <c r="M39" s="43">
        <f t="shared" si="20"/>
        <v>0.25429619617686816</v>
      </c>
      <c r="N39" s="43">
        <f t="shared" si="20"/>
        <v>0.27657338063329395</v>
      </c>
      <c r="O39" s="43" t="str">
        <f t="shared" si="20"/>
        <v/>
      </c>
      <c r="P39" s="43" t="str">
        <f t="shared" si="20"/>
        <v/>
      </c>
      <c r="Q39" s="43" t="str">
        <f t="shared" si="20"/>
        <v/>
      </c>
      <c r="R39" s="43" t="str">
        <f t="shared" si="20"/>
        <v/>
      </c>
      <c r="S39" s="43" t="str">
        <f t="shared" si="20"/>
        <v/>
      </c>
    </row>
    <row r="40" spans="2:19">
      <c r="B40" s="41" t="s">
        <v>73</v>
      </c>
      <c r="C40" s="42"/>
      <c r="D40" s="43">
        <f>IFERROR(1-D12/D5,"")</f>
        <v>0.19744058500914075</v>
      </c>
      <c r="E40" s="43">
        <f t="shared" ref="E40:S40" si="21">IFERROR(1-E12/E5,"")</f>
        <v>0.20524277628835275</v>
      </c>
      <c r="F40" s="43">
        <f t="shared" si="21"/>
        <v>0.25795342735323057</v>
      </c>
      <c r="G40" s="43">
        <f t="shared" si="21"/>
        <v>0.24331334089803858</v>
      </c>
      <c r="H40" s="43">
        <f t="shared" si="21"/>
        <v>0.20166487647690656</v>
      </c>
      <c r="I40" s="43">
        <f t="shared" si="21"/>
        <v>0.18883720930232561</v>
      </c>
      <c r="J40" s="43">
        <f t="shared" si="21"/>
        <v>0.22828320567905847</v>
      </c>
      <c r="K40" s="43">
        <f t="shared" si="21"/>
        <v>0.22518844221105527</v>
      </c>
      <c r="L40" s="43">
        <f t="shared" si="21"/>
        <v>0.2554559625876851</v>
      </c>
      <c r="M40" s="43">
        <f t="shared" si="21"/>
        <v>0.25429619617686816</v>
      </c>
      <c r="N40" s="43">
        <f t="shared" si="21"/>
        <v>0.27657338063329395</v>
      </c>
      <c r="O40" s="43" t="str">
        <f t="shared" si="21"/>
        <v/>
      </c>
      <c r="P40" s="43" t="str">
        <f t="shared" si="21"/>
        <v/>
      </c>
      <c r="Q40" s="43" t="str">
        <f t="shared" si="21"/>
        <v/>
      </c>
      <c r="R40" s="43" t="str">
        <f t="shared" si="21"/>
        <v/>
      </c>
      <c r="S40" s="43" t="str">
        <f t="shared" si="21"/>
        <v/>
      </c>
    </row>
    <row r="42" spans="2:19">
      <c r="B42" s="1" t="s">
        <v>58</v>
      </c>
      <c r="D42" s="14">
        <f>IFERROR(D12/D5,"")</f>
        <v>0.80255941499085925</v>
      </c>
      <c r="E42" s="14">
        <f t="shared" ref="E42:S42" si="22">IFERROR(E12/E5,"")</f>
        <v>0.79475722371164725</v>
      </c>
      <c r="F42" s="14">
        <f t="shared" si="22"/>
        <v>0.74204657264676943</v>
      </c>
      <c r="G42" s="14">
        <f t="shared" si="22"/>
        <v>0.75668665910196142</v>
      </c>
      <c r="H42" s="14">
        <f t="shared" si="22"/>
        <v>0.79833512352309344</v>
      </c>
      <c r="I42" s="14">
        <f t="shared" si="22"/>
        <v>0.81116279069767439</v>
      </c>
      <c r="J42" s="14">
        <f t="shared" si="22"/>
        <v>0.77171679432094153</v>
      </c>
      <c r="K42" s="14">
        <f t="shared" si="22"/>
        <v>0.77481155778894473</v>
      </c>
      <c r="L42" s="14">
        <f t="shared" si="22"/>
        <v>0.7445440374123149</v>
      </c>
      <c r="M42" s="14">
        <f t="shared" si="22"/>
        <v>0.74570380382313184</v>
      </c>
      <c r="N42" s="14">
        <f t="shared" si="22"/>
        <v>0.72342661936670605</v>
      </c>
      <c r="O42" s="14" t="str">
        <f t="shared" si="22"/>
        <v/>
      </c>
      <c r="P42" s="14" t="str">
        <f t="shared" si="22"/>
        <v/>
      </c>
      <c r="Q42" s="14" t="str">
        <f t="shared" si="22"/>
        <v/>
      </c>
      <c r="R42" s="14" t="str">
        <f t="shared" si="22"/>
        <v/>
      </c>
      <c r="S42" s="14" t="str">
        <f t="shared" si="22"/>
        <v/>
      </c>
    </row>
    <row r="43" spans="2:19">
      <c r="B43" s="1" t="s">
        <v>32</v>
      </c>
      <c r="D43" s="14">
        <f>IFERROR(D13/D8,"")</f>
        <v>0.92439024390243907</v>
      </c>
      <c r="E43" s="14">
        <f t="shared" ref="E43:S45" si="23">IFERROR(E13/E8,"")</f>
        <v>0.88235294117647056</v>
      </c>
      <c r="F43" s="14">
        <f t="shared" si="23"/>
        <v>0.82957393483709274</v>
      </c>
      <c r="G43" s="14">
        <f t="shared" si="23"/>
        <v>0.88172043010752688</v>
      </c>
      <c r="H43" s="14">
        <f t="shared" si="23"/>
        <v>0.97530864197530864</v>
      </c>
      <c r="I43" s="14">
        <f t="shared" si="23"/>
        <v>0.87533875338753386</v>
      </c>
      <c r="J43" s="14">
        <f t="shared" si="23"/>
        <v>0.78109452736318408</v>
      </c>
      <c r="K43" s="14">
        <f t="shared" si="23"/>
        <v>0.8830275229357798</v>
      </c>
      <c r="L43" s="14">
        <f t="shared" si="23"/>
        <v>0.96245733788395904</v>
      </c>
      <c r="M43" s="14">
        <f t="shared" si="23"/>
        <v>0.94324324324324327</v>
      </c>
      <c r="N43" s="14">
        <f t="shared" si="23"/>
        <v>0.96373056994818651</v>
      </c>
      <c r="O43" s="14" t="str">
        <f t="shared" si="23"/>
        <v/>
      </c>
      <c r="P43" s="14">
        <f t="shared" si="23"/>
        <v>0.97530864197530864</v>
      </c>
      <c r="Q43" s="14">
        <f t="shared" si="23"/>
        <v>0.87533875338753386</v>
      </c>
      <c r="R43" s="14">
        <f t="shared" si="23"/>
        <v>0.78109452736318408</v>
      </c>
      <c r="S43" s="14">
        <f t="shared" si="23"/>
        <v>0.88302752293577991</v>
      </c>
    </row>
    <row r="44" spans="2:19">
      <c r="B44" s="1" t="s">
        <v>33</v>
      </c>
      <c r="D44" s="31">
        <f>IFERROR(D14/D9,"")</f>
        <v>1.4486692015209126</v>
      </c>
      <c r="E44" s="31">
        <f t="shared" si="23"/>
        <v>1.4296296296296296</v>
      </c>
      <c r="F44" s="31">
        <f t="shared" si="23"/>
        <v>1.3650306748466257</v>
      </c>
      <c r="G44" s="31">
        <f t="shared" si="23"/>
        <v>1.2580037664783428</v>
      </c>
      <c r="H44" s="31">
        <f t="shared" si="23"/>
        <v>1.3914807302231238</v>
      </c>
      <c r="I44" s="31">
        <f t="shared" si="23"/>
        <v>1.228099173553719</v>
      </c>
      <c r="J44" s="31">
        <f t="shared" si="23"/>
        <v>1.2193784277879343</v>
      </c>
      <c r="K44" s="31">
        <f t="shared" si="23"/>
        <v>1.1620689655172414</v>
      </c>
      <c r="L44" s="31">
        <f t="shared" si="23"/>
        <v>1.1553571428571427</v>
      </c>
      <c r="M44" s="31">
        <f t="shared" si="23"/>
        <v>1.1457905544147844</v>
      </c>
      <c r="N44" s="31">
        <f t="shared" si="23"/>
        <v>1.1084337349397591</v>
      </c>
      <c r="O44" s="31" t="str">
        <f t="shared" si="23"/>
        <v/>
      </c>
      <c r="P44" s="31">
        <f t="shared" si="23"/>
        <v>1.3914807302231236</v>
      </c>
      <c r="Q44" s="31">
        <f t="shared" si="23"/>
        <v>1.228099173553719</v>
      </c>
      <c r="R44" s="31">
        <f t="shared" si="23"/>
        <v>1.2193784277879343</v>
      </c>
      <c r="S44" s="31">
        <f t="shared" si="23"/>
        <v>1.1620689655172416</v>
      </c>
    </row>
    <row r="45" spans="2:19">
      <c r="B45" s="1" t="s">
        <v>59</v>
      </c>
      <c r="D45" s="14">
        <f>IFERROR(D15/D10,"")</f>
        <v>0.86707746478873238</v>
      </c>
      <c r="E45" s="14">
        <f t="shared" si="23"/>
        <v>0.84578855286178456</v>
      </c>
      <c r="F45" s="14">
        <f t="shared" si="23"/>
        <v>0.77693096878206069</v>
      </c>
      <c r="G45" s="14">
        <f t="shared" si="23"/>
        <v>0.80090497737556565</v>
      </c>
      <c r="H45" s="14">
        <f t="shared" si="23"/>
        <v>0.87535785069367977</v>
      </c>
      <c r="I45" s="14">
        <f t="shared" si="23"/>
        <v>0.85462277524019525</v>
      </c>
      <c r="J45" s="14">
        <f t="shared" si="23"/>
        <v>0.81117105680736279</v>
      </c>
      <c r="K45" s="14">
        <f t="shared" si="23"/>
        <v>0.81161971830985913</v>
      </c>
      <c r="L45" s="14">
        <f t="shared" si="23"/>
        <v>0.79365079365079361</v>
      </c>
      <c r="M45" s="14">
        <f t="shared" si="23"/>
        <v>0.79009277667329358</v>
      </c>
      <c r="N45" s="14">
        <f t="shared" si="23"/>
        <v>0.76479306806521496</v>
      </c>
      <c r="O45" s="14" t="str">
        <f t="shared" si="23"/>
        <v/>
      </c>
      <c r="P45" s="14" t="str">
        <f t="shared" si="23"/>
        <v/>
      </c>
      <c r="Q45" s="14" t="str">
        <f t="shared" si="23"/>
        <v/>
      </c>
      <c r="R45" s="14" t="str">
        <f t="shared" si="23"/>
        <v/>
      </c>
      <c r="S45" s="14" t="str">
        <f t="shared" si="23"/>
        <v/>
      </c>
    </row>
    <row r="46" spans="2:19">
      <c r="B46" s="1" t="s">
        <v>37</v>
      </c>
      <c r="D46" s="30">
        <f>IFERROR(1-D45,"")</f>
        <v>0.13292253521126762</v>
      </c>
      <c r="E46" s="30">
        <f t="shared" ref="E46:S46" si="24">IFERROR(1-E45,"")</f>
        <v>0.15421144713821544</v>
      </c>
      <c r="F46" s="30">
        <f t="shared" si="24"/>
        <v>0.22306903121793931</v>
      </c>
      <c r="G46" s="30">
        <f t="shared" si="24"/>
        <v>0.19909502262443435</v>
      </c>
      <c r="H46" s="30">
        <f t="shared" si="24"/>
        <v>0.12464214930632023</v>
      </c>
      <c r="I46" s="30">
        <f t="shared" si="24"/>
        <v>0.14537722475980475</v>
      </c>
      <c r="J46" s="30">
        <f t="shared" si="24"/>
        <v>0.18882894319263721</v>
      </c>
      <c r="K46" s="30">
        <f t="shared" si="24"/>
        <v>0.18838028169014087</v>
      </c>
      <c r="L46" s="30">
        <f t="shared" si="24"/>
        <v>0.20634920634920639</v>
      </c>
      <c r="M46" s="30">
        <f t="shared" si="24"/>
        <v>0.20990722332670642</v>
      </c>
      <c r="N46" s="30">
        <f t="shared" si="24"/>
        <v>0.23520693193478504</v>
      </c>
      <c r="O46" s="30" t="str">
        <f t="shared" si="24"/>
        <v/>
      </c>
      <c r="P46" s="30" t="str">
        <f t="shared" si="24"/>
        <v/>
      </c>
      <c r="Q46" s="30" t="str">
        <f t="shared" si="24"/>
        <v/>
      </c>
      <c r="R46" s="30" t="str">
        <f t="shared" si="24"/>
        <v/>
      </c>
      <c r="S46" s="30" t="str">
        <f t="shared" si="24"/>
        <v/>
      </c>
    </row>
  </sheetData>
  <mergeCells count="4">
    <mergeCell ref="D1:G1"/>
    <mergeCell ref="H1:K1"/>
    <mergeCell ref="L1:O1"/>
    <mergeCell ref="P1:S1"/>
  </mergeCells>
  <pageMargins left="0.7" right="0.7" top="0.75" bottom="0.75" header="0.3" footer="0.3"/>
  <ignoredErrors>
    <ignoredError sqref="I28:S3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5698-F042-482B-8953-F3F74812771F}">
  <dimension ref="A2:S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6" sqref="T6"/>
    </sheetView>
  </sheetViews>
  <sheetFormatPr defaultRowHeight="15" outlineLevelCol="1"/>
  <cols>
    <col min="1" max="1" width="44.42578125" style="97" bestFit="1" customWidth="1"/>
    <col min="2" max="2" width="9.140625" style="79"/>
    <col min="3" max="9" width="13.7109375" style="79" hidden="1" customWidth="1" outlineLevel="1"/>
    <col min="10" max="10" width="15.7109375" style="79" customWidth="1" collapsed="1"/>
    <col min="11" max="19" width="15.7109375" style="79" customWidth="1"/>
    <col min="20" max="16384" width="9.140625" style="79"/>
  </cols>
  <sheetData>
    <row r="2" spans="1:19">
      <c r="C2" s="79">
        <v>2009</v>
      </c>
      <c r="D2" s="79">
        <v>2010</v>
      </c>
      <c r="E2" s="79">
        <v>2011</v>
      </c>
      <c r="F2" s="79">
        <v>2012</v>
      </c>
      <c r="G2" s="79">
        <v>2013</v>
      </c>
      <c r="H2" s="79">
        <v>2014</v>
      </c>
      <c r="I2" s="79">
        <v>2015</v>
      </c>
      <c r="J2" s="79">
        <v>2016</v>
      </c>
      <c r="K2" s="79">
        <v>2017</v>
      </c>
      <c r="L2" s="79">
        <v>2018</v>
      </c>
      <c r="M2" s="79">
        <v>2019</v>
      </c>
      <c r="N2" s="79">
        <v>2020</v>
      </c>
      <c r="O2" s="79">
        <v>2021</v>
      </c>
      <c r="P2" s="79">
        <v>2022</v>
      </c>
      <c r="Q2" s="79">
        <v>2023</v>
      </c>
      <c r="R2" s="79">
        <v>2024</v>
      </c>
      <c r="S2" s="79">
        <v>2025</v>
      </c>
    </row>
    <row r="4" spans="1:19" s="86" customFormat="1" ht="18.75">
      <c r="A4" s="86" t="s">
        <v>138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</row>
    <row r="5" spans="1:19" s="86" customFormat="1" ht="18.75">
      <c r="A5" s="98" t="s">
        <v>162</v>
      </c>
      <c r="C5" s="84"/>
      <c r="D5" s="84"/>
      <c r="E5" s="84"/>
      <c r="F5" s="84"/>
      <c r="G5" s="84"/>
      <c r="H5" s="84"/>
      <c r="I5" s="84"/>
      <c r="J5" s="84"/>
      <c r="K5" s="84"/>
      <c r="L5" s="84">
        <v>245491</v>
      </c>
      <c r="M5" s="84">
        <v>367656</v>
      </c>
      <c r="N5" s="84">
        <v>502159</v>
      </c>
      <c r="O5" s="88">
        <f>+'Production 2020-2030'!M9</f>
        <v>1062500</v>
      </c>
      <c r="P5" s="88">
        <f>+'Production 2020-2030'!N9</f>
        <v>1806250</v>
      </c>
      <c r="Q5" s="88">
        <f>+'Production 2020-2030'!O9</f>
        <v>2953750</v>
      </c>
      <c r="R5" s="88">
        <f>+'Production 2020-2030'!P9</f>
        <v>4675000</v>
      </c>
      <c r="S5" s="88">
        <f>+'Production 2020-2030'!Q9</f>
        <v>7437500</v>
      </c>
    </row>
    <row r="6" spans="1:19">
      <c r="A6" s="97" t="s">
        <v>31</v>
      </c>
      <c r="C6" s="83">
        <v>111943</v>
      </c>
      <c r="D6" s="83">
        <v>97078</v>
      </c>
      <c r="E6" s="83">
        <v>148568</v>
      </c>
      <c r="F6" s="83">
        <v>385699</v>
      </c>
      <c r="G6" s="83">
        <v>1997786</v>
      </c>
      <c r="H6" s="83">
        <v>3007012</v>
      </c>
      <c r="I6" s="83">
        <v>3740973</v>
      </c>
      <c r="J6" s="83">
        <v>6350766</v>
      </c>
      <c r="K6" s="83">
        <v>9641300</v>
      </c>
      <c r="L6" s="83">
        <v>18515000</v>
      </c>
      <c r="M6" s="83">
        <v>20821000</v>
      </c>
      <c r="N6" s="83">
        <v>27236000</v>
      </c>
      <c r="O6" s="89">
        <f>+O30*O5/1000</f>
        <v>53125000</v>
      </c>
      <c r="P6" s="89">
        <f t="shared" ref="P6:S6" si="0">+P30*P5/1000</f>
        <v>72250000</v>
      </c>
      <c r="Q6" s="89">
        <f t="shared" si="0"/>
        <v>103381250</v>
      </c>
      <c r="R6" s="89">
        <f t="shared" si="0"/>
        <v>140250000</v>
      </c>
      <c r="S6" s="89">
        <f t="shared" si="0"/>
        <v>223125000</v>
      </c>
    </row>
    <row r="7" spans="1:19">
      <c r="A7" s="99" t="s">
        <v>139</v>
      </c>
      <c r="C7" s="83">
        <v>111943</v>
      </c>
      <c r="D7" s="83">
        <v>116744</v>
      </c>
      <c r="E7" s="83">
        <v>204242</v>
      </c>
      <c r="F7" s="83">
        <v>413256</v>
      </c>
      <c r="G7" s="83">
        <v>2013496</v>
      </c>
      <c r="H7" s="83">
        <v>3198356</v>
      </c>
      <c r="I7" s="83">
        <v>4046025</v>
      </c>
      <c r="J7" s="84">
        <v>7000132</v>
      </c>
      <c r="K7" s="84">
        <v>11758751</v>
      </c>
      <c r="L7" s="84">
        <v>21461000</v>
      </c>
      <c r="M7" s="84">
        <v>24578000</v>
      </c>
      <c r="N7" s="84">
        <v>31536000</v>
      </c>
      <c r="O7" s="88">
        <f>+SUM(O6)*1.1</f>
        <v>58437500.000000007</v>
      </c>
      <c r="P7" s="88">
        <f t="shared" ref="P7:S7" si="1">+SUM(P6)*1.1</f>
        <v>79475000</v>
      </c>
      <c r="Q7" s="88">
        <f t="shared" si="1"/>
        <v>113719375.00000001</v>
      </c>
      <c r="R7" s="88">
        <f t="shared" si="1"/>
        <v>154275000</v>
      </c>
      <c r="S7" s="88">
        <f t="shared" si="1"/>
        <v>245437500.00000003</v>
      </c>
    </row>
    <row r="8" spans="1:19">
      <c r="A8" s="99"/>
      <c r="C8" s="83"/>
      <c r="D8" s="83"/>
      <c r="E8" s="83"/>
      <c r="F8" s="83"/>
      <c r="G8" s="83"/>
      <c r="H8" s="83"/>
      <c r="I8" s="83"/>
      <c r="J8" s="81"/>
      <c r="K8" s="81"/>
      <c r="L8" s="81"/>
      <c r="M8" s="81"/>
      <c r="N8" s="81"/>
      <c r="O8" s="89"/>
      <c r="P8" s="89"/>
      <c r="Q8" s="89"/>
      <c r="R8" s="89"/>
      <c r="S8" s="89"/>
    </row>
    <row r="9" spans="1:19">
      <c r="A9" s="99" t="s">
        <v>140</v>
      </c>
      <c r="O9" s="90"/>
      <c r="P9" s="90"/>
      <c r="Q9" s="90"/>
      <c r="R9" s="90"/>
      <c r="S9" s="90"/>
    </row>
    <row r="10" spans="1:19">
      <c r="A10" s="97" t="s">
        <v>141</v>
      </c>
      <c r="C10" s="83">
        <v>102408</v>
      </c>
      <c r="D10" s="83">
        <v>79982</v>
      </c>
      <c r="E10" s="83">
        <v>115482</v>
      </c>
      <c r="F10" s="83">
        <v>371658</v>
      </c>
      <c r="G10" s="83">
        <v>1543878</v>
      </c>
      <c r="H10" s="83">
        <v>2145749</v>
      </c>
      <c r="I10" s="83">
        <v>2823302</v>
      </c>
      <c r="J10" s="83">
        <v>4750081</v>
      </c>
      <c r="K10" s="83">
        <v>7432704</v>
      </c>
      <c r="L10" s="83">
        <v>14174000</v>
      </c>
      <c r="M10" s="83">
        <v>16398000</v>
      </c>
      <c r="N10" s="83">
        <v>20259000</v>
      </c>
      <c r="O10" s="89">
        <f>+O11/1.1</f>
        <v>39843750</v>
      </c>
      <c r="P10" s="89">
        <f t="shared" ref="P10:S10" si="2">+P11/1.1</f>
        <v>54187499.999999993</v>
      </c>
      <c r="Q10" s="89">
        <f t="shared" si="2"/>
        <v>77535937.5</v>
      </c>
      <c r="R10" s="89">
        <f t="shared" si="2"/>
        <v>105187499.99999999</v>
      </c>
      <c r="S10" s="89">
        <f t="shared" si="2"/>
        <v>167343750</v>
      </c>
    </row>
    <row r="11" spans="1:19">
      <c r="A11" s="99" t="s">
        <v>142</v>
      </c>
      <c r="C11" s="83">
        <v>102408</v>
      </c>
      <c r="D11" s="83">
        <v>86013</v>
      </c>
      <c r="E11" s="83">
        <v>142647</v>
      </c>
      <c r="F11" s="83">
        <v>383189</v>
      </c>
      <c r="G11" s="83">
        <v>1557234</v>
      </c>
      <c r="H11" s="83">
        <v>2316685</v>
      </c>
      <c r="I11" s="83">
        <v>3122522</v>
      </c>
      <c r="J11" s="84">
        <v>5400875</v>
      </c>
      <c r="K11" s="84">
        <v>9536264</v>
      </c>
      <c r="L11" s="84">
        <v>17419000</v>
      </c>
      <c r="M11" s="84">
        <v>20509000</v>
      </c>
      <c r="N11" s="84">
        <v>24906000</v>
      </c>
      <c r="O11" s="88">
        <f>+O32*O7</f>
        <v>43828125.000000007</v>
      </c>
      <c r="P11" s="88">
        <f t="shared" ref="P11:S11" si="3">+P32*P7</f>
        <v>59606250</v>
      </c>
      <c r="Q11" s="88">
        <f t="shared" si="3"/>
        <v>85289531.250000015</v>
      </c>
      <c r="R11" s="88">
        <f t="shared" si="3"/>
        <v>115706250</v>
      </c>
      <c r="S11" s="88">
        <f t="shared" si="3"/>
        <v>184078125.00000003</v>
      </c>
    </row>
    <row r="12" spans="1:19">
      <c r="A12" s="99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9"/>
      <c r="P12" s="89"/>
      <c r="Q12" s="89"/>
      <c r="R12" s="89"/>
      <c r="S12" s="89"/>
    </row>
    <row r="13" spans="1:19">
      <c r="A13" s="99" t="s">
        <v>143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9"/>
      <c r="P13" s="89"/>
      <c r="Q13" s="89"/>
      <c r="R13" s="89"/>
      <c r="S13" s="89"/>
    </row>
    <row r="14" spans="1:19">
      <c r="A14" s="97" t="s">
        <v>146</v>
      </c>
      <c r="C14" s="83">
        <v>19282</v>
      </c>
      <c r="D14" s="83">
        <v>92996</v>
      </c>
      <c r="E14" s="83">
        <v>208981</v>
      </c>
      <c r="F14" s="83">
        <v>273978</v>
      </c>
      <c r="G14" s="83">
        <v>231976</v>
      </c>
      <c r="H14" s="83">
        <v>464700</v>
      </c>
      <c r="I14" s="83">
        <v>717900</v>
      </c>
      <c r="J14" s="83">
        <v>834408</v>
      </c>
      <c r="K14" s="83">
        <v>1378073</v>
      </c>
      <c r="L14" s="83">
        <v>1460000</v>
      </c>
      <c r="M14" s="83">
        <v>1343000</v>
      </c>
      <c r="N14" s="83">
        <v>1491000</v>
      </c>
      <c r="O14" s="89">
        <f>+O37*O7</f>
        <v>2629687.5000000005</v>
      </c>
      <c r="P14" s="89">
        <f t="shared" ref="P14:S14" si="4">+P37*P7</f>
        <v>3576375</v>
      </c>
      <c r="Q14" s="89">
        <f t="shared" si="4"/>
        <v>5117371.8750000009</v>
      </c>
      <c r="R14" s="89">
        <f t="shared" si="4"/>
        <v>6942375</v>
      </c>
      <c r="S14" s="89">
        <f t="shared" si="4"/>
        <v>11044687.500000002</v>
      </c>
    </row>
    <row r="15" spans="1:19">
      <c r="A15" s="97" t="s">
        <v>144</v>
      </c>
      <c r="C15" s="83">
        <v>42150</v>
      </c>
      <c r="D15" s="83">
        <v>84573</v>
      </c>
      <c r="E15" s="83">
        <v>104102</v>
      </c>
      <c r="F15" s="83">
        <v>150372</v>
      </c>
      <c r="G15" s="83">
        <v>285569</v>
      </c>
      <c r="H15" s="83">
        <v>603660</v>
      </c>
      <c r="I15" s="83">
        <v>922232</v>
      </c>
      <c r="J15" s="83">
        <v>1432189</v>
      </c>
      <c r="K15" s="83">
        <v>2476500</v>
      </c>
      <c r="L15" s="83">
        <v>2835000</v>
      </c>
      <c r="M15" s="83">
        <v>2646000</v>
      </c>
      <c r="N15" s="83">
        <v>3145000</v>
      </c>
      <c r="O15" s="89">
        <f>+O7*O38</f>
        <v>4675000.0000000009</v>
      </c>
      <c r="P15" s="89">
        <f t="shared" ref="P15:S15" si="5">+P7*P38</f>
        <v>6358000</v>
      </c>
      <c r="Q15" s="89">
        <f t="shared" si="5"/>
        <v>9097550.0000000019</v>
      </c>
      <c r="R15" s="89">
        <f t="shared" si="5"/>
        <v>12342000</v>
      </c>
      <c r="S15" s="89">
        <f t="shared" si="5"/>
        <v>19635000.000000004</v>
      </c>
    </row>
    <row r="16" spans="1:19">
      <c r="A16" s="97" t="s">
        <v>145</v>
      </c>
      <c r="C16" s="83">
        <v>0</v>
      </c>
      <c r="D16" s="83">
        <v>0</v>
      </c>
      <c r="E16" s="83">
        <v>0</v>
      </c>
      <c r="F16" s="83">
        <v>0</v>
      </c>
      <c r="G16" s="83">
        <v>0</v>
      </c>
      <c r="H16" s="83">
        <v>0</v>
      </c>
      <c r="I16" s="83">
        <v>0</v>
      </c>
      <c r="J16" s="83">
        <v>0</v>
      </c>
      <c r="K16" s="83">
        <v>0</v>
      </c>
      <c r="L16" s="83">
        <v>135000</v>
      </c>
      <c r="M16" s="83">
        <v>149000</v>
      </c>
      <c r="N16" s="83">
        <v>0</v>
      </c>
      <c r="O16" s="89">
        <f>+O7*O39</f>
        <v>584375.00000000012</v>
      </c>
      <c r="P16" s="89">
        <f t="shared" ref="P16:S16" si="6">+P7*P39</f>
        <v>794750</v>
      </c>
      <c r="Q16" s="89">
        <f t="shared" si="6"/>
        <v>1137193.7500000002</v>
      </c>
      <c r="R16" s="89">
        <f t="shared" si="6"/>
        <v>1542750</v>
      </c>
      <c r="S16" s="89">
        <f t="shared" si="6"/>
        <v>2454375.0000000005</v>
      </c>
    </row>
    <row r="17" spans="1:19">
      <c r="A17" s="99" t="s">
        <v>42</v>
      </c>
      <c r="C17" s="83">
        <f>+SUM(C14:C16)</f>
        <v>61432</v>
      </c>
      <c r="D17" s="83">
        <f t="shared" ref="D17:N17" si="7">+SUM(D14:D16)</f>
        <v>177569</v>
      </c>
      <c r="E17" s="83">
        <f t="shared" si="7"/>
        <v>313083</v>
      </c>
      <c r="F17" s="83">
        <f t="shared" si="7"/>
        <v>424350</v>
      </c>
      <c r="G17" s="83">
        <f t="shared" si="7"/>
        <v>517545</v>
      </c>
      <c r="H17" s="83">
        <f t="shared" si="7"/>
        <v>1068360</v>
      </c>
      <c r="I17" s="83">
        <f t="shared" si="7"/>
        <v>1640132</v>
      </c>
      <c r="J17" s="84">
        <f t="shared" si="7"/>
        <v>2266597</v>
      </c>
      <c r="K17" s="84">
        <f t="shared" si="7"/>
        <v>3854573</v>
      </c>
      <c r="L17" s="84">
        <f t="shared" si="7"/>
        <v>4430000</v>
      </c>
      <c r="M17" s="84">
        <f t="shared" si="7"/>
        <v>4138000</v>
      </c>
      <c r="N17" s="84">
        <f t="shared" si="7"/>
        <v>4636000</v>
      </c>
      <c r="O17" s="88">
        <f t="shared" ref="O17" si="8">+SUM(O14:O16)</f>
        <v>7889062.5000000019</v>
      </c>
      <c r="P17" s="88">
        <f t="shared" ref="P17" si="9">+SUM(P14:P16)</f>
        <v>10729125</v>
      </c>
      <c r="Q17" s="88">
        <f t="shared" ref="Q17" si="10">+SUM(Q14:Q16)</f>
        <v>15352115.625000004</v>
      </c>
      <c r="R17" s="88">
        <f t="shared" ref="R17" si="11">+SUM(R14:R16)</f>
        <v>20827125</v>
      </c>
      <c r="S17" s="88">
        <f t="shared" ref="S17" si="12">+SUM(S14:S16)</f>
        <v>33134062.500000007</v>
      </c>
    </row>
    <row r="18" spans="1:19" s="80" customFormat="1">
      <c r="A18" s="99" t="s">
        <v>151</v>
      </c>
      <c r="C18" s="85">
        <f>+C7-C11-C17</f>
        <v>-51897</v>
      </c>
      <c r="D18" s="85">
        <f t="shared" ref="D18:N18" si="13">+D7-D11-D17</f>
        <v>-146838</v>
      </c>
      <c r="E18" s="85">
        <f t="shared" si="13"/>
        <v>-251488</v>
      </c>
      <c r="F18" s="85">
        <f t="shared" si="13"/>
        <v>-394283</v>
      </c>
      <c r="G18" s="85">
        <f t="shared" si="13"/>
        <v>-61283</v>
      </c>
      <c r="H18" s="85">
        <f t="shared" si="13"/>
        <v>-186689</v>
      </c>
      <c r="I18" s="85">
        <f t="shared" si="13"/>
        <v>-716629</v>
      </c>
      <c r="J18" s="85">
        <f t="shared" si="13"/>
        <v>-667340</v>
      </c>
      <c r="K18" s="85">
        <f t="shared" si="13"/>
        <v>-1632086</v>
      </c>
      <c r="L18" s="85">
        <f t="shared" si="13"/>
        <v>-388000</v>
      </c>
      <c r="M18" s="85">
        <f t="shared" si="13"/>
        <v>-69000</v>
      </c>
      <c r="N18" s="85">
        <f t="shared" si="13"/>
        <v>1994000</v>
      </c>
      <c r="O18" s="91">
        <f t="shared" ref="O18" si="14">+O7-O11-O17</f>
        <v>6720312.4999999981</v>
      </c>
      <c r="P18" s="91">
        <f t="shared" ref="P18" si="15">+P7-P11-P17</f>
        <v>9139625</v>
      </c>
      <c r="Q18" s="91">
        <f t="shared" ref="Q18" si="16">+Q7-Q11-Q17</f>
        <v>13077728.124999996</v>
      </c>
      <c r="R18" s="91">
        <f t="shared" ref="R18" si="17">+R7-R11-R17</f>
        <v>17741625</v>
      </c>
      <c r="S18" s="91">
        <f t="shared" ref="S18" si="18">+S7-S11-S17</f>
        <v>28225312.499999993</v>
      </c>
    </row>
    <row r="19" spans="1:19">
      <c r="A19" s="99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9"/>
      <c r="P19" s="89"/>
      <c r="Q19" s="89"/>
      <c r="R19" s="89"/>
      <c r="S19" s="89"/>
    </row>
    <row r="20" spans="1:19">
      <c r="A20" s="97" t="s">
        <v>147</v>
      </c>
      <c r="B20" s="80"/>
      <c r="C20" s="83">
        <v>159</v>
      </c>
      <c r="D20" s="83">
        <v>258</v>
      </c>
      <c r="E20" s="83">
        <v>255</v>
      </c>
      <c r="F20" s="83">
        <v>288</v>
      </c>
      <c r="G20" s="83">
        <v>189</v>
      </c>
      <c r="H20" s="83">
        <v>1126</v>
      </c>
      <c r="I20" s="83">
        <v>1508</v>
      </c>
      <c r="J20" s="83">
        <v>8530</v>
      </c>
      <c r="K20" s="83">
        <v>19686</v>
      </c>
      <c r="L20" s="83">
        <v>24000</v>
      </c>
      <c r="M20" s="83">
        <v>44000</v>
      </c>
      <c r="N20" s="83">
        <v>30000</v>
      </c>
      <c r="O20" s="89">
        <f>+N20*1.1</f>
        <v>33000</v>
      </c>
      <c r="P20" s="89">
        <f t="shared" ref="P20:S20" si="19">+O20*1.1</f>
        <v>36300</v>
      </c>
      <c r="Q20" s="89">
        <f t="shared" si="19"/>
        <v>39930</v>
      </c>
      <c r="R20" s="89">
        <f t="shared" si="19"/>
        <v>43923</v>
      </c>
      <c r="S20" s="89">
        <f t="shared" si="19"/>
        <v>48315.3</v>
      </c>
    </row>
    <row r="21" spans="1:19">
      <c r="A21" s="97" t="s">
        <v>148</v>
      </c>
      <c r="B21" s="80"/>
      <c r="C21" s="83">
        <v>-2531</v>
      </c>
      <c r="D21" s="83">
        <v>-992</v>
      </c>
      <c r="E21" s="83">
        <v>-43</v>
      </c>
      <c r="F21" s="83">
        <v>-254</v>
      </c>
      <c r="G21" s="83">
        <v>-32934</v>
      </c>
      <c r="H21" s="83">
        <v>-100886</v>
      </c>
      <c r="I21" s="83">
        <v>-118851</v>
      </c>
      <c r="J21" s="83">
        <v>-198810</v>
      </c>
      <c r="K21" s="83">
        <v>-471259</v>
      </c>
      <c r="L21" s="83">
        <v>-663000</v>
      </c>
      <c r="M21" s="83">
        <v>-685000</v>
      </c>
      <c r="N21" s="83">
        <v>-748000</v>
      </c>
      <c r="O21" s="89">
        <f>+N21*1.1</f>
        <v>-822800.00000000012</v>
      </c>
      <c r="P21" s="89">
        <f t="shared" ref="P21:S21" si="20">+O21*1.1</f>
        <v>-905080.00000000023</v>
      </c>
      <c r="Q21" s="89">
        <f t="shared" si="20"/>
        <v>-995588.00000000035</v>
      </c>
      <c r="R21" s="89">
        <f t="shared" si="20"/>
        <v>-1095146.8000000005</v>
      </c>
      <c r="S21" s="89">
        <f t="shared" si="20"/>
        <v>-1204661.4800000007</v>
      </c>
    </row>
    <row r="22" spans="1:19">
      <c r="A22" s="97" t="s">
        <v>149</v>
      </c>
      <c r="B22" s="80"/>
      <c r="C22" s="83">
        <v>-1445</v>
      </c>
      <c r="D22" s="83">
        <v>-6583</v>
      </c>
      <c r="E22" s="83">
        <v>-2646</v>
      </c>
      <c r="F22" s="83">
        <v>-1828</v>
      </c>
      <c r="G22" s="83">
        <v>22602</v>
      </c>
      <c r="H22" s="83">
        <v>1813</v>
      </c>
      <c r="I22" s="83">
        <v>-41652</v>
      </c>
      <c r="J22" s="83">
        <v>111272</v>
      </c>
      <c r="K22" s="83">
        <v>-125373</v>
      </c>
      <c r="L22" s="83">
        <v>22000</v>
      </c>
      <c r="M22" s="83">
        <v>45000</v>
      </c>
      <c r="N22" s="83">
        <v>-122000</v>
      </c>
      <c r="O22" s="89">
        <f>+N22*1.1</f>
        <v>-134200</v>
      </c>
      <c r="P22" s="89">
        <f t="shared" ref="P22:S22" si="21">+O22*1.1</f>
        <v>-147620</v>
      </c>
      <c r="Q22" s="89">
        <f t="shared" si="21"/>
        <v>-162382</v>
      </c>
      <c r="R22" s="89">
        <f t="shared" si="21"/>
        <v>-178620.2</v>
      </c>
      <c r="S22" s="89">
        <f t="shared" si="21"/>
        <v>-196482.22000000003</v>
      </c>
    </row>
    <row r="23" spans="1:19" s="80" customFormat="1">
      <c r="A23" s="99" t="s">
        <v>153</v>
      </c>
      <c r="C23" s="85">
        <f>+SUM(C18:C22)</f>
        <v>-55714</v>
      </c>
      <c r="D23" s="85">
        <f t="shared" ref="D23:O23" si="22">+SUM(D18:D22)</f>
        <v>-154155</v>
      </c>
      <c r="E23" s="85">
        <f t="shared" si="22"/>
        <v>-253922</v>
      </c>
      <c r="F23" s="85">
        <f t="shared" si="22"/>
        <v>-396077</v>
      </c>
      <c r="G23" s="85">
        <f t="shared" si="22"/>
        <v>-71426</v>
      </c>
      <c r="H23" s="85">
        <f t="shared" si="22"/>
        <v>-284636</v>
      </c>
      <c r="I23" s="85">
        <f t="shared" si="22"/>
        <v>-875624</v>
      </c>
      <c r="J23" s="85">
        <f t="shared" si="22"/>
        <v>-746348</v>
      </c>
      <c r="K23" s="85">
        <f t="shared" si="22"/>
        <v>-2209032</v>
      </c>
      <c r="L23" s="85">
        <f t="shared" si="22"/>
        <v>-1005000</v>
      </c>
      <c r="M23" s="85">
        <f t="shared" si="22"/>
        <v>-665000</v>
      </c>
      <c r="N23" s="85">
        <f t="shared" si="22"/>
        <v>1154000</v>
      </c>
      <c r="O23" s="91">
        <f t="shared" si="22"/>
        <v>5796312.4999999981</v>
      </c>
      <c r="P23" s="91">
        <f t="shared" ref="P23" si="23">+SUM(P18:P22)</f>
        <v>8123225</v>
      </c>
      <c r="Q23" s="91">
        <f t="shared" ref="Q23" si="24">+SUM(Q18:Q22)</f>
        <v>11959688.124999996</v>
      </c>
      <c r="R23" s="91">
        <f t="shared" ref="R23" si="25">+SUM(R18:R22)</f>
        <v>16511781</v>
      </c>
      <c r="S23" s="91">
        <f t="shared" ref="S23" si="26">+SUM(S18:S22)</f>
        <v>26872484.099999994</v>
      </c>
    </row>
    <row r="24" spans="1:19">
      <c r="A24" s="97" t="s">
        <v>150</v>
      </c>
      <c r="B24" s="80"/>
      <c r="C24" s="83">
        <v>26</v>
      </c>
      <c r="D24" s="83">
        <v>173</v>
      </c>
      <c r="E24" s="83">
        <v>489</v>
      </c>
      <c r="F24" s="83">
        <v>136</v>
      </c>
      <c r="G24" s="83">
        <v>2588</v>
      </c>
      <c r="H24" s="83">
        <v>9404</v>
      </c>
      <c r="I24" s="83">
        <v>13039</v>
      </c>
      <c r="J24" s="83">
        <v>26698</v>
      </c>
      <c r="K24" s="83">
        <v>31546</v>
      </c>
      <c r="L24" s="83">
        <v>58000</v>
      </c>
      <c r="M24" s="83">
        <v>110000</v>
      </c>
      <c r="N24" s="83">
        <v>292000</v>
      </c>
      <c r="O24" s="89">
        <f>+O23*0.25</f>
        <v>1449078.1249999995</v>
      </c>
      <c r="P24" s="89">
        <f t="shared" ref="P24:S24" si="27">+P23*0.25</f>
        <v>2030806.25</v>
      </c>
      <c r="Q24" s="89">
        <f t="shared" si="27"/>
        <v>2989922.0312499991</v>
      </c>
      <c r="R24" s="89">
        <f t="shared" si="27"/>
        <v>4127945.25</v>
      </c>
      <c r="S24" s="89">
        <f t="shared" si="27"/>
        <v>6718121.0249999985</v>
      </c>
    </row>
    <row r="25" spans="1:19" s="80" customFormat="1">
      <c r="A25" s="99" t="s">
        <v>152</v>
      </c>
      <c r="C25" s="85">
        <f>+C23-C24</f>
        <v>-55740</v>
      </c>
      <c r="D25" s="85">
        <f t="shared" ref="D25:O25" si="28">+D23-D24</f>
        <v>-154328</v>
      </c>
      <c r="E25" s="85">
        <f t="shared" si="28"/>
        <v>-254411</v>
      </c>
      <c r="F25" s="85">
        <f t="shared" si="28"/>
        <v>-396213</v>
      </c>
      <c r="G25" s="85">
        <f t="shared" si="28"/>
        <v>-74014</v>
      </c>
      <c r="H25" s="85">
        <f t="shared" si="28"/>
        <v>-294040</v>
      </c>
      <c r="I25" s="85">
        <f t="shared" si="28"/>
        <v>-888663</v>
      </c>
      <c r="J25" s="85">
        <f t="shared" si="28"/>
        <v>-773046</v>
      </c>
      <c r="K25" s="85">
        <f t="shared" si="28"/>
        <v>-2240578</v>
      </c>
      <c r="L25" s="85">
        <f t="shared" si="28"/>
        <v>-1063000</v>
      </c>
      <c r="M25" s="85">
        <f t="shared" si="28"/>
        <v>-775000</v>
      </c>
      <c r="N25" s="85">
        <f t="shared" si="28"/>
        <v>862000</v>
      </c>
      <c r="O25" s="91">
        <f t="shared" si="28"/>
        <v>4347234.3749999981</v>
      </c>
      <c r="P25" s="91">
        <f t="shared" ref="P25" si="29">+P23-P24</f>
        <v>6092418.75</v>
      </c>
      <c r="Q25" s="91">
        <f t="shared" ref="Q25" si="30">+Q23-Q24</f>
        <v>8969766.0937499963</v>
      </c>
      <c r="R25" s="91">
        <f t="shared" ref="R25" si="31">+R23-R24</f>
        <v>12383835.75</v>
      </c>
      <c r="S25" s="91">
        <f t="shared" ref="S25" si="32">+S23-S24</f>
        <v>20154363.074999996</v>
      </c>
    </row>
    <row r="26" spans="1:19">
      <c r="A26" s="9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9"/>
      <c r="P26" s="89"/>
      <c r="Q26" s="89"/>
      <c r="R26" s="89"/>
      <c r="S26" s="89"/>
    </row>
    <row r="27" spans="1:19"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9"/>
      <c r="P27" s="89"/>
      <c r="Q27" s="89"/>
      <c r="R27" s="89"/>
      <c r="S27" s="89"/>
    </row>
    <row r="28" spans="1:19" s="86" customFormat="1" ht="18.75">
      <c r="A28" s="86" t="s">
        <v>132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92"/>
      <c r="P28" s="92"/>
      <c r="Q28" s="92"/>
      <c r="R28" s="92"/>
      <c r="S28" s="92"/>
    </row>
    <row r="29" spans="1:19" s="86" customFormat="1" ht="18.75">
      <c r="A29" s="99" t="s">
        <v>163</v>
      </c>
      <c r="C29" s="87"/>
      <c r="D29" s="87"/>
      <c r="E29" s="87"/>
      <c r="F29" s="87"/>
      <c r="G29" s="87"/>
      <c r="H29" s="87"/>
      <c r="I29" s="87"/>
      <c r="J29" s="84"/>
      <c r="K29" s="84"/>
      <c r="L29" s="84"/>
      <c r="M29" s="82">
        <f>+M5/L5-1</f>
        <v>0.49763535119413738</v>
      </c>
      <c r="N29" s="82">
        <f>+N5/M5-1</f>
        <v>0.36583926278912893</v>
      </c>
      <c r="O29" s="93">
        <v>1.0731707317073171</v>
      </c>
      <c r="P29" s="93">
        <v>0.7</v>
      </c>
      <c r="Q29" s="93">
        <v>0.63529411764705879</v>
      </c>
      <c r="R29" s="93">
        <v>0.58273381294964022</v>
      </c>
      <c r="S29" s="93">
        <v>0.59090909090909083</v>
      </c>
    </row>
    <row r="30" spans="1:19" s="86" customFormat="1" ht="18.75">
      <c r="A30" s="99" t="s">
        <v>164</v>
      </c>
      <c r="C30" s="87"/>
      <c r="D30" s="87"/>
      <c r="E30" s="87"/>
      <c r="F30" s="87"/>
      <c r="G30" s="87"/>
      <c r="H30" s="87"/>
      <c r="I30" s="87"/>
      <c r="J30" s="84"/>
      <c r="K30" s="84"/>
      <c r="L30" s="84">
        <f>+L6/L5*1000</f>
        <v>75420.280173203908</v>
      </c>
      <c r="M30" s="84">
        <f>+M6/M5*1000</f>
        <v>56631.742716017143</v>
      </c>
      <c r="N30" s="84">
        <f>+N6/N5*1000</f>
        <v>54237.801174528387</v>
      </c>
      <c r="O30" s="88">
        <v>50000</v>
      </c>
      <c r="P30" s="88">
        <v>40000</v>
      </c>
      <c r="Q30" s="88">
        <v>35000</v>
      </c>
      <c r="R30" s="88">
        <v>30000</v>
      </c>
      <c r="S30" s="88">
        <v>30000</v>
      </c>
    </row>
    <row r="31" spans="1:19">
      <c r="A31" s="97" t="s">
        <v>133</v>
      </c>
      <c r="C31" s="83"/>
      <c r="D31" s="81">
        <f>+D7/C7-1</f>
        <v>4.2887898305387528E-2</v>
      </c>
      <c r="E31" s="81">
        <f t="shared" ref="E31:S31" si="33">+E7/D7-1</f>
        <v>0.74948605495785658</v>
      </c>
      <c r="F31" s="81">
        <f t="shared" si="33"/>
        <v>1.0233644402228728</v>
      </c>
      <c r="G31" s="81">
        <f t="shared" si="33"/>
        <v>3.8722728768608317</v>
      </c>
      <c r="H31" s="81">
        <f t="shared" si="33"/>
        <v>0.58845907814070642</v>
      </c>
      <c r="I31" s="81">
        <f t="shared" si="33"/>
        <v>0.26503272306147285</v>
      </c>
      <c r="J31" s="81">
        <f t="shared" si="33"/>
        <v>0.73012574069611524</v>
      </c>
      <c r="K31" s="81">
        <f t="shared" si="33"/>
        <v>0.67978989539054413</v>
      </c>
      <c r="L31" s="81">
        <f t="shared" si="33"/>
        <v>0.8251088061988896</v>
      </c>
      <c r="M31" s="81">
        <f t="shared" si="33"/>
        <v>0.14524020315921904</v>
      </c>
      <c r="N31" s="81">
        <f t="shared" si="33"/>
        <v>0.28309870615998056</v>
      </c>
      <c r="O31" s="94">
        <f t="shared" si="33"/>
        <v>0.85304096905124327</v>
      </c>
      <c r="P31" s="94">
        <f t="shared" si="33"/>
        <v>0.35999999999999988</v>
      </c>
      <c r="Q31" s="94">
        <f t="shared" si="33"/>
        <v>0.43088235294117672</v>
      </c>
      <c r="R31" s="94">
        <f t="shared" si="33"/>
        <v>0.35662898252826292</v>
      </c>
      <c r="S31" s="94">
        <f t="shared" si="33"/>
        <v>0.59090909090909105</v>
      </c>
    </row>
    <row r="32" spans="1:19">
      <c r="A32" s="97" t="s">
        <v>134</v>
      </c>
      <c r="C32" s="81">
        <f>+C11/C7</f>
        <v>0.9148227222783023</v>
      </c>
      <c r="D32" s="81">
        <f t="shared" ref="D32:N32" si="34">+D11/D7</f>
        <v>0.73676591516480505</v>
      </c>
      <c r="E32" s="81">
        <f t="shared" si="34"/>
        <v>0.69842148040070118</v>
      </c>
      <c r="F32" s="81">
        <f t="shared" si="34"/>
        <v>0.92724364558530303</v>
      </c>
      <c r="G32" s="81">
        <f t="shared" si="34"/>
        <v>0.77339810955671129</v>
      </c>
      <c r="H32" s="81">
        <f t="shared" si="34"/>
        <v>0.72433619021772433</v>
      </c>
      <c r="I32" s="81">
        <f t="shared" si="34"/>
        <v>0.7717505452882768</v>
      </c>
      <c r="J32" s="81">
        <f t="shared" si="34"/>
        <v>0.771539022407006</v>
      </c>
      <c r="K32" s="81">
        <f t="shared" si="34"/>
        <v>0.81099293623957169</v>
      </c>
      <c r="L32" s="81">
        <f t="shared" si="34"/>
        <v>0.81165835701971012</v>
      </c>
      <c r="M32" s="81">
        <f t="shared" si="34"/>
        <v>0.83444543901049717</v>
      </c>
      <c r="N32" s="81">
        <f t="shared" si="34"/>
        <v>0.7897640791476408</v>
      </c>
      <c r="O32" s="94">
        <v>0.75</v>
      </c>
      <c r="P32" s="94">
        <v>0.75</v>
      </c>
      <c r="Q32" s="94">
        <v>0.75</v>
      </c>
      <c r="R32" s="94">
        <v>0.75</v>
      </c>
      <c r="S32" s="94">
        <v>0.75</v>
      </c>
    </row>
    <row r="33" spans="1:19">
      <c r="A33" s="97" t="s">
        <v>157</v>
      </c>
      <c r="C33" s="81">
        <f>1-C10/C6</f>
        <v>8.5177277721697697E-2</v>
      </c>
      <c r="D33" s="81">
        <f t="shared" ref="D33:S33" si="35">1-D10/D6</f>
        <v>0.17610581182142193</v>
      </c>
      <c r="E33" s="81">
        <f t="shared" si="35"/>
        <v>0.22269936998546125</v>
      </c>
      <c r="F33" s="81">
        <f t="shared" si="35"/>
        <v>3.6404035271027424E-2</v>
      </c>
      <c r="G33" s="81">
        <f t="shared" si="35"/>
        <v>0.22720551650677301</v>
      </c>
      <c r="H33" s="81">
        <f t="shared" si="35"/>
        <v>0.28641821183287597</v>
      </c>
      <c r="I33" s="81">
        <f t="shared" si="35"/>
        <v>0.24530275946926106</v>
      </c>
      <c r="J33" s="81">
        <f t="shared" si="35"/>
        <v>0.2520459736667986</v>
      </c>
      <c r="K33" s="81">
        <f t="shared" si="35"/>
        <v>0.22907657681018123</v>
      </c>
      <c r="L33" s="81">
        <f t="shared" si="35"/>
        <v>0.23445854712395353</v>
      </c>
      <c r="M33" s="81">
        <f t="shared" si="35"/>
        <v>0.21242975841698286</v>
      </c>
      <c r="N33" s="81">
        <f t="shared" si="35"/>
        <v>0.25616830665295931</v>
      </c>
      <c r="O33" s="94">
        <f t="shared" si="35"/>
        <v>0.25</v>
      </c>
      <c r="P33" s="94">
        <f t="shared" si="35"/>
        <v>0.25000000000000011</v>
      </c>
      <c r="Q33" s="94">
        <f t="shared" si="35"/>
        <v>0.25</v>
      </c>
      <c r="R33" s="94">
        <f t="shared" si="35"/>
        <v>0.25000000000000011</v>
      </c>
      <c r="S33" s="94">
        <f t="shared" si="35"/>
        <v>0.25</v>
      </c>
    </row>
    <row r="34" spans="1:19">
      <c r="A34" s="97" t="s">
        <v>158</v>
      </c>
      <c r="C34" s="81">
        <f>+C18/C7</f>
        <v>-0.46360201173811671</v>
      </c>
      <c r="D34" s="81">
        <f t="shared" ref="D34:N34" si="36">+D18/D7</f>
        <v>-1.2577777016377716</v>
      </c>
      <c r="E34" s="81">
        <f t="shared" si="36"/>
        <v>-1.231323625894772</v>
      </c>
      <c r="F34" s="81">
        <f t="shared" si="36"/>
        <v>-0.95408899084344811</v>
      </c>
      <c r="G34" s="81">
        <f t="shared" si="36"/>
        <v>-3.0436117081931127E-2</v>
      </c>
      <c r="H34" s="81">
        <f t="shared" si="36"/>
        <v>-5.8370300241749197E-2</v>
      </c>
      <c r="I34" s="81">
        <f t="shared" si="36"/>
        <v>-0.17711927138364197</v>
      </c>
      <c r="J34" s="81">
        <f t="shared" si="36"/>
        <v>-9.533248801594027E-2</v>
      </c>
      <c r="K34" s="81">
        <f t="shared" si="36"/>
        <v>-0.13879756446921956</v>
      </c>
      <c r="L34" s="81">
        <f t="shared" si="36"/>
        <v>-1.8079306649270769E-2</v>
      </c>
      <c r="M34" s="81">
        <f t="shared" si="36"/>
        <v>-2.8073887216209618E-3</v>
      </c>
      <c r="N34" s="81">
        <f t="shared" si="36"/>
        <v>6.3229325215626589E-2</v>
      </c>
      <c r="O34" s="94">
        <f t="shared" ref="O34:S34" si="37">+O18/O7</f>
        <v>0.11499999999999995</v>
      </c>
      <c r="P34" s="94">
        <f t="shared" si="37"/>
        <v>0.115</v>
      </c>
      <c r="Q34" s="94">
        <f t="shared" si="37"/>
        <v>0.11499999999999995</v>
      </c>
      <c r="R34" s="94">
        <f t="shared" si="37"/>
        <v>0.115</v>
      </c>
      <c r="S34" s="94">
        <f t="shared" si="37"/>
        <v>0.11499999999999995</v>
      </c>
    </row>
    <row r="35" spans="1:19">
      <c r="A35" s="97" t="s">
        <v>159</v>
      </c>
      <c r="C35" s="81">
        <f>+C25/C7</f>
        <v>-0.49793198324147109</v>
      </c>
      <c r="D35" s="81">
        <f t="shared" ref="D35:N35" si="38">+D25/D7</f>
        <v>-1.3219351743986842</v>
      </c>
      <c r="E35" s="81">
        <f t="shared" si="38"/>
        <v>-1.245635079954172</v>
      </c>
      <c r="F35" s="81">
        <f t="shared" si="38"/>
        <v>-0.95875921946686804</v>
      </c>
      <c r="G35" s="81">
        <f t="shared" si="38"/>
        <v>-3.6758950601342141E-2</v>
      </c>
      <c r="H35" s="81">
        <f t="shared" si="38"/>
        <v>-9.1934731468291842E-2</v>
      </c>
      <c r="I35" s="81">
        <f t="shared" si="38"/>
        <v>-0.21963853411681836</v>
      </c>
      <c r="J35" s="81">
        <f t="shared" si="38"/>
        <v>-0.11043306040514665</v>
      </c>
      <c r="K35" s="81">
        <f t="shared" si="38"/>
        <v>-0.19054557750223641</v>
      </c>
      <c r="L35" s="81">
        <f t="shared" si="38"/>
        <v>-4.9531708680862964E-2</v>
      </c>
      <c r="M35" s="81">
        <f t="shared" si="38"/>
        <v>-3.1532264626902111E-2</v>
      </c>
      <c r="N35" s="81">
        <f t="shared" si="38"/>
        <v>2.7333840690005072E-2</v>
      </c>
      <c r="O35" s="94">
        <f t="shared" ref="O35:S35" si="39">+O25/O7</f>
        <v>7.4391176470588197E-2</v>
      </c>
      <c r="P35" s="94">
        <f t="shared" si="39"/>
        <v>7.6658304498269894E-2</v>
      </c>
      <c r="Q35" s="94">
        <f t="shared" si="39"/>
        <v>7.8876322471434571E-2</v>
      </c>
      <c r="R35" s="94">
        <f t="shared" si="39"/>
        <v>8.0271176470588235E-2</v>
      </c>
      <c r="S35" s="94">
        <f t="shared" si="39"/>
        <v>8.2116070588235265E-2</v>
      </c>
    </row>
    <row r="36" spans="1:19"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1:19">
      <c r="A37" s="97" t="s">
        <v>154</v>
      </c>
      <c r="C37" s="81">
        <f>+C14/C$7</f>
        <v>0.17224837640584942</v>
      </c>
      <c r="D37" s="81">
        <f t="shared" ref="D37:N37" si="40">+D14/D$7</f>
        <v>0.79658055231960534</v>
      </c>
      <c r="E37" s="81">
        <f t="shared" si="40"/>
        <v>1.0232028671869644</v>
      </c>
      <c r="F37" s="81">
        <f t="shared" si="40"/>
        <v>0.66297404030431495</v>
      </c>
      <c r="G37" s="81">
        <f t="shared" si="40"/>
        <v>0.11521055914687688</v>
      </c>
      <c r="H37" s="81">
        <f t="shared" si="40"/>
        <v>0.14529339448141482</v>
      </c>
      <c r="I37" s="81">
        <f t="shared" si="40"/>
        <v>0.17743340686229075</v>
      </c>
      <c r="J37" s="81">
        <f t="shared" si="40"/>
        <v>0.11919889510654942</v>
      </c>
      <c r="K37" s="81">
        <f t="shared" si="40"/>
        <v>0.11719552527304983</v>
      </c>
      <c r="L37" s="81">
        <f t="shared" si="40"/>
        <v>6.8030380690554962E-2</v>
      </c>
      <c r="M37" s="81">
        <f t="shared" si="40"/>
        <v>5.4642363088941333E-2</v>
      </c>
      <c r="N37" s="81">
        <f t="shared" si="40"/>
        <v>4.7279299847792999E-2</v>
      </c>
      <c r="O37" s="81">
        <v>4.4999999999999998E-2</v>
      </c>
      <c r="P37" s="81">
        <v>4.4999999999999998E-2</v>
      </c>
      <c r="Q37" s="81">
        <v>4.4999999999999998E-2</v>
      </c>
      <c r="R37" s="81">
        <v>4.4999999999999998E-2</v>
      </c>
      <c r="S37" s="81">
        <v>4.4999999999999998E-2</v>
      </c>
    </row>
    <row r="38" spans="1:19">
      <c r="A38" s="97" t="s">
        <v>155</v>
      </c>
      <c r="C38" s="81">
        <f t="shared" ref="C38:N38" si="41">+C15/C$7</f>
        <v>0.37653091305396497</v>
      </c>
      <c r="D38" s="81">
        <f t="shared" si="41"/>
        <v>0.72443123415336119</v>
      </c>
      <c r="E38" s="81">
        <f t="shared" si="41"/>
        <v>0.50969927830710626</v>
      </c>
      <c r="F38" s="81">
        <f t="shared" si="41"/>
        <v>0.36387130495383008</v>
      </c>
      <c r="G38" s="81">
        <f t="shared" si="41"/>
        <v>0.14182744837834294</v>
      </c>
      <c r="H38" s="81">
        <f t="shared" si="41"/>
        <v>0.18874071554261002</v>
      </c>
      <c r="I38" s="81">
        <f t="shared" si="41"/>
        <v>0.22793531923307445</v>
      </c>
      <c r="J38" s="81">
        <f t="shared" si="41"/>
        <v>0.2045945705023848</v>
      </c>
      <c r="K38" s="81">
        <f t="shared" si="41"/>
        <v>0.21060910295659802</v>
      </c>
      <c r="L38" s="81">
        <f t="shared" si="41"/>
        <v>0.1321000885326872</v>
      </c>
      <c r="M38" s="81">
        <f t="shared" si="41"/>
        <v>0.10765725445520384</v>
      </c>
      <c r="N38" s="81">
        <f t="shared" si="41"/>
        <v>9.9727295788939629E-2</v>
      </c>
      <c r="O38" s="81">
        <v>0.08</v>
      </c>
      <c r="P38" s="81">
        <v>0.08</v>
      </c>
      <c r="Q38" s="81">
        <v>0.08</v>
      </c>
      <c r="R38" s="81">
        <v>0.08</v>
      </c>
      <c r="S38" s="81">
        <v>0.08</v>
      </c>
    </row>
    <row r="39" spans="1:19">
      <c r="A39" s="97" t="s">
        <v>156</v>
      </c>
      <c r="C39" s="81">
        <f t="shared" ref="C39:N39" si="42">+C16/C$7</f>
        <v>0</v>
      </c>
      <c r="D39" s="81">
        <f t="shared" si="42"/>
        <v>0</v>
      </c>
      <c r="E39" s="81">
        <f t="shared" si="42"/>
        <v>0</v>
      </c>
      <c r="F39" s="81">
        <f t="shared" si="42"/>
        <v>0</v>
      </c>
      <c r="G39" s="81">
        <f t="shared" si="42"/>
        <v>0</v>
      </c>
      <c r="H39" s="81">
        <f t="shared" si="42"/>
        <v>0</v>
      </c>
      <c r="I39" s="81">
        <f t="shared" si="42"/>
        <v>0</v>
      </c>
      <c r="J39" s="81">
        <f t="shared" si="42"/>
        <v>0</v>
      </c>
      <c r="K39" s="81">
        <f t="shared" si="42"/>
        <v>0</v>
      </c>
      <c r="L39" s="81">
        <f t="shared" si="42"/>
        <v>6.2904804063184383E-3</v>
      </c>
      <c r="M39" s="81">
        <f t="shared" si="42"/>
        <v>6.0623321669785986E-3</v>
      </c>
      <c r="N39" s="81">
        <f t="shared" si="42"/>
        <v>0</v>
      </c>
      <c r="O39" s="81">
        <v>0.01</v>
      </c>
      <c r="P39" s="81">
        <v>0.01</v>
      </c>
      <c r="Q39" s="81">
        <v>0.01</v>
      </c>
      <c r="R39" s="81">
        <v>0.01</v>
      </c>
      <c r="S39" s="81">
        <v>0.01</v>
      </c>
    </row>
    <row r="40" spans="1:19">
      <c r="A40" s="97" t="s">
        <v>165</v>
      </c>
      <c r="C40" s="81"/>
      <c r="D40" s="81"/>
      <c r="E40" s="81"/>
      <c r="F40" s="81"/>
      <c r="G40" s="81"/>
      <c r="H40" s="81"/>
      <c r="I40" s="81"/>
      <c r="J40" s="81">
        <f>+J24/J23</f>
        <v>-3.5771516772336767E-2</v>
      </c>
      <c r="K40" s="81">
        <f t="shared" ref="K40:S40" si="43">+K24/K23</f>
        <v>-1.4280463116876533E-2</v>
      </c>
      <c r="L40" s="81">
        <f t="shared" si="43"/>
        <v>-5.7711442786069649E-2</v>
      </c>
      <c r="M40" s="81">
        <f t="shared" si="43"/>
        <v>-0.16541353383458646</v>
      </c>
      <c r="N40" s="81">
        <f t="shared" si="43"/>
        <v>0.2530329289428076</v>
      </c>
      <c r="O40" s="81">
        <f t="shared" si="43"/>
        <v>0.25</v>
      </c>
      <c r="P40" s="81">
        <f t="shared" si="43"/>
        <v>0.25</v>
      </c>
      <c r="Q40" s="81">
        <f t="shared" si="43"/>
        <v>0.25</v>
      </c>
      <c r="R40" s="81">
        <f t="shared" si="43"/>
        <v>0.25</v>
      </c>
      <c r="S40" s="81">
        <f t="shared" si="43"/>
        <v>0.25</v>
      </c>
    </row>
    <row r="41" spans="1:19"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</row>
    <row r="42" spans="1:19">
      <c r="A42" s="97" t="s">
        <v>135</v>
      </c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</row>
    <row r="43" spans="1:19">
      <c r="A43" s="97" t="s">
        <v>136</v>
      </c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</row>
    <row r="44" spans="1:19">
      <c r="A44" s="97" t="s">
        <v>137</v>
      </c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</row>
    <row r="45" spans="1:19">
      <c r="A45" s="97" t="s">
        <v>160</v>
      </c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</row>
    <row r="47" spans="1:19" s="86" customFormat="1" ht="18.75">
      <c r="A47" s="86" t="s">
        <v>161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</row>
    <row r="49" spans="1:19" s="80" customFormat="1">
      <c r="A49" s="99" t="s">
        <v>166</v>
      </c>
      <c r="C49" s="85"/>
      <c r="D49" s="85"/>
      <c r="E49" s="85"/>
      <c r="F49" s="85"/>
      <c r="G49" s="85"/>
      <c r="H49" s="85"/>
      <c r="I49" s="85"/>
      <c r="J49" s="85">
        <f>+J18</f>
        <v>-667340</v>
      </c>
      <c r="K49" s="85">
        <f t="shared" ref="K49:S49" si="44">+K18</f>
        <v>-1632086</v>
      </c>
      <c r="L49" s="85">
        <f t="shared" si="44"/>
        <v>-388000</v>
      </c>
      <c r="M49" s="85">
        <f t="shared" si="44"/>
        <v>-69000</v>
      </c>
      <c r="N49" s="85">
        <f t="shared" si="44"/>
        <v>1994000</v>
      </c>
      <c r="O49" s="91">
        <f t="shared" si="44"/>
        <v>6720312.4999999981</v>
      </c>
      <c r="P49" s="91">
        <f t="shared" si="44"/>
        <v>9139625</v>
      </c>
      <c r="Q49" s="91">
        <f t="shared" si="44"/>
        <v>13077728.124999996</v>
      </c>
      <c r="R49" s="91">
        <f t="shared" si="44"/>
        <v>17741625</v>
      </c>
      <c r="S49" s="91">
        <f t="shared" si="44"/>
        <v>28225312.499999993</v>
      </c>
    </row>
    <row r="50" spans="1:19">
      <c r="A50" s="97" t="s">
        <v>167</v>
      </c>
    </row>
    <row r="51" spans="1:19">
      <c r="A51" s="97" t="s">
        <v>168</v>
      </c>
    </row>
    <row r="52" spans="1:19">
      <c r="A52" s="97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3993-1B50-4EA9-8FC4-256940C84CD7}">
  <dimension ref="A2:V11"/>
  <sheetViews>
    <sheetView showGridLines="0" workbookViewId="0">
      <selection activeCell="M10" sqref="M10:Q10"/>
    </sheetView>
  </sheetViews>
  <sheetFormatPr defaultRowHeight="15" outlineLevelCol="1"/>
  <cols>
    <col min="1" max="1" width="2.7109375" style="55" customWidth="1"/>
    <col min="2" max="2" width="25.7109375" style="55" customWidth="1"/>
    <col min="3" max="3" width="2.7109375" style="55" customWidth="1"/>
    <col min="4" max="4" width="9.42578125" style="69" hidden="1" customWidth="1" outlineLevel="1"/>
    <col min="5" max="8" width="10.42578125" style="69" hidden="1" customWidth="1" outlineLevel="1"/>
    <col min="9" max="11" width="11.42578125" style="69" hidden="1" customWidth="1" outlineLevel="1"/>
    <col min="12" max="12" width="11.42578125" style="69" bestFit="1" customWidth="1" collapsed="1"/>
    <col min="13" max="22" width="12.7109375" style="55" customWidth="1"/>
    <col min="23" max="16384" width="9.140625" style="55"/>
  </cols>
  <sheetData>
    <row r="2" spans="1:22">
      <c r="D2" s="57">
        <v>2012</v>
      </c>
      <c r="E2" s="58">
        <v>2013</v>
      </c>
      <c r="F2" s="58">
        <v>2014</v>
      </c>
      <c r="G2" s="58">
        <v>2015</v>
      </c>
      <c r="H2" s="58">
        <v>2016</v>
      </c>
      <c r="I2" s="58">
        <v>2017</v>
      </c>
      <c r="J2" s="58">
        <v>2018</v>
      </c>
      <c r="K2" s="58">
        <v>2019</v>
      </c>
      <c r="L2" s="59">
        <v>2020</v>
      </c>
      <c r="M2" s="60">
        <v>2021</v>
      </c>
      <c r="N2" s="61">
        <v>2022</v>
      </c>
      <c r="O2" s="61">
        <v>2023</v>
      </c>
      <c r="P2" s="61">
        <v>2024</v>
      </c>
      <c r="Q2" s="61">
        <v>2025</v>
      </c>
      <c r="R2" s="61">
        <v>2026</v>
      </c>
      <c r="S2" s="61">
        <v>2027</v>
      </c>
      <c r="T2" s="61">
        <v>2028</v>
      </c>
      <c r="U2" s="61">
        <v>2029</v>
      </c>
      <c r="V2" s="62">
        <v>2030</v>
      </c>
    </row>
    <row r="3" spans="1:22" ht="5.0999999999999996" customHeight="1">
      <c r="D3" s="3"/>
      <c r="E3" s="3"/>
      <c r="F3" s="3"/>
      <c r="G3" s="3"/>
      <c r="H3" s="3"/>
      <c r="I3" s="3"/>
      <c r="J3" s="3"/>
      <c r="K3" s="3"/>
      <c r="L3" s="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5.75">
      <c r="A4" s="56" t="s">
        <v>97</v>
      </c>
      <c r="D4" s="64">
        <v>2650</v>
      </c>
      <c r="E4" s="64">
        <v>22477</v>
      </c>
      <c r="F4" s="64">
        <v>31655</v>
      </c>
      <c r="G4" s="64">
        <v>50580</v>
      </c>
      <c r="H4" s="64">
        <v>76295</v>
      </c>
      <c r="I4" s="64">
        <v>103097</v>
      </c>
      <c r="J4" s="64">
        <v>245240</v>
      </c>
      <c r="K4" s="64">
        <v>367500</v>
      </c>
      <c r="L4" s="64">
        <v>499550</v>
      </c>
      <c r="M4" s="65">
        <f>+L4*(1+M5)</f>
        <v>1099010</v>
      </c>
      <c r="N4" s="65">
        <f t="shared" ref="N4:V4" si="0">+M4*(1+N5)</f>
        <v>2088119</v>
      </c>
      <c r="O4" s="65">
        <f t="shared" si="0"/>
        <v>3758614.2</v>
      </c>
      <c r="P4" s="65">
        <f>+O4*(1+P5)</f>
        <v>6013782.7200000007</v>
      </c>
      <c r="Q4" s="65">
        <f t="shared" si="0"/>
        <v>9321363.2160000019</v>
      </c>
      <c r="R4" s="65">
        <f t="shared" si="0"/>
        <v>13515976.663200002</v>
      </c>
      <c r="S4" s="65">
        <f t="shared" si="0"/>
        <v>18922367.328480002</v>
      </c>
      <c r="T4" s="65">
        <f t="shared" si="0"/>
        <v>24599077.527024005</v>
      </c>
      <c r="U4" s="65">
        <f t="shared" si="0"/>
        <v>31978800.785131209</v>
      </c>
      <c r="V4" s="65">
        <f t="shared" si="0"/>
        <v>39973500.981414013</v>
      </c>
    </row>
    <row r="5" spans="1:22" ht="15.75">
      <c r="A5" s="56" t="s">
        <v>99</v>
      </c>
      <c r="D5" s="64"/>
      <c r="E5" s="66">
        <f t="shared" ref="E5:L5" si="1">E4/D4-1</f>
        <v>7.4818867924528298</v>
      </c>
      <c r="F5" s="66">
        <f t="shared" si="1"/>
        <v>0.40832851359167144</v>
      </c>
      <c r="G5" s="66">
        <f t="shared" si="1"/>
        <v>0.59785184015163484</v>
      </c>
      <c r="H5" s="66">
        <f t="shared" si="1"/>
        <v>0.50840253064452345</v>
      </c>
      <c r="I5" s="66">
        <f t="shared" si="1"/>
        <v>0.35129431810734646</v>
      </c>
      <c r="J5" s="66">
        <f t="shared" si="1"/>
        <v>1.3787307099139645</v>
      </c>
      <c r="K5" s="66">
        <f t="shared" si="1"/>
        <v>0.49853205023650293</v>
      </c>
      <c r="L5" s="66">
        <f t="shared" si="1"/>
        <v>0.3593197278911564</v>
      </c>
      <c r="M5" s="67">
        <v>1.2</v>
      </c>
      <c r="N5" s="67">
        <v>0.9</v>
      </c>
      <c r="O5" s="67">
        <v>0.8</v>
      </c>
      <c r="P5" s="67">
        <v>0.6</v>
      </c>
      <c r="Q5" s="67">
        <v>0.55000000000000004</v>
      </c>
      <c r="R5" s="67">
        <v>0.45</v>
      </c>
      <c r="S5" s="67">
        <v>0.4</v>
      </c>
      <c r="T5" s="67">
        <v>0.3</v>
      </c>
      <c r="U5" s="67">
        <v>0.3</v>
      </c>
      <c r="V5" s="67">
        <v>0.25</v>
      </c>
    </row>
    <row r="6" spans="1:22">
      <c r="A6" s="55" t="s">
        <v>98</v>
      </c>
      <c r="D6" s="68"/>
      <c r="E6" s="68"/>
      <c r="F6" s="68"/>
      <c r="G6" s="68"/>
      <c r="H6" s="68"/>
      <c r="I6" s="66">
        <f>(I4/D4)^(1/5)-1</f>
        <v>1.0796968346697251</v>
      </c>
      <c r="J6" s="66">
        <f>(J4/E4)^(1/5)-1</f>
        <v>0.612763152539745</v>
      </c>
      <c r="K6" s="66">
        <f>(K4/F4)^(1/5)-1</f>
        <v>0.63291284412388005</v>
      </c>
      <c r="L6" s="66">
        <f>(L4/G4)^(1/5)-1</f>
        <v>0.58095689013288787</v>
      </c>
      <c r="M6" s="67">
        <f t="shared" ref="M6:V6" si="2">(M4/H4)^(1/5)-1</f>
        <v>0.70490864667949693</v>
      </c>
      <c r="N6" s="67">
        <f t="shared" si="2"/>
        <v>0.82516378719527195</v>
      </c>
      <c r="O6" s="67">
        <f t="shared" si="2"/>
        <v>0.72618480181020262</v>
      </c>
      <c r="P6" s="67">
        <f>(P4/K4)^(1/5)-1</f>
        <v>0.74895275491102864</v>
      </c>
      <c r="Q6" s="67">
        <f t="shared" si="2"/>
        <v>0.7954780225665723</v>
      </c>
      <c r="R6" s="67">
        <f>(R4/M4)^(1/5)-1</f>
        <v>0.65184448545986728</v>
      </c>
      <c r="S6" s="67">
        <f>(S4/N4)^(1/5)-1</f>
        <v>0.55397506111252115</v>
      </c>
      <c r="T6" s="67">
        <f t="shared" si="2"/>
        <v>0.45605645569650965</v>
      </c>
      <c r="U6" s="67">
        <f t="shared" si="2"/>
        <v>0.39682785872854698</v>
      </c>
      <c r="V6" s="67">
        <f t="shared" si="2"/>
        <v>0.33800751015425279</v>
      </c>
    </row>
    <row r="8" spans="1:22">
      <c r="A8" s="70" t="s">
        <v>100</v>
      </c>
    </row>
    <row r="9" spans="1:22" ht="15.75">
      <c r="A9" s="56" t="s">
        <v>97</v>
      </c>
      <c r="L9" s="65">
        <v>512500</v>
      </c>
      <c r="M9" s="65">
        <v>1062500</v>
      </c>
      <c r="N9" s="65">
        <v>1806250</v>
      </c>
      <c r="O9" s="65">
        <v>2953750</v>
      </c>
      <c r="P9" s="65">
        <v>4675000</v>
      </c>
      <c r="Q9" s="65">
        <v>7437500</v>
      </c>
      <c r="R9" s="65">
        <v>9902500</v>
      </c>
      <c r="S9" s="65">
        <v>13387500</v>
      </c>
      <c r="T9" s="65">
        <v>17425000</v>
      </c>
      <c r="U9" s="65">
        <v>20825000</v>
      </c>
      <c r="V9" s="65">
        <v>22525000</v>
      </c>
    </row>
    <row r="10" spans="1:22" ht="15.75">
      <c r="A10" s="56" t="s">
        <v>99</v>
      </c>
      <c r="L10" s="67"/>
      <c r="M10" s="67">
        <f t="shared" ref="M10" si="3">M9/L9-1</f>
        <v>1.0731707317073171</v>
      </c>
      <c r="N10" s="67">
        <f t="shared" ref="N10" si="4">N9/M9-1</f>
        <v>0.7</v>
      </c>
      <c r="O10" s="67">
        <f t="shared" ref="O10" si="5">O9/N9-1</f>
        <v>0.63529411764705879</v>
      </c>
      <c r="P10" s="67">
        <f t="shared" ref="P10" si="6">P9/O9-1</f>
        <v>0.58273381294964022</v>
      </c>
      <c r="Q10" s="67">
        <f t="shared" ref="Q10" si="7">Q9/P9-1</f>
        <v>0.59090909090909083</v>
      </c>
      <c r="R10" s="67">
        <f t="shared" ref="R10" si="8">R9/Q9-1</f>
        <v>0.33142857142857141</v>
      </c>
      <c r="S10" s="67">
        <f t="shared" ref="S10" si="9">S9/R9-1</f>
        <v>0.35193133047210301</v>
      </c>
      <c r="T10" s="67">
        <f t="shared" ref="T10" si="10">T9/S9-1</f>
        <v>0.30158730158730163</v>
      </c>
      <c r="U10" s="67">
        <f t="shared" ref="U10" si="11">U9/T9-1</f>
        <v>0.19512195121951215</v>
      </c>
      <c r="V10" s="67">
        <f t="shared" ref="V10" si="12">V9/U9-1</f>
        <v>8.163265306122458E-2</v>
      </c>
    </row>
    <row r="11" spans="1:22">
      <c r="I11" s="6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37C2-1E4C-46F1-89E2-A43EF059AA7B}">
  <dimension ref="A2:J34"/>
  <sheetViews>
    <sheetView workbookViewId="0">
      <selection activeCell="N14" sqref="N14"/>
    </sheetView>
  </sheetViews>
  <sheetFormatPr defaultRowHeight="15"/>
  <cols>
    <col min="1" max="1" width="25.7109375" style="69" customWidth="1"/>
    <col min="2" max="2" width="1.7109375" style="69" customWidth="1"/>
    <col min="3" max="7" width="15.7109375" style="69" customWidth="1"/>
    <col min="8" max="8" width="9.140625" style="69"/>
    <col min="9" max="9" width="15.7109375" style="69" customWidth="1"/>
    <col min="10" max="16384" width="9.140625" style="69"/>
  </cols>
  <sheetData>
    <row r="2" spans="1:9" ht="20.100000000000001" customHeight="1">
      <c r="C2" s="71" t="s">
        <v>103</v>
      </c>
      <c r="D2" s="71" t="s">
        <v>76</v>
      </c>
      <c r="E2" s="71" t="s">
        <v>104</v>
      </c>
      <c r="F2" s="71" t="s">
        <v>105</v>
      </c>
      <c r="G2" s="71"/>
      <c r="H2" s="71"/>
      <c r="I2" s="71" t="s">
        <v>129</v>
      </c>
    </row>
    <row r="3" spans="1:9" ht="20.100000000000001" customHeight="1">
      <c r="A3" s="71" t="s">
        <v>101</v>
      </c>
      <c r="C3" s="64">
        <v>20000000</v>
      </c>
      <c r="D3" s="64">
        <v>36000</v>
      </c>
      <c r="E3" s="64">
        <v>16000</v>
      </c>
      <c r="F3" s="64">
        <v>20000</v>
      </c>
      <c r="I3" s="64">
        <f>F3*C3/1000000000</f>
        <v>400</v>
      </c>
    </row>
    <row r="4" spans="1:9" s="74" customFormat="1" ht="15" customHeight="1">
      <c r="C4" s="75"/>
      <c r="D4" s="75"/>
      <c r="E4" s="76">
        <f>E3/D3</f>
        <v>0.44444444444444442</v>
      </c>
      <c r="F4" s="76">
        <f>F3/D3</f>
        <v>0.55555555555555558</v>
      </c>
    </row>
    <row r="5" spans="1:9">
      <c r="A5" s="69" t="s">
        <v>102</v>
      </c>
    </row>
    <row r="7" spans="1:9">
      <c r="A7" s="71" t="s">
        <v>106</v>
      </c>
      <c r="C7" s="64">
        <v>50000000</v>
      </c>
      <c r="F7" s="64">
        <v>600</v>
      </c>
      <c r="I7" s="72">
        <f>F7*C7/1000000000</f>
        <v>30</v>
      </c>
    </row>
    <row r="8" spans="1:9">
      <c r="A8" s="69" t="s">
        <v>107</v>
      </c>
    </row>
    <row r="10" spans="1:9" s="71" customFormat="1">
      <c r="D10" s="71" t="s">
        <v>111</v>
      </c>
      <c r="E10" s="71" t="s">
        <v>113</v>
      </c>
      <c r="F10" s="71" t="s">
        <v>105</v>
      </c>
      <c r="G10" s="71" t="s">
        <v>114</v>
      </c>
    </row>
    <row r="11" spans="1:9" s="71" customFormat="1">
      <c r="A11" s="71" t="s">
        <v>108</v>
      </c>
      <c r="C11" s="71" t="s">
        <v>110</v>
      </c>
      <c r="D11" s="71" t="s">
        <v>112</v>
      </c>
      <c r="E11" s="71" t="s">
        <v>112</v>
      </c>
      <c r="F11" s="71" t="s">
        <v>112</v>
      </c>
      <c r="G11" s="71" t="s">
        <v>115</v>
      </c>
    </row>
    <row r="12" spans="1:9">
      <c r="A12" s="69" t="s">
        <v>109</v>
      </c>
      <c r="C12" s="72">
        <v>20000000</v>
      </c>
      <c r="D12" s="72">
        <f>15*12</f>
        <v>180</v>
      </c>
      <c r="E12" s="72">
        <f>D12*0.25</f>
        <v>45</v>
      </c>
      <c r="F12" s="72">
        <f>D12-E12</f>
        <v>135</v>
      </c>
      <c r="G12" s="72">
        <f>F12*312</f>
        <v>42120</v>
      </c>
      <c r="H12" s="72"/>
      <c r="I12" s="72">
        <f>G12*C12/1000000000</f>
        <v>842.4</v>
      </c>
    </row>
    <row r="13" spans="1:9" s="74" customFormat="1" ht="15" customHeight="1">
      <c r="E13" s="76"/>
      <c r="F13" s="76">
        <f>F12/D12</f>
        <v>0.75</v>
      </c>
      <c r="G13" s="76"/>
    </row>
    <row r="14" spans="1:9">
      <c r="A14" s="69" t="s">
        <v>119</v>
      </c>
      <c r="E14" s="73"/>
      <c r="F14" s="73"/>
      <c r="G14" s="73"/>
    </row>
    <row r="16" spans="1:9">
      <c r="C16" s="71"/>
      <c r="D16" s="71" t="s">
        <v>111</v>
      </c>
      <c r="E16" s="71" t="s">
        <v>113</v>
      </c>
      <c r="F16" s="71" t="s">
        <v>117</v>
      </c>
      <c r="G16" s="71" t="s">
        <v>114</v>
      </c>
      <c r="H16" s="71"/>
    </row>
    <row r="17" spans="1:9">
      <c r="A17" s="71" t="s">
        <v>116</v>
      </c>
      <c r="C17" s="71" t="s">
        <v>110</v>
      </c>
      <c r="D17" s="71" t="s">
        <v>112</v>
      </c>
      <c r="E17" s="71" t="s">
        <v>112</v>
      </c>
      <c r="F17" s="71" t="s">
        <v>112</v>
      </c>
      <c r="G17" s="71" t="s">
        <v>115</v>
      </c>
      <c r="H17" s="71"/>
    </row>
    <row r="18" spans="1:9">
      <c r="A18" s="69" t="s">
        <v>109</v>
      </c>
      <c r="C18" s="72">
        <v>20000000</v>
      </c>
      <c r="D18" s="72">
        <v>150</v>
      </c>
      <c r="E18" s="72">
        <v>0</v>
      </c>
      <c r="F18" s="72">
        <f>D18*0.35</f>
        <v>52.5</v>
      </c>
      <c r="G18" s="72">
        <f>F18*312</f>
        <v>16380</v>
      </c>
      <c r="I18" s="72">
        <f>G18*C18/1000000000</f>
        <v>327.60000000000002</v>
      </c>
    </row>
    <row r="19" spans="1:9">
      <c r="A19" s="69" t="s">
        <v>118</v>
      </c>
    </row>
    <row r="20" spans="1:9">
      <c r="A20" s="69" t="s">
        <v>120</v>
      </c>
    </row>
    <row r="22" spans="1:9">
      <c r="A22" s="71" t="s">
        <v>121</v>
      </c>
      <c r="I22" s="72">
        <f>100000000000/1000000000</f>
        <v>100</v>
      </c>
    </row>
    <row r="25" spans="1:9">
      <c r="A25" s="69" t="s">
        <v>75</v>
      </c>
      <c r="I25" s="72">
        <f>SUM(I3:I24)</f>
        <v>1700</v>
      </c>
    </row>
    <row r="26" spans="1:9">
      <c r="A26" s="69" t="s">
        <v>122</v>
      </c>
      <c r="I26" s="69">
        <v>30</v>
      </c>
    </row>
    <row r="27" spans="1:9" s="71" customFormat="1">
      <c r="A27" s="71" t="s">
        <v>74</v>
      </c>
      <c r="I27" s="77">
        <f>I25-I26</f>
        <v>1670</v>
      </c>
    </row>
    <row r="28" spans="1:9">
      <c r="A28" s="69" t="s">
        <v>123</v>
      </c>
      <c r="I28" s="72">
        <f>I27*0.22</f>
        <v>367.4</v>
      </c>
    </row>
    <row r="29" spans="1:9">
      <c r="A29" s="71" t="s">
        <v>124</v>
      </c>
      <c r="I29" s="77">
        <f>I27-I28</f>
        <v>1302.5999999999999</v>
      </c>
    </row>
    <row r="30" spans="1:9">
      <c r="A30" s="69" t="s">
        <v>125</v>
      </c>
      <c r="I30" s="69">
        <v>1.4</v>
      </c>
    </row>
    <row r="31" spans="1:9">
      <c r="A31" s="71" t="s">
        <v>130</v>
      </c>
      <c r="I31" s="77">
        <f>I29/I30</f>
        <v>930.42857142857144</v>
      </c>
    </row>
    <row r="32" spans="1:9">
      <c r="A32" s="69" t="s">
        <v>126</v>
      </c>
      <c r="I32" s="69">
        <v>30</v>
      </c>
    </row>
    <row r="33" spans="1:10">
      <c r="A33" s="71" t="s">
        <v>127</v>
      </c>
      <c r="I33" s="77">
        <f>I31*I32</f>
        <v>27912.857142857145</v>
      </c>
    </row>
    <row r="34" spans="1:10">
      <c r="A34" s="69" t="s">
        <v>128</v>
      </c>
      <c r="I34" s="72">
        <f>I33*I30</f>
        <v>39078</v>
      </c>
      <c r="J34" s="69" t="s">
        <v>131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D1C8-1672-4549-A90A-B95F0316D5A5}">
  <dimension ref="B1:Q20"/>
  <sheetViews>
    <sheetView workbookViewId="0">
      <selection activeCell="E2" sqref="E2"/>
    </sheetView>
  </sheetViews>
  <sheetFormatPr defaultRowHeight="15"/>
  <cols>
    <col min="3" max="3" width="14" bestFit="1" customWidth="1"/>
    <col min="4" max="4" width="12.85546875" bestFit="1" customWidth="1"/>
    <col min="5" max="5" width="18.5703125" bestFit="1" customWidth="1"/>
    <col min="7" max="7" width="15.85546875" bestFit="1" customWidth="1"/>
    <col min="9" max="9" width="20" bestFit="1" customWidth="1"/>
    <col min="11" max="11" width="16.42578125" bestFit="1" customWidth="1"/>
    <col min="12" max="12" width="9.42578125" bestFit="1" customWidth="1"/>
    <col min="14" max="14" width="9.28515625" bestFit="1" customWidth="1"/>
    <col min="15" max="15" width="14" bestFit="1" customWidth="1"/>
    <col min="16" max="16" width="12.85546875" bestFit="1" customWidth="1"/>
    <col min="17" max="17" width="16.42578125" bestFit="1" customWidth="1"/>
  </cols>
  <sheetData>
    <row r="1" spans="2:17">
      <c r="C1" t="s">
        <v>96</v>
      </c>
      <c r="D1" t="s">
        <v>76</v>
      </c>
      <c r="E1" t="s">
        <v>95</v>
      </c>
      <c r="F1" s="54" t="s">
        <v>94</v>
      </c>
      <c r="G1" t="s">
        <v>93</v>
      </c>
      <c r="H1" t="s">
        <v>92</v>
      </c>
      <c r="I1" t="s">
        <v>91</v>
      </c>
      <c r="K1" t="s">
        <v>90</v>
      </c>
      <c r="L1" t="s">
        <v>89</v>
      </c>
      <c r="N1" t="s">
        <v>88</v>
      </c>
      <c r="O1" t="s">
        <v>87</v>
      </c>
    </row>
    <row r="2" spans="2:17">
      <c r="B2" t="s">
        <v>86</v>
      </c>
      <c r="C2" s="52">
        <v>20000000</v>
      </c>
      <c r="D2" s="52">
        <v>40000</v>
      </c>
      <c r="E2" s="52">
        <f>D2*C2</f>
        <v>800000000000</v>
      </c>
      <c r="F2" s="53">
        <v>0.25</v>
      </c>
      <c r="G2" s="51">
        <f>E2*F2</f>
        <v>200000000000</v>
      </c>
      <c r="H2" s="51"/>
      <c r="I2" s="52"/>
      <c r="N2">
        <v>75</v>
      </c>
      <c r="O2" s="51">
        <f>N2*C2</f>
        <v>1500000000</v>
      </c>
      <c r="P2" s="51">
        <f>O2/1000000</f>
        <v>1500</v>
      </c>
    </row>
    <row r="3" spans="2:17">
      <c r="B3" t="s">
        <v>85</v>
      </c>
      <c r="C3" s="52">
        <v>20000000</v>
      </c>
      <c r="D3" s="52">
        <v>10000</v>
      </c>
      <c r="E3" s="52">
        <f>D3*C3</f>
        <v>200000000000</v>
      </c>
      <c r="F3" s="53">
        <v>0.5</v>
      </c>
      <c r="G3" s="51">
        <f>E3*F3</f>
        <v>100000000000</v>
      </c>
      <c r="H3" s="51"/>
      <c r="I3" s="52"/>
    </row>
    <row r="4" spans="2:17">
      <c r="B4" t="s">
        <v>78</v>
      </c>
      <c r="C4" s="52"/>
      <c r="D4" s="52"/>
      <c r="E4" s="52">
        <f>+D20*1000000</f>
        <v>981465517241.37939</v>
      </c>
      <c r="F4" s="53">
        <v>0.15</v>
      </c>
      <c r="G4" s="51">
        <f>E4*F4</f>
        <v>147219827586.20691</v>
      </c>
      <c r="H4" s="51"/>
      <c r="I4" s="52"/>
    </row>
    <row r="5" spans="2:17">
      <c r="C5" s="52"/>
      <c r="D5" s="52"/>
      <c r="E5" s="52"/>
      <c r="F5" s="53"/>
      <c r="G5" s="51"/>
      <c r="H5" s="51"/>
      <c r="I5" s="52"/>
    </row>
    <row r="6" spans="2:17">
      <c r="C6" s="52"/>
      <c r="D6" s="52"/>
      <c r="E6" s="52">
        <f>SUM(E2:E4)</f>
        <v>1981465517241.3794</v>
      </c>
      <c r="F6" s="53"/>
      <c r="G6" s="52">
        <f>SUM(G2:G4)</f>
        <v>447219827586.20691</v>
      </c>
      <c r="H6" s="51">
        <v>20</v>
      </c>
      <c r="I6" s="52">
        <f>H6*G6</f>
        <v>8944396551724.1387</v>
      </c>
      <c r="K6" s="52">
        <v>1000000000</v>
      </c>
      <c r="L6" s="52">
        <f>I6/K6</f>
        <v>8944.3965517241395</v>
      </c>
    </row>
    <row r="7" spans="2:17">
      <c r="C7" s="52"/>
      <c r="D7" s="52"/>
      <c r="E7" s="52"/>
      <c r="F7" s="53"/>
      <c r="G7" s="51"/>
      <c r="H7" s="51"/>
      <c r="I7" s="52"/>
    </row>
    <row r="8" spans="2:17">
      <c r="C8" s="52"/>
      <c r="D8" s="52"/>
      <c r="E8" s="52"/>
      <c r="F8" s="53"/>
      <c r="G8" s="51"/>
      <c r="H8" s="51"/>
      <c r="I8" s="52"/>
    </row>
    <row r="10" spans="2:17">
      <c r="N10" t="s">
        <v>82</v>
      </c>
      <c r="O10" t="s">
        <v>81</v>
      </c>
      <c r="P10" t="s">
        <v>84</v>
      </c>
      <c r="Q10" t="s">
        <v>83</v>
      </c>
    </row>
    <row r="11" spans="2:17">
      <c r="M11" t="s">
        <v>82</v>
      </c>
      <c r="N11" s="51">
        <v>1</v>
      </c>
      <c r="O11" s="51">
        <f>N11*1000</f>
        <v>1000</v>
      </c>
      <c r="P11" s="51">
        <f>O11*1000</f>
        <v>1000000</v>
      </c>
      <c r="Q11" s="51">
        <f>P11*1000</f>
        <v>1000000000</v>
      </c>
    </row>
    <row r="12" spans="2:17">
      <c r="M12" t="s">
        <v>81</v>
      </c>
      <c r="N12">
        <f>O12/1000</f>
        <v>1E-3</v>
      </c>
      <c r="O12">
        <v>1</v>
      </c>
      <c r="P12" s="51">
        <f>O12*1000</f>
        <v>1000</v>
      </c>
      <c r="Q12" s="51">
        <f>P12*1000</f>
        <v>1000000</v>
      </c>
    </row>
    <row r="18" spans="2:5">
      <c r="C18" t="s">
        <v>81</v>
      </c>
      <c r="D18" t="s">
        <v>80</v>
      </c>
      <c r="E18" t="s">
        <v>79</v>
      </c>
    </row>
    <row r="19" spans="2:5">
      <c r="B19" t="s">
        <v>78</v>
      </c>
      <c r="C19" s="50">
        <v>759</v>
      </c>
      <c r="D19" s="50">
        <v>1160</v>
      </c>
      <c r="E19" s="50">
        <f>D19/C19</f>
        <v>1.5283267457180501</v>
      </c>
    </row>
    <row r="20" spans="2:5">
      <c r="C20" s="50">
        <v>1500000</v>
      </c>
      <c r="D20" s="50">
        <f>C20/E19</f>
        <v>981465.51724137936</v>
      </c>
      <c r="E20" s="5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35E5-7F43-43F0-9ABF-72006C9AB6BB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85B3-5FC7-4994-A8DB-9EA2DF22D4F3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l Z h Y U q U d N Y O j A A A A 9 Q A A A B I A H A B D b 2 5 m a W c v U G F j a 2 F n Z S 5 4 b W w g o h g A K K A U A A A A A A A A A A A A A A A A A A A A A A A A A A A A h Y + 9 D o I w H M R f h X T v B + h A y J 8 y u E p C o j G u T a n Q C I X Q Y n k 3 B x / J V x C j q J v j 3 e 8 u u b t f b 5 B N b R N c 1 G B 1 Z 1 I U E o Y C Z W R X a l O l a H Q n H K O M Q y H k W V Q q m M P G J p P V K a q d 6 x N K v f f E r 0 g 3 V D R i L K T H f L u T t W o F 1 s Y 6 Y a R C n 1 b 5 v 4 U 4 H F 5 j e E T i N Y n Z P A n o 4 k G u z Z d H M 3 v S H x M 2 Y + P G Q f H e 4 W I P d J F A 3 x f 4 A 1 B L A w Q U A A I A C A C V m F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Z h Y U i i K R 7 g O A A A A E Q A A A B M A H A B G b 3 J t d W x h c y 9 T Z W N 0 a W 9 u M S 5 t I K I Y A C i g F A A A A A A A A A A A A A A A A A A A A A A A A A A A A C t O T S 7 J z M 9 T C I b Q h t Y A U E s B A i 0 A F A A C A A g A l Z h Y U q U d N Y O j A A A A 9 Q A A A B I A A A A A A A A A A A A A A A A A A A A A A E N v b m Z p Z y 9 Q Y W N r Y W d l L n h t b F B L A Q I t A B Q A A g A I A J W Y W F I P y u m r p A A A A O k A A A A T A A A A A A A A A A A A A A A A A O 8 A A A B b Q 2 9 u d G V u d F 9 U e X B l c 1 0 u e G 1 s U E s B A i 0 A F A A C A A g A l Z h Y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I y N B W H x S t O j a E n D / + A z 1 s A A A A A A g A A A A A A E G Y A A A A B A A A g A A A A M n V A R c k H O e o X B L i 1 s 8 r b 2 m D y I U 7 r r G y s e j Q u f h r F 6 X w A A A A A D o A A A A A C A A A g A A A A R i F q X D D a X t 1 c 4 K H 2 v e T / M O L H F h s O P l G P g 1 S w l 5 X g S H 9 Q A A A A b B l h 7 w U K g Y J / B O P L 1 J E R w 2 e Q Y q Y s B p e o 7 + 8 Q a t t W y 5 6 T 2 p t L H f d X W w D O V X m P W k K k s G A k p V 5 B F I g L U O f / i y 8 x H u P j 2 u 3 7 S 4 E T J l g i O g Q l J m p A A A A A z c t C S b D I U 2 b F B 5 K v 2 y / q R s M w + g p M C I W Z i f c K y 8 L m / M + t 1 e r Q 2 0 6 h A n t i u O n E H q l e T m N / 8 c E N v v s 3 y K b a R w I V p A = = < / D a t a M a s h u p > 
</file>

<file path=customXml/itemProps1.xml><?xml version="1.0" encoding="utf-8"?>
<ds:datastoreItem xmlns:ds="http://schemas.openxmlformats.org/officeDocument/2006/customXml" ds:itemID="{94128CFA-9BA4-410E-9796-E1C7AF8C56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Operational Summary</vt:lpstr>
      <vt:lpstr>Detailed Deliveries</vt:lpstr>
      <vt:lpstr>Revenue&amp;Profit</vt:lpstr>
      <vt:lpstr>DCF Model</vt:lpstr>
      <vt:lpstr>Production 2020-2030</vt:lpstr>
      <vt:lpstr>Useful Twitter model</vt:lpstr>
      <vt:lpstr>Folha1</vt:lpstr>
      <vt:lpstr>Battery-Revenue Model</vt:lpstr>
      <vt:lpstr>Automotive Capacity Model</vt:lpstr>
      <vt:lpstr>Market Demand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Vieira</dc:creator>
  <cp:lastModifiedBy>Tiago Vieira</cp:lastModifiedBy>
  <dcterms:created xsi:type="dcterms:W3CDTF">2020-12-07T10:12:18Z</dcterms:created>
  <dcterms:modified xsi:type="dcterms:W3CDTF">2021-04-12T19:34:43Z</dcterms:modified>
</cp:coreProperties>
</file>