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396cb21c71a230ab/Área de Trabalho/FMVA Certification/"/>
    </mc:Choice>
  </mc:AlternateContent>
  <xr:revisionPtr revIDLastSave="2131" documentId="11_AD4DF034E34935FBC521DC2C77996C245ADEDD8E" xr6:coauthVersionLast="45" xr6:coauthVersionMax="45" xr10:uidLastSave="{BDDEADAC-0874-42CC-AC76-A9C1209700A9}"/>
  <bookViews>
    <workbookView xWindow="-120" yWindow="-120" windowWidth="27870" windowHeight="16440" activeTab="3" xr2:uid="{00000000-000D-0000-FFFF-FFFF00000000}"/>
  </bookViews>
  <sheets>
    <sheet name="Balance Sheet" sheetId="1" r:id="rId1"/>
    <sheet name="Income Statement" sheetId="2" r:id="rId2"/>
    <sheet name="Cash Flow" sheetId="3" r:id="rId3"/>
    <sheet name="Ratios" sheetId="4" r:id="rId4"/>
  </sheets>
  <definedNames>
    <definedName name="_xlnm._FilterDatabase" localSheetId="2" hidden="1">'Cash Flow'!$A$8:$M$8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67" i="4" l="1"/>
  <c r="X67" i="4"/>
  <c r="W67" i="4"/>
  <c r="V67" i="4"/>
  <c r="U67" i="4"/>
  <c r="U66" i="4"/>
  <c r="S67" i="4"/>
  <c r="R67" i="4"/>
  <c r="Q67" i="4"/>
  <c r="P67" i="4"/>
  <c r="O67" i="4"/>
  <c r="O66" i="4"/>
  <c r="M67" i="4"/>
  <c r="L67" i="4"/>
  <c r="K67" i="4"/>
  <c r="J67" i="4"/>
  <c r="I67" i="4"/>
  <c r="I66" i="4"/>
  <c r="AB63" i="4"/>
  <c r="AA63" i="4"/>
  <c r="Z63" i="4"/>
  <c r="Y63" i="4"/>
  <c r="X63" i="4"/>
  <c r="X62" i="4"/>
  <c r="V63" i="4"/>
  <c r="U63" i="4"/>
  <c r="T63" i="4"/>
  <c r="S63" i="4"/>
  <c r="R63" i="4"/>
  <c r="R62" i="4"/>
  <c r="L62" i="4"/>
  <c r="P63" i="4"/>
  <c r="O63" i="4"/>
  <c r="N63" i="4"/>
  <c r="M63" i="4"/>
  <c r="L63" i="4"/>
  <c r="O92" i="4"/>
  <c r="X92" i="4" s="1"/>
  <c r="Q87" i="4"/>
  <c r="J87" i="4"/>
  <c r="I83" i="4"/>
  <c r="M53" i="4"/>
  <c r="L53" i="4"/>
  <c r="K53" i="4"/>
  <c r="J53" i="4"/>
  <c r="I53" i="4"/>
  <c r="M52" i="4"/>
  <c r="L52" i="4"/>
  <c r="K52" i="4"/>
  <c r="J52" i="4"/>
  <c r="I52" i="4"/>
  <c r="M49" i="4"/>
  <c r="L49" i="4"/>
  <c r="K49" i="4"/>
  <c r="J49" i="4"/>
  <c r="I49" i="4"/>
  <c r="M48" i="4"/>
  <c r="L48" i="4"/>
  <c r="K48" i="4"/>
  <c r="J48" i="4"/>
  <c r="I48" i="4"/>
  <c r="M39" i="4"/>
  <c r="L39" i="4"/>
  <c r="K39" i="4"/>
  <c r="J39" i="4"/>
  <c r="I39" i="4"/>
  <c r="M38" i="4"/>
  <c r="L38" i="4"/>
  <c r="K38" i="4"/>
  <c r="J38" i="4"/>
  <c r="X82" i="4" s="1"/>
  <c r="I38" i="4"/>
  <c r="P92" i="4"/>
  <c r="Y92" i="4" s="1"/>
  <c r="M92" i="4"/>
  <c r="V92" i="4" s="1"/>
  <c r="S87" i="4"/>
  <c r="R87" i="4"/>
  <c r="P87" i="4"/>
  <c r="O87" i="4"/>
  <c r="M87" i="4"/>
  <c r="L87" i="4"/>
  <c r="K87" i="4"/>
  <c r="M83" i="4"/>
  <c r="L83" i="4"/>
  <c r="K83" i="4"/>
  <c r="J83" i="4"/>
  <c r="I78" i="4"/>
  <c r="AA74" i="4"/>
  <c r="I74" i="4"/>
  <c r="P71" i="4"/>
  <c r="O71" i="4"/>
  <c r="M71" i="4"/>
  <c r="L71" i="4"/>
  <c r="L70" i="4"/>
  <c r="M21" i="4"/>
  <c r="L21" i="4"/>
  <c r="K21" i="4"/>
  <c r="J21" i="4"/>
  <c r="M20" i="4"/>
  <c r="L20" i="4"/>
  <c r="K20" i="4"/>
  <c r="J20" i="4"/>
  <c r="M19" i="4"/>
  <c r="L19" i="4"/>
  <c r="K19" i="4"/>
  <c r="J19" i="4"/>
  <c r="O86" i="4" s="1"/>
  <c r="M18" i="4"/>
  <c r="L18" i="4"/>
  <c r="K18" i="4"/>
  <c r="J18" i="4"/>
  <c r="I86" i="4" s="1"/>
  <c r="M17" i="4"/>
  <c r="L17" i="4"/>
  <c r="K17" i="4"/>
  <c r="J17" i="4"/>
  <c r="I82" i="4" s="1"/>
  <c r="M16" i="4"/>
  <c r="L16" i="4"/>
  <c r="K16" i="4"/>
  <c r="J16" i="4"/>
  <c r="O82" i="4" s="1"/>
  <c r="I20" i="4"/>
  <c r="I19" i="4"/>
  <c r="I18" i="4"/>
  <c r="I21" i="4"/>
  <c r="I17" i="4"/>
  <c r="I16" i="4"/>
  <c r="L92" i="4" l="1"/>
  <c r="U92" i="4" s="1"/>
  <c r="I87" i="4"/>
  <c r="N92" i="4"/>
  <c r="W92" i="4" s="1"/>
  <c r="O75" i="4"/>
  <c r="N71" i="4"/>
  <c r="P83" i="4"/>
  <c r="AE75" i="4"/>
  <c r="AB79" i="4" s="1"/>
  <c r="AB83" i="4" s="1"/>
  <c r="R83" i="4"/>
  <c r="R79" i="4"/>
  <c r="L75" i="4"/>
  <c r="R75" i="4"/>
  <c r="AC75" i="4"/>
  <c r="Z79" i="4" s="1"/>
  <c r="AC67" i="4"/>
  <c r="M75" i="4"/>
  <c r="S75" i="4"/>
  <c r="S83" i="4"/>
  <c r="S79" i="4"/>
  <c r="O83" i="4"/>
  <c r="P75" i="4"/>
  <c r="AD75" i="4"/>
  <c r="AA79" i="4" s="1"/>
  <c r="AD67" i="4"/>
  <c r="J75" i="4"/>
  <c r="AB67" i="4"/>
  <c r="AB75" i="4"/>
  <c r="Y79" i="4" s="1"/>
  <c r="P79" i="4"/>
  <c r="L63" i="1"/>
  <c r="M44" i="4" s="1"/>
  <c r="M47" i="4"/>
  <c r="L47" i="4"/>
  <c r="K47" i="4"/>
  <c r="J47" i="4"/>
  <c r="L46" i="4"/>
  <c r="K46" i="4"/>
  <c r="J46" i="4"/>
  <c r="L45" i="4"/>
  <c r="K45" i="4"/>
  <c r="J45" i="4"/>
  <c r="L44" i="4"/>
  <c r="K44" i="4"/>
  <c r="J44" i="4"/>
  <c r="L43" i="4"/>
  <c r="K43" i="4"/>
  <c r="J43" i="4"/>
  <c r="L42" i="4"/>
  <c r="K42" i="4"/>
  <c r="J42" i="4"/>
  <c r="I47" i="4"/>
  <c r="I46" i="4"/>
  <c r="I45" i="4"/>
  <c r="I44" i="4"/>
  <c r="I43" i="4"/>
  <c r="I42" i="4"/>
  <c r="M75" i="3"/>
  <c r="M39" i="3"/>
  <c r="AE67" i="4" l="1"/>
  <c r="I75" i="4"/>
  <c r="O79" i="4"/>
  <c r="I79" i="4" s="1"/>
  <c r="Y75" i="4"/>
  <c r="Z83" i="4"/>
  <c r="W75" i="4"/>
  <c r="V75" i="4"/>
  <c r="Y83" i="4"/>
  <c r="Q75" i="4"/>
  <c r="K75" i="4"/>
  <c r="Q83" i="4"/>
  <c r="Q79" i="4"/>
  <c r="J79" i="4"/>
  <c r="L79" i="4"/>
  <c r="M79" i="4"/>
  <c r="AA75" i="4"/>
  <c r="X79" i="4" s="1"/>
  <c r="AA67" i="4"/>
  <c r="X75" i="4"/>
  <c r="AA83" i="4"/>
  <c r="M45" i="4"/>
  <c r="M43" i="4"/>
  <c r="M46" i="4"/>
  <c r="M42" i="4"/>
  <c r="M37" i="4"/>
  <c r="L37" i="4"/>
  <c r="K37" i="4"/>
  <c r="J37" i="4"/>
  <c r="AA66" i="4" s="1"/>
  <c r="I37" i="4"/>
  <c r="M35" i="4"/>
  <c r="L35" i="4"/>
  <c r="K35" i="4"/>
  <c r="J35" i="4"/>
  <c r="M34" i="4"/>
  <c r="L34" i="4"/>
  <c r="K34" i="4"/>
  <c r="J34" i="4"/>
  <c r="U74" i="4" s="1"/>
  <c r="I35" i="4"/>
  <c r="I34" i="4"/>
  <c r="M32" i="4"/>
  <c r="L32" i="4"/>
  <c r="K32" i="4"/>
  <c r="J32" i="4"/>
  <c r="X78" i="4" s="1"/>
  <c r="I32" i="4"/>
  <c r="M31" i="4"/>
  <c r="L31" i="4"/>
  <c r="K31" i="4"/>
  <c r="J31" i="4"/>
  <c r="I31" i="4"/>
  <c r="M28" i="4"/>
  <c r="L28" i="4"/>
  <c r="K28" i="4"/>
  <c r="J28" i="4"/>
  <c r="I28" i="4"/>
  <c r="H28" i="4"/>
  <c r="G28" i="4"/>
  <c r="F28" i="4"/>
  <c r="E28" i="4"/>
  <c r="D28" i="4"/>
  <c r="C28" i="4"/>
  <c r="M27" i="4"/>
  <c r="L27" i="4"/>
  <c r="K27" i="4"/>
  <c r="J27" i="4"/>
  <c r="I27" i="4"/>
  <c r="H27" i="4"/>
  <c r="G27" i="4"/>
  <c r="F27" i="4"/>
  <c r="E27" i="4"/>
  <c r="D27" i="4"/>
  <c r="C27" i="4"/>
  <c r="M26" i="4"/>
  <c r="L26" i="4"/>
  <c r="K26" i="4"/>
  <c r="J26" i="4"/>
  <c r="I26" i="4"/>
  <c r="H26" i="4"/>
  <c r="G26" i="4"/>
  <c r="F26" i="4"/>
  <c r="E26" i="4"/>
  <c r="D26" i="4"/>
  <c r="C26" i="4"/>
  <c r="M25" i="4"/>
  <c r="L25" i="4"/>
  <c r="K25" i="4"/>
  <c r="J25" i="4"/>
  <c r="I25" i="4"/>
  <c r="H25" i="4"/>
  <c r="G25" i="4"/>
  <c r="F25" i="4"/>
  <c r="E25" i="4"/>
  <c r="D25" i="4"/>
  <c r="C25" i="4"/>
  <c r="M14" i="4"/>
  <c r="L14" i="4"/>
  <c r="K14" i="4"/>
  <c r="J14" i="4"/>
  <c r="O78" i="4" s="1"/>
  <c r="I14" i="4"/>
  <c r="H14" i="4"/>
  <c r="G14" i="4"/>
  <c r="F14" i="4"/>
  <c r="E14" i="4"/>
  <c r="D14" i="4"/>
  <c r="C14" i="4"/>
  <c r="B14" i="4"/>
  <c r="M13" i="4"/>
  <c r="L13" i="4"/>
  <c r="K13" i="4"/>
  <c r="J13" i="4"/>
  <c r="O74" i="4" s="1"/>
  <c r="I13" i="4"/>
  <c r="H13" i="4"/>
  <c r="G13" i="4"/>
  <c r="F13" i="4"/>
  <c r="E13" i="4"/>
  <c r="D13" i="4"/>
  <c r="C13" i="4"/>
  <c r="B13" i="4"/>
  <c r="M11" i="4"/>
  <c r="L11" i="4"/>
  <c r="K11" i="4"/>
  <c r="J11" i="4"/>
  <c r="I11" i="4"/>
  <c r="H11" i="4"/>
  <c r="G11" i="4"/>
  <c r="F11" i="4"/>
  <c r="E11" i="4"/>
  <c r="D11" i="4"/>
  <c r="C11" i="4"/>
  <c r="M10" i="4"/>
  <c r="L10" i="4"/>
  <c r="K10" i="4"/>
  <c r="J10" i="4"/>
  <c r="I10" i="4"/>
  <c r="H10" i="4"/>
  <c r="G10" i="4"/>
  <c r="F10" i="4"/>
  <c r="E10" i="4"/>
  <c r="D10" i="4"/>
  <c r="C10" i="4"/>
  <c r="M9" i="4"/>
  <c r="L9" i="4"/>
  <c r="K9" i="4"/>
  <c r="J9" i="4"/>
  <c r="I9" i="4"/>
  <c r="H9" i="4"/>
  <c r="G9" i="4"/>
  <c r="F9" i="4"/>
  <c r="E9" i="4"/>
  <c r="D9" i="4"/>
  <c r="C9" i="4"/>
  <c r="B11" i="4"/>
  <c r="B10" i="4"/>
  <c r="B9" i="4"/>
  <c r="U75" i="4" l="1"/>
  <c r="X83" i="4"/>
  <c r="K79" i="4"/>
  <c r="M36" i="4"/>
  <c r="I36" i="4"/>
  <c r="J36" i="4"/>
  <c r="K36" i="4"/>
  <c r="L36" i="4"/>
  <c r="M72" i="3"/>
  <c r="L72" i="3"/>
  <c r="K72" i="3"/>
  <c r="J72" i="3"/>
  <c r="I72" i="3"/>
  <c r="H72" i="3"/>
  <c r="G72" i="3"/>
  <c r="M53" i="3"/>
  <c r="L53" i="3"/>
  <c r="K53" i="3"/>
  <c r="J53" i="3"/>
  <c r="I53" i="3"/>
  <c r="I75" i="3" s="1"/>
  <c r="H53" i="3"/>
  <c r="G53" i="3"/>
  <c r="F72" i="3"/>
  <c r="E72" i="3"/>
  <c r="F53" i="3"/>
  <c r="E53" i="3"/>
  <c r="M9" i="3"/>
  <c r="L9" i="3"/>
  <c r="L39" i="3" s="1"/>
  <c r="K9" i="3"/>
  <c r="K39" i="3" s="1"/>
  <c r="J9" i="3"/>
  <c r="J39" i="3" s="1"/>
  <c r="I9" i="3"/>
  <c r="I39" i="3" s="1"/>
  <c r="H9" i="3"/>
  <c r="H39" i="3" s="1"/>
  <c r="G9" i="3"/>
  <c r="G39" i="3" s="1"/>
  <c r="F9" i="3"/>
  <c r="F39" i="3" s="1"/>
  <c r="E9" i="3"/>
  <c r="E39" i="3" s="1"/>
  <c r="D9" i="3"/>
  <c r="D39" i="3" s="1"/>
  <c r="C9" i="3"/>
  <c r="C39" i="3" s="1"/>
  <c r="B9" i="3"/>
  <c r="B39" i="3" s="1"/>
  <c r="D72" i="3"/>
  <c r="C72" i="3"/>
  <c r="B72" i="3"/>
  <c r="D53" i="3"/>
  <c r="C53" i="3"/>
  <c r="B53" i="3"/>
  <c r="L46" i="2"/>
  <c r="K46" i="2"/>
  <c r="J46" i="2"/>
  <c r="I46" i="2"/>
  <c r="M46" i="2"/>
  <c r="M29" i="2"/>
  <c r="L29" i="2"/>
  <c r="K29" i="2"/>
  <c r="M22" i="2"/>
  <c r="M19" i="2"/>
  <c r="L19" i="2"/>
  <c r="L22" i="2" s="1"/>
  <c r="K19" i="2"/>
  <c r="M11" i="2"/>
  <c r="M14" i="2" s="1"/>
  <c r="L11" i="2"/>
  <c r="L14" i="2" s="1"/>
  <c r="K11" i="2"/>
  <c r="K14" i="2" s="1"/>
  <c r="J29" i="2"/>
  <c r="I29" i="2"/>
  <c r="J19" i="2"/>
  <c r="J22" i="2" s="1"/>
  <c r="I19" i="2"/>
  <c r="I22" i="2" s="1"/>
  <c r="J11" i="2"/>
  <c r="I11" i="2"/>
  <c r="I14" i="2" s="1"/>
  <c r="H11" i="2"/>
  <c r="H14" i="2" s="1"/>
  <c r="G11" i="2"/>
  <c r="G14" i="2" s="1"/>
  <c r="F11" i="2"/>
  <c r="F14" i="2" s="1"/>
  <c r="E11" i="2"/>
  <c r="E14" i="2" s="1"/>
  <c r="D11" i="2"/>
  <c r="D14" i="2" s="1"/>
  <c r="C11" i="2"/>
  <c r="C14" i="2" s="1"/>
  <c r="B11" i="2"/>
  <c r="B14" i="2" s="1"/>
  <c r="G29" i="2"/>
  <c r="H29" i="2"/>
  <c r="G19" i="2"/>
  <c r="G22" i="2" s="1"/>
  <c r="H19" i="2"/>
  <c r="H22" i="2" s="1"/>
  <c r="F19" i="2"/>
  <c r="F22" i="2" s="1"/>
  <c r="F29" i="2"/>
  <c r="D19" i="2"/>
  <c r="D22" i="2" s="1"/>
  <c r="D29" i="2"/>
  <c r="E29" i="2"/>
  <c r="E19" i="2"/>
  <c r="E22" i="2" s="1"/>
  <c r="B29" i="2"/>
  <c r="C29" i="2"/>
  <c r="B19" i="2"/>
  <c r="B22" i="2" s="1"/>
  <c r="C19" i="2"/>
  <c r="C22" i="2" s="1"/>
  <c r="K63" i="1"/>
  <c r="J63" i="1"/>
  <c r="I63" i="1"/>
  <c r="H63" i="1"/>
  <c r="G63" i="1"/>
  <c r="F63" i="1"/>
  <c r="D63" i="1"/>
  <c r="E63" i="1"/>
  <c r="B63" i="1"/>
  <c r="C63" i="1"/>
  <c r="L39" i="1"/>
  <c r="L49" i="1" s="1"/>
  <c r="K39" i="1"/>
  <c r="K49" i="1" s="1"/>
  <c r="J39" i="1"/>
  <c r="J49" i="1" s="1"/>
  <c r="I39" i="1"/>
  <c r="I49" i="1" s="1"/>
  <c r="H39" i="1"/>
  <c r="H49" i="1" s="1"/>
  <c r="G39" i="1"/>
  <c r="G49" i="1" s="1"/>
  <c r="F39" i="1"/>
  <c r="F49" i="1" s="1"/>
  <c r="E39" i="1"/>
  <c r="E49" i="1" s="1"/>
  <c r="D39" i="1"/>
  <c r="D49" i="1" s="1"/>
  <c r="C39" i="1"/>
  <c r="C49" i="1" s="1"/>
  <c r="B39" i="1"/>
  <c r="B49" i="1" s="1"/>
  <c r="B15" i="1"/>
  <c r="B26" i="1" s="1"/>
  <c r="C15" i="1"/>
  <c r="C26" i="1" s="1"/>
  <c r="E15" i="1"/>
  <c r="E26" i="1" s="1"/>
  <c r="D15" i="1"/>
  <c r="D26" i="1" s="1"/>
  <c r="F15" i="1"/>
  <c r="F26" i="1" s="1"/>
  <c r="G15" i="1"/>
  <c r="G26" i="1" s="1"/>
  <c r="I15" i="1"/>
  <c r="I26" i="1" s="1"/>
  <c r="H15" i="1"/>
  <c r="H26" i="1" s="1"/>
  <c r="J15" i="1"/>
  <c r="J26" i="1" s="1"/>
  <c r="L15" i="1"/>
  <c r="L26" i="1" s="1"/>
  <c r="K15" i="1"/>
  <c r="K26" i="1" s="1"/>
  <c r="J75" i="3" l="1"/>
  <c r="K75" i="3"/>
  <c r="L75" i="3"/>
  <c r="H75" i="3"/>
  <c r="E75" i="3"/>
  <c r="G75" i="3"/>
  <c r="F75" i="3"/>
  <c r="C75" i="3"/>
  <c r="D75" i="3"/>
  <c r="B75" i="3"/>
  <c r="B78" i="3" s="1"/>
  <c r="C77" i="3" s="1"/>
  <c r="K22" i="2"/>
  <c r="L23" i="2"/>
  <c r="M23" i="2"/>
  <c r="J14" i="2"/>
  <c r="J23" i="2" s="1"/>
  <c r="J30" i="2" s="1"/>
  <c r="J35" i="2" s="1"/>
  <c r="J37" i="2" s="1"/>
  <c r="I23" i="2"/>
  <c r="I30" i="2" s="1"/>
  <c r="I35" i="2" s="1"/>
  <c r="I37" i="2" s="1"/>
  <c r="H23" i="2"/>
  <c r="H30" i="2" s="1"/>
  <c r="H35" i="2" s="1"/>
  <c r="H37" i="2" s="1"/>
  <c r="H43" i="2" s="1"/>
  <c r="H46" i="2" s="1"/>
  <c r="G23" i="2"/>
  <c r="G30" i="2" s="1"/>
  <c r="G35" i="2" s="1"/>
  <c r="G37" i="2" s="1"/>
  <c r="F23" i="2"/>
  <c r="F30" i="2" s="1"/>
  <c r="F35" i="2" s="1"/>
  <c r="F37" i="2" s="1"/>
  <c r="D23" i="2"/>
  <c r="D30" i="2" s="1"/>
  <c r="D35" i="2" s="1"/>
  <c r="D37" i="2" s="1"/>
  <c r="E23" i="2"/>
  <c r="E30" i="2" s="1"/>
  <c r="E35" i="2" s="1"/>
  <c r="E37" i="2" s="1"/>
  <c r="C23" i="2"/>
  <c r="C30" i="2" s="1"/>
  <c r="C35" i="2" s="1"/>
  <c r="C37" i="2" s="1"/>
  <c r="B23" i="2"/>
  <c r="B30" i="2" s="1"/>
  <c r="B35" i="2" s="1"/>
  <c r="B37" i="2" s="1"/>
  <c r="F65" i="1"/>
  <c r="K65" i="1"/>
  <c r="L65" i="1"/>
  <c r="I65" i="1"/>
  <c r="J65" i="1"/>
  <c r="H65" i="1"/>
  <c r="G65" i="1"/>
  <c r="E65" i="1"/>
  <c r="B65" i="1"/>
  <c r="D65" i="1"/>
  <c r="C65" i="1"/>
  <c r="C78" i="3" l="1"/>
  <c r="D77" i="3" s="1"/>
  <c r="D78" i="3" s="1"/>
  <c r="E77" i="3" s="1"/>
  <c r="E78" i="3" s="1"/>
  <c r="F77" i="3" s="1"/>
  <c r="F78" i="3" s="1"/>
  <c r="G77" i="3" s="1"/>
  <c r="G78" i="3" s="1"/>
  <c r="H77" i="3" s="1"/>
  <c r="H78" i="3" s="1"/>
  <c r="I77" i="3" s="1"/>
  <c r="I78" i="3" s="1"/>
  <c r="K23" i="2"/>
  <c r="K30" i="2" s="1"/>
  <c r="L30" i="2"/>
  <c r="M30" i="2"/>
  <c r="J77" i="3" l="1"/>
  <c r="J78" i="3" s="1"/>
  <c r="L35" i="2"/>
  <c r="L37" i="2" s="1"/>
  <c r="M35" i="2"/>
  <c r="K35" i="2"/>
  <c r="K37" i="2" l="1"/>
  <c r="M37" i="2"/>
  <c r="K78" i="3" l="1"/>
  <c r="L77" i="3" l="1"/>
  <c r="L78" i="3" l="1"/>
  <c r="M77" i="3" l="1"/>
  <c r="M78" i="3" l="1"/>
</calcChain>
</file>

<file path=xl/sharedStrings.xml><?xml version="1.0" encoding="utf-8"?>
<sst xmlns="http://schemas.openxmlformats.org/spreadsheetml/2006/main" count="287" uniqueCount="208">
  <si>
    <t>Assets</t>
  </si>
  <si>
    <t>Current assets</t>
  </si>
  <si>
    <t>Cash and cash equivalents</t>
  </si>
  <si>
    <t>—  </t>
  </si>
  <si>
    <t>Restricted cash</t>
  </si>
  <si>
    <t>Accounts receivable</t>
  </si>
  <si>
    <t>Inventory</t>
  </si>
  <si>
    <t>Prepaid expenses and other current assets</t>
  </si>
  <si>
    <t>Total current assets</t>
  </si>
  <si>
    <t>Operating lease vehicles, net</t>
  </si>
  <si>
    <t>Property, plant and equipment, net</t>
  </si>
  <si>
    <t>Other assets</t>
  </si>
  <si>
    <t>Total assets</t>
  </si>
  <si>
    <t>Liabilities and Stockholders’ Equity</t>
  </si>
  <si>
    <t>Current liabilities</t>
  </si>
  <si>
    <t>Accounts payable</t>
  </si>
  <si>
    <t>Accrued liabilities</t>
  </si>
  <si>
    <t>Deferred revenue</t>
  </si>
  <si>
    <t>Capital lease obligations, current portion</t>
  </si>
  <si>
    <t>Reservation payments</t>
  </si>
  <si>
    <t>Total current liabilities</t>
  </si>
  <si>
    <t>Common stock warrant liability</t>
  </si>
  <si>
    <t>Capital lease obligations, less current portion</t>
  </si>
  <si>
    <t>Deferred revenue, less current portion</t>
  </si>
  <si>
    <t>Other long-term liabilities</t>
  </si>
  <si>
    <t>Total liabilities</t>
  </si>
  <si>
    <t>Commitments and contingencies (Note 15)</t>
  </si>
  <si>
    <t>Stockholders’ equity:</t>
  </si>
  <si>
    <t>Preferred stock; $0.001 par value; 221,903,982 shares authorized; no shares issued and outstanding</t>
  </si>
  <si>
    <t>Common stock; $0.001 par value; 2,000,000,000 shares authorized as of December 31, 2011 and 2010, respectively; 104,530,305 and 94,908,370 shares issued and outstanding as of December 31, 2011 and 2010, respectively</t>
  </si>
  <si>
    <t>Additional paid-in capital</t>
  </si>
  <si>
    <t>Accumulated other comprehensive loss</t>
  </si>
  <si>
    <t>Accumulated deficit</t>
  </si>
  <si>
    <t>Total stockholders’ equity</t>
  </si>
  <si>
    <t>Total liabilities and stockholders’ equity</t>
  </si>
  <si>
    <t>Tesla Motors, Inc.</t>
  </si>
  <si>
    <t>Consolidated Balance Sheets</t>
  </si>
  <si>
    <t>(in thousands, except share and per share data)</t>
  </si>
  <si>
    <t>December 31,</t>
  </si>
  <si>
    <t>Consolidated Statements of Operations</t>
  </si>
  <si>
    <t>Year Ended December 31,</t>
  </si>
  <si>
    <t>Revenues</t>
  </si>
  <si>
    <t>Automotive sales</t>
  </si>
  <si>
    <t>Development services</t>
  </si>
  <si>
    <t>Total revenues</t>
  </si>
  <si>
    <t>Cost of revenues</t>
  </si>
  <si>
    <t>Total cost of revenues</t>
  </si>
  <si>
    <t>Gross profit</t>
  </si>
  <si>
    <t>Operating expenses</t>
  </si>
  <si>
    <t>Selling, general and administrative</t>
  </si>
  <si>
    <t>Total operating expenses</t>
  </si>
  <si>
    <t>Interest income</t>
  </si>
  <si>
    <t>Interest expense</t>
  </si>
  <si>
    <t>Other expense, net</t>
  </si>
  <si>
    <t>Loss before income taxes</t>
  </si>
  <si>
    <t>Provision for income taxes</t>
  </si>
  <si>
    <t>Net loss</t>
  </si>
  <si>
    <t>Net loss per share of common stock, basic and diluted</t>
  </si>
  <si>
    <t>Weighted average shares used in computing net loss per share of common stock, basic and diluted</t>
  </si>
  <si>
    <t>Consolidated Statements of Cash Flows</t>
  </si>
  <si>
    <t>(in thousands)</t>
  </si>
  <si>
    <t>Cash Flows From Operating Activities</t>
  </si>
  <si>
    <t>Adjustments to reconcile net loss to net cash used in operating activities:</t>
  </si>
  <si>
    <t>Depreciation and amortization</t>
  </si>
  <si>
    <t>Change in fair value of warrant liabilities</t>
  </si>
  <si>
    <t>Gain on extinguishment of convertible notes and warrants</t>
  </si>
  <si>
    <t>Discounts and premiums on short-term marketable securities</t>
  </si>
  <si>
    <t>Stock-based compensation</t>
  </si>
  <si>
    <t>Excess tax benefits from stock-based compensation</t>
  </si>
  <si>
    <t>Loss on abandonment of fixed assets</t>
  </si>
  <si>
    <t>Inventory write-downs</t>
  </si>
  <si>
    <t>Interest on convertible notes</t>
  </si>
  <si>
    <t>Changes in operating assets and liabilities</t>
  </si>
  <si>
    <t>Inventories and operating lease vehicles</t>
  </si>
  <si>
    <t>Deferred development compensation</t>
  </si>
  <si>
    <t>Net cash used in operating activities</t>
  </si>
  <si>
    <t>Cash Flows From Investing Activities</t>
  </si>
  <si>
    <t>Purchases of marketable securities</t>
  </si>
  <si>
    <t>Maturities of short-term marketable securities</t>
  </si>
  <si>
    <t>Payments related to acquisition of Fremont manufacturing facility and related assets</t>
  </si>
  <si>
    <t>Purchases of property and equipment excluding capital leases</t>
  </si>
  <si>
    <t>Withdrawals out of (transfers into) our dedicated Department of Energy account, net</t>
  </si>
  <si>
    <t>Increase in other restricted cash</t>
  </si>
  <si>
    <t>Net cash used in investing activities</t>
  </si>
  <si>
    <t>Cash Flows From Financing Activities</t>
  </si>
  <si>
    <t>Proceeds from issuance of common stock in public offerings</t>
  </si>
  <si>
    <t>Proceeds from issuance of common stock in private placements</t>
  </si>
  <si>
    <t>Proceeds from issuance of Series F convertible preferred stock, net of issuance costs of $122</t>
  </si>
  <si>
    <t>Proceeds from issuance of Series E convertible preferred stock, net of issuance costs of $556</t>
  </si>
  <si>
    <t>Principal payments on capital leases and other debt</t>
  </si>
  <si>
    <t>Proceeds from long-term debt and other long-term liabilities</t>
  </si>
  <si>
    <t>Proceeds from issuance of convertible notes and warrants</t>
  </si>
  <si>
    <t>Proceeds from exercise of stock options and other stock issuances</t>
  </si>
  <si>
    <t>Deferred common stock and loan facility issuance costs</t>
  </si>
  <si>
    <t>Net cash provided by financing activities</t>
  </si>
  <si>
    <t>Net increase in cash and cash equivalents</t>
  </si>
  <si>
    <t>Cash and cash equivalents at beginning of period</t>
  </si>
  <si>
    <t>Cash and cash equivalents at end of period</t>
  </si>
  <si>
    <t>Supplemental Disclosures</t>
  </si>
  <si>
    <t>Interest paid</t>
  </si>
  <si>
    <t>Income taxes paid</t>
  </si>
  <si>
    <t>Supplemental noncash investing and financing activities</t>
  </si>
  <si>
    <t>Conversion of preferred stock to common stock</t>
  </si>
  <si>
    <t>Issuance of common stock upon net exercise of warrants</t>
  </si>
  <si>
    <t>Issuance of convertible preferred stock warrant</t>
  </si>
  <si>
    <t>Issuance of common stock warrant</t>
  </si>
  <si>
    <t>Conversion of notes payable to Series E convertible preferred stock</t>
  </si>
  <si>
    <t>Exchange of convertible notes payable</t>
  </si>
  <si>
    <t>Exchange of accrued interest for convertible notes payable</t>
  </si>
  <si>
    <t>Acquisition of property and equipment</t>
  </si>
  <si>
    <t>Customer deposits</t>
  </si>
  <si>
    <t>Resale value guarantee</t>
  </si>
  <si>
    <t>December 31,</t>
  </si>
  <si>
    <t>Restricted cash and marketable securities</t>
  </si>
  <si>
    <t>Resale value guarantees</t>
  </si>
  <si>
    <t>—</t>
  </si>
  <si>
    <t>Convertible senior notes (Notes 8)</t>
  </si>
  <si>
    <t>Solar energy systems, leased and to be leased, net</t>
  </si>
  <si>
    <t>Intangible assets, net</t>
  </si>
  <si>
    <t>Goodwill</t>
  </si>
  <si>
    <t>MyPower customer notes receivable, net of current portion</t>
  </si>
  <si>
    <t>Current portion of long-term debt and capital leases</t>
  </si>
  <si>
    <t>Current portion of solar bonds and promissory notes issued to related parties</t>
  </si>
  <si>
    <t>Solar bonds issued to related parties, net of current portion</t>
  </si>
  <si>
    <t>Convertible senior notes issued to related parties</t>
  </si>
  <si>
    <t>Redeemable noncontrolling interests in subsidiaries</t>
  </si>
  <si>
    <t>Equity</t>
  </si>
  <si>
    <t>Noncontrolling interests in subsidiaries</t>
  </si>
  <si>
    <t>Operating lease right-of-use assets</t>
  </si>
  <si>
    <t>Debt and finance leases, net of current portion</t>
  </si>
  <si>
    <t>Year Ended December 31,</t>
  </si>
  <si>
    <t>Year Ended December 31,</t>
  </si>
  <si>
    <t>Automotive leasing</t>
  </si>
  <si>
    <t>Total automotive revenues</t>
  </si>
  <si>
    <t>Energy generation and storage</t>
  </si>
  <si>
    <t>Total automotive cost of revenues</t>
  </si>
  <si>
    <t>Basic</t>
  </si>
  <si>
    <t>Diluted</t>
  </si>
  <si>
    <t>Year Ended December 31,</t>
  </si>
  <si>
    <t>Restructuring and other</t>
  </si>
  <si>
    <t>Income (loss) from operations</t>
  </si>
  <si>
    <t>Less: Buy-out of noncontrolling interest</t>
  </si>
  <si>
    <t>Amortization of discount on convertible debt</t>
  </si>
  <si>
    <t>Write-off of Department of Energy (DOE) loan origination costs</t>
  </si>
  <si>
    <t>Other non-cash operating activities</t>
  </si>
  <si>
    <t>Foreign currency transaction gain</t>
  </si>
  <si>
    <t>Accounts payable and accrued liabilities</t>
  </si>
  <si>
    <t>Business acquisition</t>
  </si>
  <si>
    <t>Loss (gain) related to SolarCity acquisition</t>
  </si>
  <si>
    <t>Operating lease vehicles</t>
  </si>
  <si>
    <t>Purchases of solar energy systems, leased and to be leased</t>
  </si>
  <si>
    <t>Business combinations, net of cash acquired</t>
  </si>
  <si>
    <t>2,145,977</t>
  </si>
  <si>
    <t>Operating cash flow related to repayment of discounted convertible notes</t>
  </si>
  <si>
    <t>Purchase of intangible assets</t>
  </si>
  <si>
    <t>Receipt of government grants</t>
  </si>
  <si>
    <t>in thousands, except share and per share data</t>
  </si>
  <si>
    <t>Research and development net of development compensation of $23,249 for the year ended December 31, 2009</t>
  </si>
  <si>
    <t>Net income loss attributable to common stockholders</t>
  </si>
  <si>
    <t>Net income loss used in computing net   income loss per share of common stock</t>
  </si>
  <si>
    <t>Net income loss per share of common stock attributable   to common stockholders 1</t>
  </si>
  <si>
    <t>Net income loss attributable to noncontrolling interests and   redeemable noncontrolling interests in subsidiaries</t>
  </si>
  <si>
    <t>Weighted average shares used in computing net   income loss per share of common stock 1</t>
  </si>
  <si>
    <t>s</t>
  </si>
  <si>
    <t>RATIOS</t>
  </si>
  <si>
    <t>Income Statement</t>
  </si>
  <si>
    <t>Gross Profit Ratio</t>
  </si>
  <si>
    <t>Operating Profit Ratio</t>
  </si>
  <si>
    <t>Net Profit Ratio</t>
  </si>
  <si>
    <t>Tax Ratio</t>
  </si>
  <si>
    <t>Interest Coverage Ratio</t>
  </si>
  <si>
    <t>Balance Sheet</t>
  </si>
  <si>
    <t>Quick Ratio</t>
  </si>
  <si>
    <t>Current Ratio</t>
  </si>
  <si>
    <t>Total Asset Turnover Ratio</t>
  </si>
  <si>
    <t>Net Asset Turnover Ratio</t>
  </si>
  <si>
    <t>Inventory Efficiency</t>
  </si>
  <si>
    <t>Inventory Turnover Ratio</t>
  </si>
  <si>
    <t>Inventory Days Ratio</t>
  </si>
  <si>
    <t>Receivables Days Ratio</t>
  </si>
  <si>
    <t>Payables Days Ratio</t>
  </si>
  <si>
    <t>Working Capital Funding Gap</t>
  </si>
  <si>
    <t>PP&amp;E ratio</t>
  </si>
  <si>
    <t>Debt to Equity</t>
  </si>
  <si>
    <t>Debt to Capital</t>
  </si>
  <si>
    <t>Debt to Tangible Net Worth</t>
  </si>
  <si>
    <t>Total Liabilities to Equity</t>
  </si>
  <si>
    <t>Total Assets to Equity</t>
  </si>
  <si>
    <t>Debt to EBITDA</t>
  </si>
  <si>
    <t>Leverage Ratios</t>
  </si>
  <si>
    <t>SG&amp;A</t>
  </si>
  <si>
    <t>R&amp;D</t>
  </si>
  <si>
    <t>Dep. &amp; Amort.</t>
  </si>
  <si>
    <t>Unusual Expenses</t>
  </si>
  <si>
    <t>Other</t>
  </si>
  <si>
    <t>Interest</t>
  </si>
  <si>
    <t>Extraordinary Items</t>
  </si>
  <si>
    <t>Working Capital Turnover</t>
  </si>
  <si>
    <t>Cash Turnover</t>
  </si>
  <si>
    <t>Capital Structure Impact</t>
  </si>
  <si>
    <t>Acid Test</t>
  </si>
  <si>
    <t>Rates of Return</t>
  </si>
  <si>
    <t>Return on Equity</t>
  </si>
  <si>
    <t>Return on Assets</t>
  </si>
  <si>
    <t>Pyramid Analysis</t>
  </si>
  <si>
    <t>Solvency Ratios</t>
  </si>
  <si>
    <t>Liquidity Ratios</t>
  </si>
  <si>
    <t>Total Liabiltiies to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</si>
</sst>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  <numFmt numFmtId="166" formatCode="\ #,##0.00_);\(\ #,##0.00\)"/>
    <numFmt numFmtId="167" formatCode="\ #,##0_);\(\ #,##0\)"/>
    <numFmt numFmtId="168" formatCode="0.0%"/>
    <numFmt numFmtId="169" formatCode="#,##0.00%;[Red]\(#,##0.00%\)"/>
    <numFmt numFmtId="170" formatCode="_-* #,##0.0_-;\-* #,##0.0_-;_-* &quot;-&quot;??_-;_-@_-"/>
    <numFmt numFmtId="171" formatCode="_-* #,##0.0\ _€_-;\-* #,##0.0\ _€_-;_-* &quot;-&quot;?\ _€_-;_-@_-"/>
    <numFmt numFmtId="172" formatCode="#&quot;A&quot;"/>
    <numFmt numFmtId="173" formatCode="0.00%;[Red]\(0.00%\);\-"/>
    <numFmt numFmtId="174" formatCode="#,##0.00;[Red]\(#,##0.00\);\-"/>
    <numFmt numFmtId="175" formatCode="0.00;[Red]\(0.00\);\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theme="1"/>
      <name val="Arial Narrow"/>
      <family val="2"/>
    </font>
    <font>
      <b/>
      <sz val="12"/>
      <color rgb="FFFFFFFF"/>
      <name val="Arial Narrow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rgb="FF000000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8" fillId="0" borderId="0"/>
  </cellStyleXfs>
  <cellXfs count="67">
    <xf numFmtId="0" fontId="0" fillId="0" borderId="0" xfId="0"/>
    <xf numFmtId="0" fontId="2" fillId="0" borderId="0" xfId="0" applyFont="1" applyAlignment="1">
      <alignment vertical="center"/>
    </xf>
    <xf numFmtId="43" fontId="2" fillId="0" borderId="0" xfId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1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165" fontId="2" fillId="0" borderId="0" xfId="1" applyNumberFormat="1" applyFont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65" fontId="3" fillId="0" borderId="0" xfId="1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2" fillId="0" borderId="0" xfId="1" applyNumberFormat="1" applyFont="1" applyAlignment="1">
      <alignment vertical="center"/>
    </xf>
    <xf numFmtId="166" fontId="2" fillId="0" borderId="0" xfId="1" applyNumberFormat="1" applyFont="1" applyAlignment="1">
      <alignment vertical="center"/>
    </xf>
    <xf numFmtId="167" fontId="2" fillId="0" borderId="0" xfId="1" applyNumberFormat="1" applyFont="1" applyAlignment="1">
      <alignment vertical="center"/>
    </xf>
    <xf numFmtId="167" fontId="3" fillId="0" borderId="0" xfId="1" applyNumberFormat="1" applyFont="1" applyAlignment="1">
      <alignment vertical="center"/>
    </xf>
    <xf numFmtId="167" fontId="4" fillId="0" borderId="0" xfId="1" applyNumberFormat="1" applyFont="1" applyAlignment="1">
      <alignment vertical="center"/>
    </xf>
    <xf numFmtId="0" fontId="3" fillId="0" borderId="0" xfId="0" applyNumberFormat="1" applyFont="1" applyAlignment="1">
      <alignment horizontal="center" vertical="center"/>
    </xf>
    <xf numFmtId="10" fontId="2" fillId="0" borderId="0" xfId="2" applyNumberFormat="1" applyFont="1" applyAlignment="1">
      <alignment vertical="center"/>
    </xf>
    <xf numFmtId="169" fontId="2" fillId="0" borderId="0" xfId="2" applyNumberFormat="1" applyFont="1" applyAlignment="1">
      <alignment vertical="center"/>
    </xf>
    <xf numFmtId="168" fontId="2" fillId="0" borderId="0" xfId="2" applyNumberFormat="1" applyFont="1" applyAlignment="1">
      <alignment vertical="center"/>
    </xf>
    <xf numFmtId="170" fontId="2" fillId="0" borderId="0" xfId="1" applyNumberFormat="1" applyFont="1" applyAlignment="1">
      <alignment vertical="center"/>
    </xf>
    <xf numFmtId="171" fontId="2" fillId="0" borderId="0" xfId="0" applyNumberFormat="1" applyFont="1" applyAlignment="1">
      <alignment vertical="center"/>
    </xf>
    <xf numFmtId="0" fontId="6" fillId="0" borderId="0" xfId="0" applyFont="1"/>
    <xf numFmtId="0" fontId="7" fillId="2" borderId="0" xfId="0" applyFont="1" applyFill="1" applyAlignment="1">
      <alignment horizontal="left" vertical="center" readingOrder="1"/>
    </xf>
    <xf numFmtId="0" fontId="7" fillId="2" borderId="0" xfId="0" applyFont="1" applyFill="1" applyAlignment="1">
      <alignment horizontal="left" vertical="center" wrapText="1" readingOrder="1"/>
    </xf>
    <xf numFmtId="0" fontId="7" fillId="2" borderId="0" xfId="0" applyFont="1" applyFill="1" applyAlignment="1">
      <alignment horizontal="right" vertical="center" wrapText="1" readingOrder="1"/>
    </xf>
    <xf numFmtId="0" fontId="8" fillId="0" borderId="0" xfId="3"/>
    <xf numFmtId="0" fontId="9" fillId="0" borderId="1" xfId="3" applyFont="1" applyBorder="1" applyAlignment="1">
      <alignment horizontal="centerContinuous"/>
    </xf>
    <xf numFmtId="0" fontId="9" fillId="0" borderId="2" xfId="3" applyFont="1" applyBorder="1" applyAlignment="1">
      <alignment horizontal="centerContinuous"/>
    </xf>
    <xf numFmtId="0" fontId="9" fillId="0" borderId="3" xfId="3" applyFont="1" applyBorder="1" applyAlignment="1">
      <alignment horizontal="centerContinuous"/>
    </xf>
    <xf numFmtId="172" fontId="8" fillId="0" borderId="0" xfId="3" applyNumberFormat="1"/>
    <xf numFmtId="0" fontId="8" fillId="0" borderId="4" xfId="3" applyBorder="1" applyAlignment="1">
      <alignment horizontal="center"/>
    </xf>
    <xf numFmtId="0" fontId="8" fillId="0" borderId="0" xfId="3" applyAlignment="1">
      <alignment horizontal="center"/>
    </xf>
    <xf numFmtId="0" fontId="8" fillId="0" borderId="5" xfId="3" applyBorder="1" applyAlignment="1">
      <alignment horizontal="center"/>
    </xf>
    <xf numFmtId="168" fontId="8" fillId="0" borderId="0" xfId="2" applyNumberFormat="1" applyFont="1" applyBorder="1"/>
    <xf numFmtId="173" fontId="8" fillId="0" borderId="6" xfId="2" applyNumberFormat="1" applyFont="1" applyBorder="1" applyAlignment="1">
      <alignment horizontal="center"/>
    </xf>
    <xf numFmtId="173" fontId="8" fillId="0" borderId="7" xfId="2" applyNumberFormat="1" applyFont="1" applyBorder="1" applyAlignment="1">
      <alignment horizontal="center"/>
    </xf>
    <xf numFmtId="173" fontId="8" fillId="0" borderId="8" xfId="2" applyNumberFormat="1" applyFont="1" applyBorder="1" applyAlignment="1">
      <alignment horizontal="center"/>
    </xf>
    <xf numFmtId="0" fontId="9" fillId="0" borderId="0" xfId="3" applyFont="1"/>
    <xf numFmtId="174" fontId="8" fillId="0" borderId="6" xfId="3" applyNumberFormat="1" applyBorder="1" applyAlignment="1">
      <alignment horizontal="center"/>
    </xf>
    <xf numFmtId="174" fontId="8" fillId="0" borderId="7" xfId="3" applyNumberFormat="1" applyBorder="1" applyAlignment="1">
      <alignment horizontal="center"/>
    </xf>
    <xf numFmtId="174" fontId="8" fillId="0" borderId="8" xfId="3" applyNumberFormat="1" applyBorder="1" applyAlignment="1">
      <alignment horizontal="center"/>
    </xf>
    <xf numFmtId="0" fontId="9" fillId="0" borderId="1" xfId="3" applyFont="1" applyBorder="1" applyAlignment="1">
      <alignment horizontal="centerContinuous" vertical="center"/>
    </xf>
    <xf numFmtId="0" fontId="9" fillId="0" borderId="2" xfId="3" applyFont="1" applyBorder="1" applyAlignment="1">
      <alignment horizontal="centerContinuous" vertical="center"/>
    </xf>
    <xf numFmtId="0" fontId="9" fillId="0" borderId="3" xfId="3" applyFont="1" applyBorder="1" applyAlignment="1">
      <alignment horizontal="centerContinuous" vertical="center"/>
    </xf>
    <xf numFmtId="0" fontId="8" fillId="0" borderId="4" xfId="3" applyBorder="1"/>
    <xf numFmtId="0" fontId="9" fillId="0" borderId="4" xfId="3" applyFont="1" applyBorder="1"/>
    <xf numFmtId="175" fontId="8" fillId="0" borderId="0" xfId="4" quotePrefix="1" applyNumberFormat="1" applyAlignment="1">
      <alignment horizontal="center"/>
    </xf>
    <xf numFmtId="175" fontId="8" fillId="0" borderId="5" xfId="4" quotePrefix="1" applyNumberFormat="1" applyBorder="1" applyAlignment="1">
      <alignment horizontal="center"/>
    </xf>
    <xf numFmtId="0" fontId="9" fillId="0" borderId="6" xfId="3" applyFont="1" applyBorder="1"/>
    <xf numFmtId="0" fontId="9" fillId="0" borderId="7" xfId="3" applyFont="1" applyBorder="1"/>
    <xf numFmtId="175" fontId="8" fillId="0" borderId="7" xfId="4" quotePrefix="1" applyNumberFormat="1" applyBorder="1" applyAlignment="1">
      <alignment horizontal="center"/>
    </xf>
    <xf numFmtId="175" fontId="8" fillId="0" borderId="8" xfId="4" quotePrefix="1" applyNumberFormat="1" applyBorder="1" applyAlignment="1">
      <alignment horizontal="center"/>
    </xf>
    <xf numFmtId="9" fontId="8" fillId="0" borderId="4" xfId="2" applyFont="1" applyBorder="1" applyAlignment="1">
      <alignment horizontal="center"/>
    </xf>
    <xf numFmtId="9" fontId="8" fillId="0" borderId="0" xfId="2" applyFont="1" applyAlignment="1">
      <alignment horizontal="center"/>
    </xf>
    <xf numFmtId="9" fontId="8" fillId="0" borderId="5" xfId="2" applyFont="1" applyBorder="1" applyAlignment="1">
      <alignment horizontal="center"/>
    </xf>
    <xf numFmtId="169" fontId="8" fillId="0" borderId="4" xfId="3" applyNumberFormat="1" applyBorder="1" applyAlignment="1">
      <alignment horizontal="center"/>
    </xf>
    <xf numFmtId="168" fontId="8" fillId="0" borderId="4" xfId="3" applyNumberFormat="1" applyBorder="1" applyAlignment="1">
      <alignment horizontal="center"/>
    </xf>
    <xf numFmtId="168" fontId="8" fillId="0" borderId="0" xfId="3" applyNumberFormat="1" applyBorder="1" applyAlignment="1">
      <alignment horizontal="center"/>
    </xf>
    <xf numFmtId="168" fontId="8" fillId="0" borderId="5" xfId="3" applyNumberFormat="1" applyBorder="1" applyAlignment="1">
      <alignment horizontal="center"/>
    </xf>
    <xf numFmtId="170" fontId="8" fillId="0" borderId="4" xfId="3" applyNumberFormat="1" applyBorder="1" applyAlignment="1">
      <alignment horizontal="center"/>
    </xf>
    <xf numFmtId="170" fontId="8" fillId="0" borderId="0" xfId="3" applyNumberFormat="1" applyBorder="1" applyAlignment="1">
      <alignment horizontal="center"/>
    </xf>
    <xf numFmtId="170" fontId="8" fillId="0" borderId="5" xfId="3" applyNumberFormat="1" applyBorder="1" applyAlignment="1">
      <alignment horizontal="center"/>
    </xf>
    <xf numFmtId="169" fontId="8" fillId="0" borderId="0" xfId="3" applyNumberFormat="1" applyBorder="1" applyAlignment="1">
      <alignment horizontal="center"/>
    </xf>
    <xf numFmtId="169" fontId="8" fillId="0" borderId="5" xfId="3" applyNumberFormat="1" applyBorder="1" applyAlignment="1">
      <alignment horizontal="center"/>
    </xf>
  </cellXfs>
  <cellStyles count="5">
    <cellStyle name="Normal" xfId="0" builtinId="0"/>
    <cellStyle name="Normal_inesbitassignment1Stantec" xfId="3" xr:uid="{BD40C594-AFD6-44A0-AB49-8A2A6B554D4A}"/>
    <cellStyle name="Normal_Wal-Mart Financial Statements" xfId="4" xr:uid="{8D718294-0C06-412D-A063-9B9E4E88CEE4}"/>
    <cellStyle name="Pe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333375</xdr:colOff>
      <xdr:row>59</xdr:row>
      <xdr:rowOff>0</xdr:rowOff>
    </xdr:from>
    <xdr:to>
      <xdr:col>19</xdr:col>
      <xdr:colOff>337705</xdr:colOff>
      <xdr:row>61</xdr:row>
      <xdr:rowOff>25977</xdr:rowOff>
    </xdr:to>
    <xdr:sp macro="" textlink="">
      <xdr:nvSpPr>
        <xdr:cNvPr id="18" name="Line 19">
          <a:extLst>
            <a:ext uri="{FF2B5EF4-FFF2-40B4-BE49-F238E27FC236}">
              <a16:creationId xmlns:a16="http://schemas.microsoft.com/office/drawing/2014/main" id="{D039F578-F291-4E40-8396-A52F891ED2AF}"/>
            </a:ext>
          </a:extLst>
        </xdr:cNvPr>
        <xdr:cNvSpPr>
          <a:spLocks noChangeShapeType="1"/>
        </xdr:cNvSpPr>
      </xdr:nvSpPr>
      <xdr:spPr bwMode="auto">
        <a:xfrm>
          <a:off x="9115425" y="27127200"/>
          <a:ext cx="4330" cy="435552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609599</xdr:colOff>
      <xdr:row>62</xdr:row>
      <xdr:rowOff>104775</xdr:rowOff>
    </xdr:from>
    <xdr:to>
      <xdr:col>22</xdr:col>
      <xdr:colOff>611503</xdr:colOff>
      <xdr:row>62</xdr:row>
      <xdr:rowOff>104775</xdr:rowOff>
    </xdr:to>
    <xdr:sp macro="" textlink="">
      <xdr:nvSpPr>
        <xdr:cNvPr id="19" name="Line 22">
          <a:extLst>
            <a:ext uri="{FF2B5EF4-FFF2-40B4-BE49-F238E27FC236}">
              <a16:creationId xmlns:a16="http://schemas.microsoft.com/office/drawing/2014/main" id="{06C29F3D-1C0E-443F-AD36-BBCAF096FC95}"/>
            </a:ext>
          </a:extLst>
        </xdr:cNvPr>
        <xdr:cNvSpPr>
          <a:spLocks noChangeShapeType="1"/>
        </xdr:cNvSpPr>
      </xdr:nvSpPr>
      <xdr:spPr bwMode="auto">
        <a:xfrm>
          <a:off x="10629899" y="27841575"/>
          <a:ext cx="621029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390525</xdr:colOff>
      <xdr:row>63</xdr:row>
      <xdr:rowOff>204257</xdr:rowOff>
    </xdr:from>
    <xdr:to>
      <xdr:col>13</xdr:col>
      <xdr:colOff>390525</xdr:colOff>
      <xdr:row>68</xdr:row>
      <xdr:rowOff>204257</xdr:rowOff>
    </xdr:to>
    <xdr:sp macro="" textlink="">
      <xdr:nvSpPr>
        <xdr:cNvPr id="20" name="Line 23">
          <a:extLst>
            <a:ext uri="{FF2B5EF4-FFF2-40B4-BE49-F238E27FC236}">
              <a16:creationId xmlns:a16="http://schemas.microsoft.com/office/drawing/2014/main" id="{58944E17-9D2E-46F6-972A-B127BDFE2281}"/>
            </a:ext>
          </a:extLst>
        </xdr:cNvPr>
        <xdr:cNvSpPr>
          <a:spLocks noChangeShapeType="1"/>
        </xdr:cNvSpPr>
      </xdr:nvSpPr>
      <xdr:spPr bwMode="auto">
        <a:xfrm>
          <a:off x="4733925" y="28141082"/>
          <a:ext cx="0" cy="102870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1</xdr:colOff>
      <xdr:row>66</xdr:row>
      <xdr:rowOff>104775</xdr:rowOff>
    </xdr:from>
    <xdr:to>
      <xdr:col>26</xdr:col>
      <xdr:colOff>19051</xdr:colOff>
      <xdr:row>66</xdr:row>
      <xdr:rowOff>104775</xdr:rowOff>
    </xdr:to>
    <xdr:sp macro="" textlink="">
      <xdr:nvSpPr>
        <xdr:cNvPr id="21" name="Line 25">
          <a:extLst>
            <a:ext uri="{FF2B5EF4-FFF2-40B4-BE49-F238E27FC236}">
              <a16:creationId xmlns:a16="http://schemas.microsoft.com/office/drawing/2014/main" id="{093338CD-3504-4669-BA33-E6D429987DD4}"/>
            </a:ext>
          </a:extLst>
        </xdr:cNvPr>
        <xdr:cNvSpPr>
          <a:spLocks noChangeShapeType="1"/>
        </xdr:cNvSpPr>
      </xdr:nvSpPr>
      <xdr:spPr bwMode="auto">
        <a:xfrm>
          <a:off x="12477751" y="28660725"/>
          <a:ext cx="6286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1095374</xdr:colOff>
      <xdr:row>66</xdr:row>
      <xdr:rowOff>104775</xdr:rowOff>
    </xdr:from>
    <xdr:to>
      <xdr:col>13</xdr:col>
      <xdr:colOff>609598</xdr:colOff>
      <xdr:row>66</xdr:row>
      <xdr:rowOff>161925</xdr:rowOff>
    </xdr:to>
    <xdr:sp macro="" textlink="">
      <xdr:nvSpPr>
        <xdr:cNvPr id="22" name="Line 26">
          <a:extLst>
            <a:ext uri="{FF2B5EF4-FFF2-40B4-BE49-F238E27FC236}">
              <a16:creationId xmlns:a16="http://schemas.microsoft.com/office/drawing/2014/main" id="{780E6828-A5A5-4A5E-9231-2ECDCA3D75D1}"/>
            </a:ext>
          </a:extLst>
        </xdr:cNvPr>
        <xdr:cNvSpPr>
          <a:spLocks noChangeShapeType="1"/>
        </xdr:cNvSpPr>
      </xdr:nvSpPr>
      <xdr:spPr bwMode="auto">
        <a:xfrm flipV="1">
          <a:off x="7258049" y="12858750"/>
          <a:ext cx="628649" cy="5715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15874</xdr:colOff>
      <xdr:row>74</xdr:row>
      <xdr:rowOff>85725</xdr:rowOff>
    </xdr:from>
    <xdr:to>
      <xdr:col>25</xdr:col>
      <xdr:colOff>582802</xdr:colOff>
      <xdr:row>74</xdr:row>
      <xdr:rowOff>85725</xdr:rowOff>
    </xdr:to>
    <xdr:sp macro="" textlink="">
      <xdr:nvSpPr>
        <xdr:cNvPr id="23" name="Line 32">
          <a:extLst>
            <a:ext uri="{FF2B5EF4-FFF2-40B4-BE49-F238E27FC236}">
              <a16:creationId xmlns:a16="http://schemas.microsoft.com/office/drawing/2014/main" id="{16754339-E67E-4C99-8B68-DBFC4C49C6AD}"/>
            </a:ext>
          </a:extLst>
        </xdr:cNvPr>
        <xdr:cNvSpPr>
          <a:spLocks noChangeShapeType="1"/>
        </xdr:cNvSpPr>
      </xdr:nvSpPr>
      <xdr:spPr bwMode="auto">
        <a:xfrm>
          <a:off x="12493624" y="30279975"/>
          <a:ext cx="566928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62</xdr:row>
      <xdr:rowOff>76199</xdr:rowOff>
    </xdr:from>
    <xdr:to>
      <xdr:col>17</xdr:col>
      <xdr:colOff>0</xdr:colOff>
      <xdr:row>62</xdr:row>
      <xdr:rowOff>76200</xdr:rowOff>
    </xdr:to>
    <xdr:sp macro="" textlink="">
      <xdr:nvSpPr>
        <xdr:cNvPr id="24" name="Line 22">
          <a:extLst>
            <a:ext uri="{FF2B5EF4-FFF2-40B4-BE49-F238E27FC236}">
              <a16:creationId xmlns:a16="http://schemas.microsoft.com/office/drawing/2014/main" id="{F5CDE06D-1C27-467C-8276-7D80271CAFB1}"/>
            </a:ext>
          </a:extLst>
        </xdr:cNvPr>
        <xdr:cNvSpPr>
          <a:spLocks noChangeShapeType="1"/>
        </xdr:cNvSpPr>
      </xdr:nvSpPr>
      <xdr:spPr bwMode="auto">
        <a:xfrm>
          <a:off x="6877050" y="27812999"/>
          <a:ext cx="666750" cy="1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400050</xdr:colOff>
      <xdr:row>72</xdr:row>
      <xdr:rowOff>8467</xdr:rowOff>
    </xdr:from>
    <xdr:to>
      <xdr:col>13</xdr:col>
      <xdr:colOff>400050</xdr:colOff>
      <xdr:row>86</xdr:row>
      <xdr:rowOff>104987</xdr:rowOff>
    </xdr:to>
    <xdr:sp macro="" textlink="">
      <xdr:nvSpPr>
        <xdr:cNvPr id="25" name="Line 19">
          <a:extLst>
            <a:ext uri="{FF2B5EF4-FFF2-40B4-BE49-F238E27FC236}">
              <a16:creationId xmlns:a16="http://schemas.microsoft.com/office/drawing/2014/main" id="{736687A4-A248-4BDE-9AB4-A6A0A2914001}"/>
            </a:ext>
          </a:extLst>
        </xdr:cNvPr>
        <xdr:cNvSpPr>
          <a:spLocks noChangeShapeType="1"/>
        </xdr:cNvSpPr>
      </xdr:nvSpPr>
      <xdr:spPr bwMode="auto">
        <a:xfrm>
          <a:off x="4743450" y="29793142"/>
          <a:ext cx="0" cy="299212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266700</xdr:colOff>
      <xdr:row>64</xdr:row>
      <xdr:rowOff>0</xdr:rowOff>
    </xdr:from>
    <xdr:to>
      <xdr:col>25</xdr:col>
      <xdr:colOff>266700</xdr:colOff>
      <xdr:row>66</xdr:row>
      <xdr:rowOff>104775</xdr:rowOff>
    </xdr:to>
    <xdr:sp macro="" textlink="">
      <xdr:nvSpPr>
        <xdr:cNvPr id="26" name="Line 24">
          <a:extLst>
            <a:ext uri="{FF2B5EF4-FFF2-40B4-BE49-F238E27FC236}">
              <a16:creationId xmlns:a16="http://schemas.microsoft.com/office/drawing/2014/main" id="{E6CB05B6-894A-4C48-8929-4949B301FA33}"/>
            </a:ext>
          </a:extLst>
        </xdr:cNvPr>
        <xdr:cNvSpPr>
          <a:spLocks noChangeShapeType="1"/>
        </xdr:cNvSpPr>
      </xdr:nvSpPr>
      <xdr:spPr bwMode="auto">
        <a:xfrm>
          <a:off x="12744450" y="28146375"/>
          <a:ext cx="0" cy="51435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257175</xdr:colOff>
      <xdr:row>70</xdr:row>
      <xdr:rowOff>103716</xdr:rowOff>
    </xdr:from>
    <xdr:to>
      <xdr:col>25</xdr:col>
      <xdr:colOff>257175</xdr:colOff>
      <xdr:row>77</xdr:row>
      <xdr:rowOff>0</xdr:rowOff>
    </xdr:to>
    <xdr:sp macro="" textlink="">
      <xdr:nvSpPr>
        <xdr:cNvPr id="27" name="Line 19">
          <a:extLst>
            <a:ext uri="{FF2B5EF4-FFF2-40B4-BE49-F238E27FC236}">
              <a16:creationId xmlns:a16="http://schemas.microsoft.com/office/drawing/2014/main" id="{A238E778-CC9A-4E33-959D-EE16811BC1F1}"/>
            </a:ext>
          </a:extLst>
        </xdr:cNvPr>
        <xdr:cNvSpPr>
          <a:spLocks noChangeShapeType="1"/>
        </xdr:cNvSpPr>
      </xdr:nvSpPr>
      <xdr:spPr bwMode="auto">
        <a:xfrm>
          <a:off x="12734925" y="29478816"/>
          <a:ext cx="0" cy="1334559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247650</xdr:colOff>
      <xdr:row>70</xdr:row>
      <xdr:rowOff>114300</xdr:rowOff>
    </xdr:from>
    <xdr:to>
      <xdr:col>28</xdr:col>
      <xdr:colOff>295275</xdr:colOff>
      <xdr:row>70</xdr:row>
      <xdr:rowOff>114300</xdr:rowOff>
    </xdr:to>
    <xdr:sp macro="" textlink="">
      <xdr:nvSpPr>
        <xdr:cNvPr id="28" name="Line 25">
          <a:extLst>
            <a:ext uri="{FF2B5EF4-FFF2-40B4-BE49-F238E27FC236}">
              <a16:creationId xmlns:a16="http://schemas.microsoft.com/office/drawing/2014/main" id="{205A4656-FD6B-4C03-A1B8-16570CA94E0D}"/>
            </a:ext>
          </a:extLst>
        </xdr:cNvPr>
        <xdr:cNvSpPr>
          <a:spLocks noChangeShapeType="1"/>
        </xdr:cNvSpPr>
      </xdr:nvSpPr>
      <xdr:spPr bwMode="auto">
        <a:xfrm>
          <a:off x="12725400" y="29489400"/>
          <a:ext cx="18764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295275</xdr:colOff>
      <xdr:row>68</xdr:row>
      <xdr:rowOff>9525</xdr:rowOff>
    </xdr:from>
    <xdr:to>
      <xdr:col>28</xdr:col>
      <xdr:colOff>295275</xdr:colOff>
      <xdr:row>70</xdr:row>
      <xdr:rowOff>114300</xdr:rowOff>
    </xdr:to>
    <xdr:sp macro="" textlink="">
      <xdr:nvSpPr>
        <xdr:cNvPr id="29" name="Line 24">
          <a:extLst>
            <a:ext uri="{FF2B5EF4-FFF2-40B4-BE49-F238E27FC236}">
              <a16:creationId xmlns:a16="http://schemas.microsoft.com/office/drawing/2014/main" id="{615AAE14-42CD-411D-9031-07F7B3BA649B}"/>
            </a:ext>
          </a:extLst>
        </xdr:cNvPr>
        <xdr:cNvSpPr>
          <a:spLocks noChangeShapeType="1"/>
        </xdr:cNvSpPr>
      </xdr:nvSpPr>
      <xdr:spPr bwMode="auto">
        <a:xfrm>
          <a:off x="14601825" y="28975050"/>
          <a:ext cx="0" cy="51435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10582</xdr:colOff>
      <xdr:row>74</xdr:row>
      <xdr:rowOff>137582</xdr:rowOff>
    </xdr:from>
    <xdr:to>
      <xdr:col>14</xdr:col>
      <xdr:colOff>5291</xdr:colOff>
      <xdr:row>74</xdr:row>
      <xdr:rowOff>137582</xdr:rowOff>
    </xdr:to>
    <xdr:sp macro="" textlink="">
      <xdr:nvSpPr>
        <xdr:cNvPr id="30" name="Line 26">
          <a:extLst>
            <a:ext uri="{FF2B5EF4-FFF2-40B4-BE49-F238E27FC236}">
              <a16:creationId xmlns:a16="http://schemas.microsoft.com/office/drawing/2014/main" id="{D86928D6-CE67-4BA7-BC84-1D086136C9DB}"/>
            </a:ext>
          </a:extLst>
        </xdr:cNvPr>
        <xdr:cNvSpPr>
          <a:spLocks noChangeShapeType="1"/>
        </xdr:cNvSpPr>
      </xdr:nvSpPr>
      <xdr:spPr bwMode="auto">
        <a:xfrm>
          <a:off x="4353982" y="30331832"/>
          <a:ext cx="785284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14816</xdr:colOff>
      <xdr:row>78</xdr:row>
      <xdr:rowOff>141816</xdr:rowOff>
    </xdr:from>
    <xdr:to>
      <xdr:col>14</xdr:col>
      <xdr:colOff>9525</xdr:colOff>
      <xdr:row>78</xdr:row>
      <xdr:rowOff>141816</xdr:rowOff>
    </xdr:to>
    <xdr:sp macro="" textlink="">
      <xdr:nvSpPr>
        <xdr:cNvPr id="31" name="Line 26">
          <a:extLst>
            <a:ext uri="{FF2B5EF4-FFF2-40B4-BE49-F238E27FC236}">
              <a16:creationId xmlns:a16="http://schemas.microsoft.com/office/drawing/2014/main" id="{AAB5C2AD-E2F4-4A3D-B35E-23EEBEC9FC08}"/>
            </a:ext>
          </a:extLst>
        </xdr:cNvPr>
        <xdr:cNvSpPr>
          <a:spLocks noChangeShapeType="1"/>
        </xdr:cNvSpPr>
      </xdr:nvSpPr>
      <xdr:spPr bwMode="auto">
        <a:xfrm>
          <a:off x="4358216" y="31164741"/>
          <a:ext cx="785284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789516</xdr:colOff>
      <xdr:row>82</xdr:row>
      <xdr:rowOff>103715</xdr:rowOff>
    </xdr:from>
    <xdr:to>
      <xdr:col>14</xdr:col>
      <xdr:colOff>0</xdr:colOff>
      <xdr:row>82</xdr:row>
      <xdr:rowOff>104774</xdr:rowOff>
    </xdr:to>
    <xdr:sp macro="" textlink="">
      <xdr:nvSpPr>
        <xdr:cNvPr id="32" name="Line 26">
          <a:extLst>
            <a:ext uri="{FF2B5EF4-FFF2-40B4-BE49-F238E27FC236}">
              <a16:creationId xmlns:a16="http://schemas.microsoft.com/office/drawing/2014/main" id="{31639D01-E93E-48AE-B33A-C723DDE84AD2}"/>
            </a:ext>
          </a:extLst>
        </xdr:cNvPr>
        <xdr:cNvSpPr>
          <a:spLocks noChangeShapeType="1"/>
        </xdr:cNvSpPr>
      </xdr:nvSpPr>
      <xdr:spPr bwMode="auto">
        <a:xfrm>
          <a:off x="4342341" y="31964840"/>
          <a:ext cx="791634" cy="1059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789516</xdr:colOff>
      <xdr:row>86</xdr:row>
      <xdr:rowOff>103715</xdr:rowOff>
    </xdr:from>
    <xdr:to>
      <xdr:col>14</xdr:col>
      <xdr:colOff>9525</xdr:colOff>
      <xdr:row>86</xdr:row>
      <xdr:rowOff>104774</xdr:rowOff>
    </xdr:to>
    <xdr:sp macro="" textlink="">
      <xdr:nvSpPr>
        <xdr:cNvPr id="33" name="Line 26">
          <a:extLst>
            <a:ext uri="{FF2B5EF4-FFF2-40B4-BE49-F238E27FC236}">
              <a16:creationId xmlns:a16="http://schemas.microsoft.com/office/drawing/2014/main" id="{B1E8480D-B783-479B-8650-2C8B0FFF74E2}"/>
            </a:ext>
          </a:extLst>
        </xdr:cNvPr>
        <xdr:cNvSpPr>
          <a:spLocks noChangeShapeType="1"/>
        </xdr:cNvSpPr>
      </xdr:nvSpPr>
      <xdr:spPr bwMode="auto">
        <a:xfrm>
          <a:off x="4342341" y="32783990"/>
          <a:ext cx="801159" cy="1059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zoomScale="130" zoomScaleNormal="130"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L12" sqref="L12:L13"/>
    </sheetView>
  </sheetViews>
  <sheetFormatPr defaultColWidth="15.7109375" defaultRowHeight="15.95" customHeight="1" outlineLevelCol="1" x14ac:dyDescent="0.25"/>
  <cols>
    <col min="1" max="1" width="40.7109375" style="1" customWidth="1"/>
    <col min="2" max="7" width="0" style="2" hidden="1" customWidth="1" outlineLevel="1"/>
    <col min="8" max="8" width="15.7109375" style="2" collapsed="1"/>
    <col min="9" max="12" width="15.7109375" style="2"/>
    <col min="13" max="16384" width="15.7109375" style="1"/>
  </cols>
  <sheetData>
    <row r="1" spans="1:12" ht="15.95" customHeight="1" x14ac:dyDescent="0.25">
      <c r="A1" s="5" t="s">
        <v>35</v>
      </c>
      <c r="B1" s="1"/>
    </row>
    <row r="2" spans="1:12" ht="15.95" customHeight="1" x14ac:dyDescent="0.25">
      <c r="A2" s="5" t="s">
        <v>36</v>
      </c>
      <c r="B2" s="1"/>
    </row>
    <row r="3" spans="1:12" ht="15.95" customHeight="1" x14ac:dyDescent="0.25">
      <c r="A3" s="5" t="s">
        <v>37</v>
      </c>
      <c r="B3" s="1"/>
    </row>
    <row r="6" spans="1:12" ht="15.95" customHeight="1" x14ac:dyDescent="0.25">
      <c r="B6" s="2" t="s">
        <v>38</v>
      </c>
      <c r="C6" s="2" t="s">
        <v>38</v>
      </c>
      <c r="D6" s="2" t="s">
        <v>38</v>
      </c>
      <c r="E6" s="2" t="s">
        <v>38</v>
      </c>
      <c r="F6" s="2" t="s">
        <v>112</v>
      </c>
      <c r="G6" s="2" t="s">
        <v>112</v>
      </c>
      <c r="H6" s="2" t="s">
        <v>112</v>
      </c>
      <c r="I6" s="2" t="s">
        <v>38</v>
      </c>
      <c r="J6" s="2" t="s">
        <v>112</v>
      </c>
      <c r="K6" s="2" t="s">
        <v>112</v>
      </c>
      <c r="L6" s="2" t="s">
        <v>38</v>
      </c>
    </row>
    <row r="7" spans="1:12" s="3" customFormat="1" ht="15.95" customHeight="1" x14ac:dyDescent="0.25">
      <c r="B7" s="12">
        <v>2010</v>
      </c>
      <c r="C7" s="12">
        <v>2011</v>
      </c>
      <c r="D7" s="12">
        <v>2012</v>
      </c>
      <c r="E7" s="12">
        <v>2013</v>
      </c>
      <c r="F7" s="12">
        <v>2014</v>
      </c>
      <c r="G7" s="12">
        <v>2015</v>
      </c>
      <c r="H7" s="12">
        <v>2016</v>
      </c>
      <c r="I7" s="12">
        <v>2017</v>
      </c>
      <c r="J7" s="12">
        <v>2018</v>
      </c>
      <c r="K7" s="12">
        <v>2019</v>
      </c>
      <c r="L7" s="12">
        <v>2020</v>
      </c>
    </row>
    <row r="8" spans="1:12" ht="15.95" customHeight="1" x14ac:dyDescent="0.25">
      <c r="A8" s="5" t="s">
        <v>0</v>
      </c>
      <c r="B8" s="6"/>
      <c r="C8" s="6"/>
      <c r="D8" s="6"/>
      <c r="E8" s="6"/>
      <c r="F8" s="6"/>
      <c r="G8" s="6"/>
      <c r="K8" s="6"/>
      <c r="L8" s="6"/>
    </row>
    <row r="9" spans="1:12" ht="15.95" customHeight="1" x14ac:dyDescent="0.25">
      <c r="A9" s="5" t="s">
        <v>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ht="15.95" customHeight="1" x14ac:dyDescent="0.25">
      <c r="A10" s="1" t="s">
        <v>2</v>
      </c>
      <c r="B10" s="6">
        <v>99558</v>
      </c>
      <c r="C10" s="6">
        <v>255266</v>
      </c>
      <c r="D10" s="6">
        <v>201890</v>
      </c>
      <c r="E10" s="6">
        <v>845889</v>
      </c>
      <c r="F10" s="6">
        <v>1905713</v>
      </c>
      <c r="G10" s="6">
        <v>1196908</v>
      </c>
      <c r="H10" s="6">
        <v>3393216</v>
      </c>
      <c r="I10" s="6">
        <v>3367914</v>
      </c>
      <c r="J10" s="6">
        <v>3686000</v>
      </c>
      <c r="K10" s="6">
        <v>6268000</v>
      </c>
      <c r="L10" s="6">
        <v>19384000</v>
      </c>
    </row>
    <row r="11" spans="1:12" ht="15.95" customHeight="1" x14ac:dyDescent="0.25">
      <c r="A11" s="1" t="s">
        <v>113</v>
      </c>
      <c r="B11" s="6">
        <v>73597</v>
      </c>
      <c r="C11" s="6">
        <v>48537</v>
      </c>
      <c r="D11" s="6">
        <v>19094</v>
      </c>
      <c r="E11" s="6">
        <v>3012</v>
      </c>
      <c r="F11" s="6">
        <v>17947</v>
      </c>
      <c r="G11" s="6">
        <v>22628</v>
      </c>
      <c r="H11" s="6">
        <v>105519</v>
      </c>
      <c r="I11" s="6">
        <v>155323</v>
      </c>
      <c r="J11" s="6">
        <v>193000</v>
      </c>
      <c r="K11" s="6">
        <v>0</v>
      </c>
      <c r="L11" s="6">
        <v>0</v>
      </c>
    </row>
    <row r="12" spans="1:12" ht="15.95" customHeight="1" x14ac:dyDescent="0.25">
      <c r="A12" s="1" t="s">
        <v>5</v>
      </c>
      <c r="B12" s="6">
        <v>6710</v>
      </c>
      <c r="C12" s="6">
        <v>9539</v>
      </c>
      <c r="D12" s="6">
        <v>26842</v>
      </c>
      <c r="E12" s="6">
        <v>49109</v>
      </c>
      <c r="F12" s="6">
        <v>226604</v>
      </c>
      <c r="G12" s="6">
        <v>168965</v>
      </c>
      <c r="H12" s="6">
        <v>499142</v>
      </c>
      <c r="I12" s="6">
        <v>515381</v>
      </c>
      <c r="J12" s="6">
        <v>949000</v>
      </c>
      <c r="K12" s="6">
        <v>1324000</v>
      </c>
      <c r="L12" s="6">
        <v>1886000</v>
      </c>
    </row>
    <row r="13" spans="1:12" ht="15.95" customHeight="1" x14ac:dyDescent="0.25">
      <c r="A13" s="1" t="s">
        <v>6</v>
      </c>
      <c r="B13" s="6">
        <v>45182</v>
      </c>
      <c r="C13" s="6">
        <v>50082</v>
      </c>
      <c r="D13" s="6">
        <v>268504</v>
      </c>
      <c r="E13" s="6">
        <v>340355</v>
      </c>
      <c r="F13" s="6">
        <v>953675</v>
      </c>
      <c r="G13" s="6">
        <v>1277838</v>
      </c>
      <c r="H13" s="6">
        <v>2067454</v>
      </c>
      <c r="I13" s="6">
        <v>2263537</v>
      </c>
      <c r="J13" s="6">
        <v>3113000</v>
      </c>
      <c r="K13" s="6">
        <v>3552000</v>
      </c>
      <c r="L13" s="6">
        <v>4101000</v>
      </c>
    </row>
    <row r="14" spans="1:12" ht="15.95" customHeight="1" x14ac:dyDescent="0.25">
      <c r="A14" s="1" t="s">
        <v>7</v>
      </c>
      <c r="B14" s="6">
        <v>10839</v>
      </c>
      <c r="C14" s="6">
        <v>9414</v>
      </c>
      <c r="D14" s="6">
        <v>8438</v>
      </c>
      <c r="E14" s="6">
        <v>27574</v>
      </c>
      <c r="F14" s="6">
        <v>76134</v>
      </c>
      <c r="G14" s="6">
        <v>125229</v>
      </c>
      <c r="H14" s="6">
        <v>194465</v>
      </c>
      <c r="I14" s="6">
        <v>268365</v>
      </c>
      <c r="J14" s="6">
        <v>366000</v>
      </c>
      <c r="K14" s="6">
        <v>959000</v>
      </c>
      <c r="L14" s="6">
        <v>1346000</v>
      </c>
    </row>
    <row r="15" spans="1:12" s="9" customFormat="1" ht="15.95" customHeight="1" x14ac:dyDescent="0.25">
      <c r="A15" s="9" t="s">
        <v>8</v>
      </c>
      <c r="B15" s="10">
        <f>SUM(B10:B14)</f>
        <v>235886</v>
      </c>
      <c r="C15" s="10">
        <f t="shared" ref="C15" si="0">SUM(C10:C14)</f>
        <v>372838</v>
      </c>
      <c r="D15" s="10">
        <f t="shared" ref="D15:E15" si="1">SUM(D10:D14)</f>
        <v>524768</v>
      </c>
      <c r="E15" s="10">
        <f t="shared" si="1"/>
        <v>1265939</v>
      </c>
      <c r="F15" s="10">
        <f>SUM(F10:F14)</f>
        <v>3180073</v>
      </c>
      <c r="G15" s="10">
        <f>SUM(G10:G14)</f>
        <v>2791568</v>
      </c>
      <c r="H15" s="10">
        <f t="shared" ref="H15:I15" si="2">SUM(H10:H14)</f>
        <v>6259796</v>
      </c>
      <c r="I15" s="10">
        <f t="shared" si="2"/>
        <v>6570520</v>
      </c>
      <c r="J15" s="10">
        <f>SUM(J10:J14)</f>
        <v>8307000</v>
      </c>
      <c r="K15" s="10">
        <f>SUM(K10:K14)</f>
        <v>12103000</v>
      </c>
      <c r="L15" s="10">
        <f>SUM(L10:L14)</f>
        <v>26717000</v>
      </c>
    </row>
    <row r="16" spans="1:12" ht="15.95" customHeight="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ht="15.95" customHeight="1" x14ac:dyDescent="0.25">
      <c r="A17" s="1" t="s">
        <v>9</v>
      </c>
      <c r="B17" s="6">
        <v>7963</v>
      </c>
      <c r="C17" s="6">
        <v>11757</v>
      </c>
      <c r="D17" s="6">
        <v>10071</v>
      </c>
      <c r="E17" s="6">
        <v>382425</v>
      </c>
      <c r="F17" s="6">
        <v>766744</v>
      </c>
      <c r="G17" s="6">
        <v>1791403</v>
      </c>
      <c r="H17" s="6">
        <v>3134080</v>
      </c>
      <c r="I17" s="6">
        <v>4116604</v>
      </c>
      <c r="J17" s="6">
        <v>2090000</v>
      </c>
      <c r="K17" s="6">
        <v>2447000</v>
      </c>
      <c r="L17" s="6">
        <v>3091000</v>
      </c>
    </row>
    <row r="18" spans="1:12" ht="15.95" customHeight="1" x14ac:dyDescent="0.25">
      <c r="A18" s="1" t="s">
        <v>10</v>
      </c>
      <c r="B18" s="6">
        <v>114636</v>
      </c>
      <c r="C18" s="6">
        <v>298414</v>
      </c>
      <c r="D18" s="6">
        <v>552229</v>
      </c>
      <c r="E18" s="6">
        <v>738494</v>
      </c>
      <c r="F18" s="6">
        <v>1829267</v>
      </c>
      <c r="G18" s="6">
        <v>3403334</v>
      </c>
      <c r="H18" s="6">
        <v>5982957</v>
      </c>
      <c r="I18" s="6">
        <v>10027522</v>
      </c>
      <c r="J18" s="6">
        <v>11330000</v>
      </c>
      <c r="K18" s="6">
        <v>10396000</v>
      </c>
      <c r="L18" s="6">
        <v>12747000</v>
      </c>
    </row>
    <row r="19" spans="1:12" ht="15.95" customHeight="1" x14ac:dyDescent="0.25">
      <c r="A19" s="1" t="s">
        <v>117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5919880</v>
      </c>
      <c r="I19" s="6">
        <v>6347490</v>
      </c>
      <c r="J19" s="6">
        <v>6271000</v>
      </c>
      <c r="K19" s="6">
        <v>6138000</v>
      </c>
      <c r="L19" s="6">
        <v>5979000</v>
      </c>
    </row>
    <row r="20" spans="1:12" ht="15.95" customHeight="1" x14ac:dyDescent="0.25">
      <c r="A20" s="1" t="s">
        <v>128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1218000</v>
      </c>
      <c r="L20" s="6">
        <v>1558000</v>
      </c>
    </row>
    <row r="21" spans="1:12" ht="15.95" customHeight="1" x14ac:dyDescent="0.25">
      <c r="A21" s="1" t="s">
        <v>118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376145</v>
      </c>
      <c r="I21" s="6">
        <v>361502</v>
      </c>
      <c r="J21" s="6">
        <v>282000</v>
      </c>
      <c r="K21" s="6">
        <v>339000</v>
      </c>
      <c r="L21" s="6">
        <v>313000</v>
      </c>
    </row>
    <row r="22" spans="1:12" ht="15.95" customHeight="1" x14ac:dyDescent="0.25">
      <c r="A22" s="1" t="s">
        <v>119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60237</v>
      </c>
      <c r="J22" s="6">
        <v>68000</v>
      </c>
      <c r="K22" s="6">
        <v>198000</v>
      </c>
      <c r="L22" s="6">
        <v>207000</v>
      </c>
    </row>
    <row r="23" spans="1:12" ht="15.95" customHeight="1" x14ac:dyDescent="0.25">
      <c r="A23" s="1" t="s">
        <v>120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506302</v>
      </c>
      <c r="I23" s="6">
        <v>456652</v>
      </c>
      <c r="J23" s="6">
        <v>422000</v>
      </c>
      <c r="K23" s="6">
        <v>0</v>
      </c>
      <c r="L23" s="6">
        <v>0</v>
      </c>
    </row>
    <row r="24" spans="1:12" ht="15.95" customHeight="1" x14ac:dyDescent="0.25">
      <c r="A24" s="1" t="s">
        <v>4</v>
      </c>
      <c r="B24" s="6">
        <v>4867</v>
      </c>
      <c r="C24" s="6">
        <v>8068</v>
      </c>
      <c r="D24" s="6">
        <v>5159</v>
      </c>
      <c r="E24" s="6">
        <v>6435</v>
      </c>
      <c r="F24" s="6">
        <v>11374</v>
      </c>
      <c r="G24" s="6">
        <v>31522</v>
      </c>
      <c r="H24" s="6">
        <v>268165</v>
      </c>
      <c r="I24" s="6">
        <v>441722</v>
      </c>
      <c r="J24" s="6">
        <v>398000</v>
      </c>
      <c r="K24" s="6">
        <v>0</v>
      </c>
      <c r="L24" s="6">
        <v>0</v>
      </c>
    </row>
    <row r="25" spans="1:12" ht="15.95" customHeight="1" x14ac:dyDescent="0.25">
      <c r="A25" s="1" t="s">
        <v>11</v>
      </c>
      <c r="B25" s="6">
        <v>22730</v>
      </c>
      <c r="C25" s="6">
        <v>22371</v>
      </c>
      <c r="D25" s="6">
        <v>21963</v>
      </c>
      <c r="E25" s="6">
        <v>23637</v>
      </c>
      <c r="F25" s="6">
        <v>43209</v>
      </c>
      <c r="G25" s="6">
        <v>74633</v>
      </c>
      <c r="H25" s="6">
        <v>216751</v>
      </c>
      <c r="I25" s="6">
        <v>273123</v>
      </c>
      <c r="J25" s="6">
        <v>572000</v>
      </c>
      <c r="K25" s="6">
        <v>1470000</v>
      </c>
      <c r="L25" s="6">
        <v>1536000</v>
      </c>
    </row>
    <row r="26" spans="1:12" s="9" customFormat="1" ht="15.95" customHeight="1" x14ac:dyDescent="0.25">
      <c r="A26" s="9" t="s">
        <v>12</v>
      </c>
      <c r="B26" s="10">
        <f t="shared" ref="B26:L26" si="3">+SUM(B17:B25)+B15</f>
        <v>386082</v>
      </c>
      <c r="C26" s="10">
        <f t="shared" si="3"/>
        <v>713448</v>
      </c>
      <c r="D26" s="10">
        <f t="shared" si="3"/>
        <v>1114190</v>
      </c>
      <c r="E26" s="10">
        <f t="shared" si="3"/>
        <v>2416930</v>
      </c>
      <c r="F26" s="10">
        <f t="shared" si="3"/>
        <v>5830667</v>
      </c>
      <c r="G26" s="10">
        <f t="shared" si="3"/>
        <v>8092460</v>
      </c>
      <c r="H26" s="10">
        <f t="shared" si="3"/>
        <v>22664076</v>
      </c>
      <c r="I26" s="10">
        <f t="shared" si="3"/>
        <v>28655372</v>
      </c>
      <c r="J26" s="10">
        <f t="shared" si="3"/>
        <v>29740000</v>
      </c>
      <c r="K26" s="10">
        <f t="shared" si="3"/>
        <v>34309000</v>
      </c>
      <c r="L26" s="10">
        <f t="shared" si="3"/>
        <v>52148000</v>
      </c>
    </row>
    <row r="27" spans="1:12" ht="15.95" customHeight="1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ht="15.95" customHeight="1" x14ac:dyDescent="0.25">
      <c r="A28" s="5" t="s">
        <v>13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ht="15.95" customHeight="1" x14ac:dyDescent="0.25">
      <c r="A29" s="5" t="s">
        <v>14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ht="15.95" customHeight="1" x14ac:dyDescent="0.25">
      <c r="A30" s="1" t="s">
        <v>15</v>
      </c>
      <c r="B30" s="6">
        <v>28951</v>
      </c>
      <c r="C30" s="6">
        <v>56141</v>
      </c>
      <c r="D30" s="6">
        <v>303382</v>
      </c>
      <c r="E30" s="6">
        <v>0</v>
      </c>
      <c r="F30" s="6">
        <v>777946</v>
      </c>
      <c r="G30" s="6">
        <v>916148</v>
      </c>
      <c r="H30" s="6">
        <v>1860341</v>
      </c>
      <c r="I30" s="6">
        <v>2390250</v>
      </c>
      <c r="J30" s="6">
        <v>3405000</v>
      </c>
      <c r="K30" s="6">
        <v>3771000</v>
      </c>
      <c r="L30" s="6">
        <v>6051000</v>
      </c>
    </row>
    <row r="31" spans="1:12" ht="15.95" customHeight="1" x14ac:dyDescent="0.25">
      <c r="A31" s="1" t="s">
        <v>16</v>
      </c>
      <c r="B31" s="6">
        <v>20945</v>
      </c>
      <c r="C31" s="6">
        <v>32109</v>
      </c>
      <c r="D31" s="6">
        <v>39798</v>
      </c>
      <c r="E31" s="6">
        <v>303969</v>
      </c>
      <c r="F31" s="6">
        <v>268883</v>
      </c>
      <c r="G31" s="6">
        <v>422798</v>
      </c>
      <c r="H31" s="6">
        <v>1210028</v>
      </c>
      <c r="I31" s="6">
        <v>1731366</v>
      </c>
      <c r="J31" s="6">
        <v>2094000</v>
      </c>
      <c r="K31" s="6">
        <v>3222000</v>
      </c>
      <c r="L31" s="6">
        <v>3855000</v>
      </c>
    </row>
    <row r="32" spans="1:12" ht="15.95" customHeight="1" x14ac:dyDescent="0.25">
      <c r="A32" s="1" t="s">
        <v>17</v>
      </c>
      <c r="B32" s="6">
        <v>4635</v>
      </c>
      <c r="C32" s="6">
        <v>2345</v>
      </c>
      <c r="D32" s="6">
        <v>1905</v>
      </c>
      <c r="E32" s="6">
        <v>108252</v>
      </c>
      <c r="F32" s="6">
        <v>191651</v>
      </c>
      <c r="G32" s="6">
        <v>423961</v>
      </c>
      <c r="H32" s="6">
        <v>763126</v>
      </c>
      <c r="I32" s="6">
        <v>1015253</v>
      </c>
      <c r="J32" s="6">
        <v>630000</v>
      </c>
      <c r="K32" s="6">
        <v>1163000</v>
      </c>
      <c r="L32" s="6">
        <v>1458000</v>
      </c>
    </row>
    <row r="33" spans="1:12" ht="15.95" customHeight="1" x14ac:dyDescent="0.25">
      <c r="A33" s="1" t="s">
        <v>110</v>
      </c>
      <c r="B33" s="6">
        <v>0</v>
      </c>
      <c r="C33" s="6">
        <v>0</v>
      </c>
      <c r="D33" s="6">
        <v>138817</v>
      </c>
      <c r="E33" s="6">
        <v>7722</v>
      </c>
      <c r="F33" s="6">
        <v>257587</v>
      </c>
      <c r="G33" s="6">
        <v>283370</v>
      </c>
      <c r="H33" s="6">
        <v>663859</v>
      </c>
      <c r="I33" s="6">
        <v>853919</v>
      </c>
      <c r="J33" s="6">
        <v>793000</v>
      </c>
      <c r="K33" s="6">
        <v>726000</v>
      </c>
      <c r="L33" s="6">
        <v>752000</v>
      </c>
    </row>
    <row r="34" spans="1:12" ht="15.95" customHeight="1" x14ac:dyDescent="0.25">
      <c r="A34" s="1" t="s">
        <v>18</v>
      </c>
      <c r="B34" s="6">
        <v>279</v>
      </c>
      <c r="C34" s="6">
        <v>1067</v>
      </c>
      <c r="D34" s="6">
        <v>4365</v>
      </c>
      <c r="E34" s="6">
        <v>91882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</row>
    <row r="35" spans="1:12" ht="15.95" customHeight="1" x14ac:dyDescent="0.25">
      <c r="A35" s="1" t="s">
        <v>114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136831</v>
      </c>
      <c r="H35" s="6">
        <v>179504</v>
      </c>
      <c r="I35" s="6">
        <v>787333</v>
      </c>
      <c r="J35" s="6">
        <v>503000</v>
      </c>
      <c r="K35" s="6">
        <v>0</v>
      </c>
      <c r="L35" s="6">
        <v>0</v>
      </c>
    </row>
    <row r="36" spans="1:12" ht="15.95" customHeight="1" x14ac:dyDescent="0.25">
      <c r="A36" s="1" t="s">
        <v>19</v>
      </c>
      <c r="B36" s="6">
        <v>30755</v>
      </c>
      <c r="C36" s="6">
        <v>91761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</row>
    <row r="37" spans="1:12" ht="15.95" customHeight="1" x14ac:dyDescent="0.25">
      <c r="A37" s="1" t="s">
        <v>121</v>
      </c>
      <c r="B37" s="6"/>
      <c r="C37" s="6">
        <v>7916</v>
      </c>
      <c r="D37" s="6">
        <v>50841</v>
      </c>
      <c r="E37" s="6">
        <v>182</v>
      </c>
      <c r="F37" s="6">
        <v>611099</v>
      </c>
      <c r="G37" s="6">
        <v>633166</v>
      </c>
      <c r="H37" s="6">
        <v>984211</v>
      </c>
      <c r="I37" s="6">
        <v>796549</v>
      </c>
      <c r="J37" s="6">
        <v>2568000</v>
      </c>
      <c r="K37" s="6">
        <v>1785000</v>
      </c>
      <c r="L37" s="6">
        <v>2132000</v>
      </c>
    </row>
    <row r="38" spans="1:12" s="7" customFormat="1" ht="15.95" customHeight="1" x14ac:dyDescent="0.25">
      <c r="A38" s="1" t="s">
        <v>122</v>
      </c>
      <c r="B38" s="6">
        <v>0</v>
      </c>
      <c r="C38" s="6">
        <v>0</v>
      </c>
      <c r="D38" s="6"/>
      <c r="E38" s="6">
        <v>163153</v>
      </c>
      <c r="F38" s="6"/>
      <c r="G38" s="6"/>
      <c r="H38" s="6">
        <v>165936</v>
      </c>
      <c r="I38" s="6">
        <v>100000</v>
      </c>
      <c r="J38" s="6">
        <v>0</v>
      </c>
      <c r="K38" s="6">
        <v>0</v>
      </c>
      <c r="L38" s="6">
        <v>0</v>
      </c>
    </row>
    <row r="39" spans="1:12" s="11" customFormat="1" ht="15.95" customHeight="1" x14ac:dyDescent="0.25">
      <c r="A39" s="9" t="s">
        <v>20</v>
      </c>
      <c r="B39" s="10">
        <f t="shared" ref="B39:J39" si="4">+SUM(B28:B38)</f>
        <v>85565</v>
      </c>
      <c r="C39" s="10">
        <f t="shared" si="4"/>
        <v>191339</v>
      </c>
      <c r="D39" s="10">
        <f t="shared" si="4"/>
        <v>539108</v>
      </c>
      <c r="E39" s="10">
        <f t="shared" si="4"/>
        <v>675160</v>
      </c>
      <c r="F39" s="10">
        <f t="shared" si="4"/>
        <v>2107166</v>
      </c>
      <c r="G39" s="10">
        <f t="shared" si="4"/>
        <v>2816274</v>
      </c>
      <c r="H39" s="10">
        <f t="shared" si="4"/>
        <v>5827005</v>
      </c>
      <c r="I39" s="10">
        <f t="shared" si="4"/>
        <v>7674670</v>
      </c>
      <c r="J39" s="10">
        <f t="shared" si="4"/>
        <v>9993000</v>
      </c>
      <c r="K39" s="10">
        <f t="shared" ref="K39:L39" si="5">+SUM(K28:K38)</f>
        <v>10667000</v>
      </c>
      <c r="L39" s="10">
        <f t="shared" si="5"/>
        <v>14248000</v>
      </c>
    </row>
    <row r="40" spans="1:12" ht="15.95" customHeight="1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ht="15.95" customHeight="1" x14ac:dyDescent="0.25">
      <c r="A41" s="1" t="s">
        <v>21</v>
      </c>
      <c r="B41" s="6">
        <v>6088</v>
      </c>
      <c r="C41" s="6">
        <v>8838</v>
      </c>
      <c r="D41" s="6">
        <v>10692</v>
      </c>
      <c r="E41" s="6">
        <v>0</v>
      </c>
      <c r="F41" s="6"/>
      <c r="G41" s="6"/>
      <c r="H41" s="8"/>
      <c r="I41" s="8"/>
      <c r="J41" s="8"/>
      <c r="K41" s="8">
        <v>0</v>
      </c>
      <c r="L41" s="8">
        <v>0</v>
      </c>
    </row>
    <row r="42" spans="1:12" ht="15.95" customHeight="1" x14ac:dyDescent="0.25">
      <c r="A42" s="1" t="s">
        <v>129</v>
      </c>
      <c r="B42" s="6">
        <v>71828</v>
      </c>
      <c r="C42" s="6">
        <v>268335</v>
      </c>
      <c r="D42" s="6">
        <v>401495</v>
      </c>
      <c r="E42" s="6">
        <v>236299</v>
      </c>
      <c r="F42" s="6">
        <v>1818785</v>
      </c>
      <c r="G42" s="6">
        <v>2040375</v>
      </c>
      <c r="H42" s="6">
        <v>5860049</v>
      </c>
      <c r="I42" s="6">
        <v>9415700</v>
      </c>
      <c r="J42" s="6">
        <v>9404000</v>
      </c>
      <c r="K42" s="6">
        <v>11634000</v>
      </c>
      <c r="L42" s="6">
        <v>9556000</v>
      </c>
    </row>
    <row r="43" spans="1:12" ht="15.95" customHeight="1" x14ac:dyDescent="0.25">
      <c r="A43" s="1" t="s">
        <v>22</v>
      </c>
      <c r="B43" s="6">
        <v>496</v>
      </c>
      <c r="C43" s="6">
        <v>2830</v>
      </c>
      <c r="D43" s="6">
        <v>9965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</row>
    <row r="44" spans="1:12" ht="15.95" customHeight="1" x14ac:dyDescent="0.25">
      <c r="A44" s="1" t="s">
        <v>23</v>
      </c>
      <c r="B44" s="6">
        <v>2783</v>
      </c>
      <c r="C44" s="6">
        <v>3146</v>
      </c>
      <c r="D44" s="6">
        <v>3060</v>
      </c>
      <c r="E44" s="6">
        <v>12855</v>
      </c>
      <c r="F44" s="6">
        <v>292271</v>
      </c>
      <c r="G44" s="6">
        <v>446105</v>
      </c>
      <c r="H44" s="6">
        <v>851790</v>
      </c>
      <c r="I44" s="6">
        <v>1177799</v>
      </c>
      <c r="J44" s="6">
        <v>991000</v>
      </c>
      <c r="K44" s="6">
        <v>1207000</v>
      </c>
      <c r="L44" s="6">
        <v>1284000</v>
      </c>
    </row>
    <row r="45" spans="1:12" ht="15.95" customHeight="1" x14ac:dyDescent="0.25">
      <c r="A45" s="1" t="s">
        <v>124</v>
      </c>
      <c r="B45" s="6">
        <v>0</v>
      </c>
      <c r="C45" s="6">
        <v>0</v>
      </c>
      <c r="D45" s="6">
        <v>0</v>
      </c>
      <c r="E45" s="6">
        <v>181180</v>
      </c>
      <c r="F45" s="6"/>
      <c r="G45" s="6"/>
      <c r="H45" s="6">
        <v>10287</v>
      </c>
      <c r="I45" s="6">
        <v>2519</v>
      </c>
      <c r="J45" s="6">
        <v>0</v>
      </c>
      <c r="K45" s="6">
        <v>0</v>
      </c>
      <c r="L45" s="6">
        <v>0</v>
      </c>
    </row>
    <row r="46" spans="1:12" ht="15.95" customHeight="1" x14ac:dyDescent="0.25">
      <c r="A46" s="1" t="s">
        <v>111</v>
      </c>
      <c r="B46" s="6">
        <v>0</v>
      </c>
      <c r="C46" s="6">
        <v>0</v>
      </c>
      <c r="D46" s="6">
        <v>0</v>
      </c>
      <c r="E46" s="6">
        <v>586119</v>
      </c>
      <c r="F46" s="6">
        <v>487879</v>
      </c>
      <c r="G46" s="6">
        <v>1293741</v>
      </c>
      <c r="H46" s="6">
        <v>2210423</v>
      </c>
      <c r="I46" s="6">
        <v>2309222</v>
      </c>
      <c r="J46" s="6">
        <v>329000</v>
      </c>
      <c r="K46" s="6">
        <v>0</v>
      </c>
      <c r="L46" s="6">
        <v>0</v>
      </c>
    </row>
    <row r="47" spans="1:12" ht="15.95" customHeight="1" x14ac:dyDescent="0.25">
      <c r="A47" s="1" t="s">
        <v>24</v>
      </c>
      <c r="B47" s="6">
        <v>12274</v>
      </c>
      <c r="C47" s="6">
        <v>14915</v>
      </c>
      <c r="D47" s="6">
        <v>25170</v>
      </c>
      <c r="E47" s="6">
        <v>58197</v>
      </c>
      <c r="F47" s="6">
        <v>154660</v>
      </c>
      <c r="G47" s="6">
        <v>364976</v>
      </c>
      <c r="H47" s="6">
        <v>1891449</v>
      </c>
      <c r="I47" s="6">
        <v>2442970</v>
      </c>
      <c r="J47" s="6">
        <v>2710000</v>
      </c>
      <c r="K47" s="6">
        <v>2691000</v>
      </c>
      <c r="L47" s="6">
        <v>3330000</v>
      </c>
    </row>
    <row r="48" spans="1:12" ht="15.95" customHeight="1" x14ac:dyDescent="0.25">
      <c r="A48" s="1" t="s">
        <v>123</v>
      </c>
      <c r="B48" s="6"/>
      <c r="C48" s="6"/>
      <c r="D48" s="6">
        <v>0</v>
      </c>
      <c r="E48" s="6">
        <v>0</v>
      </c>
      <c r="F48" s="6"/>
      <c r="G48" s="6"/>
      <c r="H48" s="6">
        <v>99164</v>
      </c>
      <c r="I48" s="6">
        <v>100</v>
      </c>
      <c r="J48" s="6"/>
      <c r="K48" s="6">
        <v>0</v>
      </c>
      <c r="L48" s="6">
        <v>0</v>
      </c>
    </row>
    <row r="49" spans="1:12" s="9" customFormat="1" ht="15.95" customHeight="1" x14ac:dyDescent="0.25">
      <c r="A49" s="9" t="s">
        <v>25</v>
      </c>
      <c r="B49" s="10">
        <f t="shared" ref="B49:G49" si="6">+SUM(B39:B47)</f>
        <v>179034</v>
      </c>
      <c r="C49" s="10">
        <f t="shared" si="6"/>
        <v>489403</v>
      </c>
      <c r="D49" s="10">
        <f t="shared" si="6"/>
        <v>989490</v>
      </c>
      <c r="E49" s="10">
        <f t="shared" si="6"/>
        <v>1749810</v>
      </c>
      <c r="F49" s="10">
        <f t="shared" si="6"/>
        <v>4860761</v>
      </c>
      <c r="G49" s="10">
        <f t="shared" si="6"/>
        <v>6961471</v>
      </c>
      <c r="H49" s="10">
        <f>+SUM(H39:H48)</f>
        <v>16750167</v>
      </c>
      <c r="I49" s="10">
        <f>+SUM(I39:I48)</f>
        <v>23022980</v>
      </c>
      <c r="J49" s="10">
        <f>+SUM(J39:J48)</f>
        <v>23427000</v>
      </c>
      <c r="K49" s="10">
        <f>+SUM(K39:K48)</f>
        <v>26199000</v>
      </c>
      <c r="L49" s="10">
        <f>+SUM(L39:L48)</f>
        <v>28418000</v>
      </c>
    </row>
    <row r="50" spans="1:12" ht="15.95" customHeight="1" x14ac:dyDescent="0.25">
      <c r="B50" s="6"/>
      <c r="C50" s="6"/>
      <c r="D50" s="6"/>
      <c r="E50" s="6"/>
      <c r="F50" s="6"/>
      <c r="G50" s="6"/>
      <c r="H50" s="8"/>
      <c r="I50" s="8"/>
      <c r="J50" s="8"/>
      <c r="K50" s="8"/>
      <c r="L50" s="8"/>
    </row>
    <row r="51" spans="1:12" ht="15.95" customHeight="1" x14ac:dyDescent="0.25">
      <c r="A51" s="1" t="s">
        <v>26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</row>
    <row r="52" spans="1:12" ht="15.95" customHeight="1" x14ac:dyDescent="0.25">
      <c r="A52" s="1" t="s">
        <v>125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367039</v>
      </c>
      <c r="I52" s="6">
        <v>397734</v>
      </c>
      <c r="J52" s="6">
        <v>556000</v>
      </c>
      <c r="K52" s="6">
        <v>643000</v>
      </c>
      <c r="L52" s="6">
        <v>604000</v>
      </c>
    </row>
    <row r="53" spans="1:12" ht="15.95" customHeight="1" x14ac:dyDescent="0.25">
      <c r="A53" s="1" t="s">
        <v>116</v>
      </c>
      <c r="B53" s="6">
        <v>0</v>
      </c>
      <c r="C53" s="6">
        <v>0</v>
      </c>
      <c r="D53" s="6">
        <v>0</v>
      </c>
      <c r="E53" s="6">
        <v>0</v>
      </c>
      <c r="F53" s="6">
        <v>58196</v>
      </c>
      <c r="G53" s="6">
        <v>42045</v>
      </c>
      <c r="H53" s="6">
        <v>8784</v>
      </c>
      <c r="I53" s="6">
        <v>70</v>
      </c>
      <c r="J53" s="6">
        <v>0</v>
      </c>
      <c r="K53" s="6">
        <v>0</v>
      </c>
      <c r="L53" s="6">
        <v>51000</v>
      </c>
    </row>
    <row r="54" spans="1:12" ht="15.95" customHeight="1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 ht="15.95" customHeight="1" x14ac:dyDescent="0.25">
      <c r="A55" s="5" t="s">
        <v>126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 ht="15.95" customHeight="1" x14ac:dyDescent="0.25">
      <c r="A56" s="5" t="s">
        <v>27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 ht="15.95" customHeight="1" x14ac:dyDescent="0.25">
      <c r="A57" s="1" t="s">
        <v>28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</row>
    <row r="58" spans="1:12" ht="15.95" customHeight="1" x14ac:dyDescent="0.25">
      <c r="A58" s="1" t="s">
        <v>29</v>
      </c>
      <c r="B58" s="6">
        <v>95</v>
      </c>
      <c r="C58" s="6">
        <v>104</v>
      </c>
      <c r="D58" s="6">
        <v>115</v>
      </c>
      <c r="E58" s="6">
        <v>123</v>
      </c>
      <c r="F58" s="6">
        <v>126</v>
      </c>
      <c r="G58" s="6">
        <v>131</v>
      </c>
      <c r="H58" s="6">
        <v>161</v>
      </c>
      <c r="I58" s="6">
        <v>169</v>
      </c>
      <c r="J58" s="6">
        <v>0</v>
      </c>
      <c r="K58" s="6">
        <v>1000</v>
      </c>
      <c r="L58" s="6">
        <v>1000</v>
      </c>
    </row>
    <row r="59" spans="1:12" ht="15.95" customHeight="1" x14ac:dyDescent="0.25">
      <c r="B59" s="6"/>
      <c r="C59" s="6"/>
      <c r="D59" s="6"/>
      <c r="E59" s="6"/>
      <c r="F59" s="6"/>
      <c r="H59" s="6"/>
      <c r="I59" s="6"/>
      <c r="J59" s="6"/>
      <c r="K59" s="6"/>
      <c r="L59" s="6"/>
    </row>
    <row r="60" spans="1:12" ht="15.95" customHeight="1" x14ac:dyDescent="0.25">
      <c r="A60" s="1" t="s">
        <v>30</v>
      </c>
      <c r="B60" s="6">
        <v>621935</v>
      </c>
      <c r="C60" s="6">
        <v>893336</v>
      </c>
      <c r="D60" s="6">
        <v>1190191</v>
      </c>
      <c r="E60" s="6">
        <v>1806617</v>
      </c>
      <c r="F60" s="6">
        <v>2345266</v>
      </c>
      <c r="G60" s="6">
        <v>3414692</v>
      </c>
      <c r="H60" s="6">
        <v>7773727</v>
      </c>
      <c r="I60" s="6">
        <v>9178024</v>
      </c>
      <c r="J60" s="6">
        <v>10249000</v>
      </c>
      <c r="K60" s="6">
        <v>12737000</v>
      </c>
      <c r="L60" s="6">
        <v>27260000</v>
      </c>
    </row>
    <row r="61" spans="1:12" ht="15.95" customHeight="1" x14ac:dyDescent="0.25">
      <c r="A61" s="1" t="s">
        <v>31</v>
      </c>
      <c r="B61" s="6"/>
      <c r="C61" s="6">
        <v>-3</v>
      </c>
      <c r="F61" s="6">
        <v>-22</v>
      </c>
      <c r="G61" s="6">
        <v>-3556</v>
      </c>
      <c r="H61" s="6">
        <v>-23740</v>
      </c>
      <c r="I61" s="6">
        <v>33348</v>
      </c>
      <c r="J61" s="6">
        <v>-8000</v>
      </c>
      <c r="K61" s="6">
        <v>-36000</v>
      </c>
      <c r="L61" s="6">
        <v>363000</v>
      </c>
    </row>
    <row r="62" spans="1:12" ht="15.95" customHeight="1" x14ac:dyDescent="0.25">
      <c r="A62" s="1" t="s">
        <v>32</v>
      </c>
      <c r="B62" s="6">
        <v>-414982</v>
      </c>
      <c r="C62" s="6">
        <v>-669392</v>
      </c>
      <c r="D62" s="6">
        <v>-1065606</v>
      </c>
      <c r="E62" s="6">
        <v>-1139620</v>
      </c>
      <c r="F62" s="6">
        <v>-1433660</v>
      </c>
      <c r="G62" s="6">
        <v>-2322323</v>
      </c>
      <c r="H62" s="6">
        <v>-2997237</v>
      </c>
      <c r="I62" s="6">
        <v>-4974299</v>
      </c>
      <c r="J62" s="6">
        <v>-5318000</v>
      </c>
      <c r="K62" s="6">
        <v>-6083000</v>
      </c>
      <c r="L62" s="6">
        <v>-5399000</v>
      </c>
    </row>
    <row r="63" spans="1:12" s="9" customFormat="1" ht="15.95" customHeight="1" x14ac:dyDescent="0.25">
      <c r="A63" s="9" t="s">
        <v>33</v>
      </c>
      <c r="B63" s="10">
        <f t="shared" ref="B63:K63" si="7">+SUM(B57:B62)</f>
        <v>207048</v>
      </c>
      <c r="C63" s="10">
        <f t="shared" si="7"/>
        <v>224045</v>
      </c>
      <c r="D63" s="10">
        <f t="shared" si="7"/>
        <v>124700</v>
      </c>
      <c r="E63" s="10">
        <f t="shared" si="7"/>
        <v>667120</v>
      </c>
      <c r="F63" s="10">
        <f t="shared" si="7"/>
        <v>911710</v>
      </c>
      <c r="G63" s="10">
        <f t="shared" si="7"/>
        <v>1088944</v>
      </c>
      <c r="H63" s="10">
        <f t="shared" si="7"/>
        <v>4752911</v>
      </c>
      <c r="I63" s="10">
        <f t="shared" si="7"/>
        <v>4237242</v>
      </c>
      <c r="J63" s="10">
        <f t="shared" si="7"/>
        <v>4923000</v>
      </c>
      <c r="K63" s="10">
        <f t="shared" si="7"/>
        <v>6619000</v>
      </c>
      <c r="L63" s="10">
        <f>+SUM(L57:L62)</f>
        <v>22225000</v>
      </c>
    </row>
    <row r="64" spans="1:12" ht="15.95" customHeight="1" x14ac:dyDescent="0.25">
      <c r="A64" s="1" t="s">
        <v>127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785175</v>
      </c>
      <c r="I64" s="6">
        <v>997346</v>
      </c>
      <c r="J64" s="6">
        <v>834000</v>
      </c>
      <c r="K64" s="6">
        <v>849000</v>
      </c>
      <c r="L64" s="6">
        <v>850000</v>
      </c>
    </row>
    <row r="65" spans="1:13" s="9" customFormat="1" ht="15.95" customHeight="1" x14ac:dyDescent="0.25">
      <c r="A65" s="9" t="s">
        <v>34</v>
      </c>
      <c r="B65" s="16">
        <f>+B63+B49</f>
        <v>386082</v>
      </c>
      <c r="C65" s="16">
        <f>+C63+C49</f>
        <v>713448</v>
      </c>
      <c r="D65" s="16">
        <f>+D63+D49</f>
        <v>1114190</v>
      </c>
      <c r="E65" s="16">
        <f>+E63+E49</f>
        <v>2416930</v>
      </c>
      <c r="F65" s="16">
        <f>+F63+F49+F53</f>
        <v>5830667</v>
      </c>
      <c r="G65" s="16">
        <f>+G63+G49+G53</f>
        <v>8092460</v>
      </c>
      <c r="H65" s="16">
        <f>+H63+H49+H53+H52+H64</f>
        <v>22664076</v>
      </c>
      <c r="I65" s="16">
        <f>+I63+I49+I53+I52+I64</f>
        <v>28655372</v>
      </c>
      <c r="J65" s="16">
        <f>+J63+J49+J53+J52+J64</f>
        <v>29740000</v>
      </c>
      <c r="K65" s="16">
        <f>+K63+K49+K53+K52+K64</f>
        <v>34310000</v>
      </c>
      <c r="L65" s="16">
        <f>+L63+L49+L53+L52+L64</f>
        <v>52148000</v>
      </c>
      <c r="M65" s="16"/>
    </row>
    <row r="66" spans="1:13" ht="15.95" customHeight="1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3" ht="15.95" customHeight="1" x14ac:dyDescent="0.25">
      <c r="D67" s="6"/>
      <c r="E67" s="6"/>
      <c r="F67" s="6"/>
      <c r="G67" s="6"/>
      <c r="H67" s="6"/>
      <c r="I67" s="6"/>
      <c r="J67" s="6"/>
      <c r="K67" s="6"/>
      <c r="L67" s="6"/>
    </row>
    <row r="68" spans="1:13" ht="15.95" customHeight="1" x14ac:dyDescent="0.25">
      <c r="D68" s="6"/>
      <c r="E68" s="6"/>
      <c r="F68" s="6"/>
      <c r="G68" s="6"/>
      <c r="K68" s="6"/>
      <c r="L68" s="6"/>
    </row>
    <row r="69" spans="1:13" ht="15.95" customHeight="1" x14ac:dyDescent="0.25">
      <c r="F69" s="6"/>
      <c r="G69" s="6"/>
    </row>
    <row r="70" spans="1:13" ht="15.95" customHeight="1" x14ac:dyDescent="0.25">
      <c r="F70" s="6"/>
      <c r="G7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1EB9-6E77-48CA-9D7D-5C7277E9620B}">
  <dimension ref="A1:M52"/>
  <sheetViews>
    <sheetView zoomScale="130" zoomScaleNormal="130" workbookViewId="0">
      <pane ySplit="7" topLeftCell="A32" activePane="bottomLeft" state="frozen"/>
      <selection pane="bottomLeft" activeCell="M32" sqref="M32:M34"/>
    </sheetView>
  </sheetViews>
  <sheetFormatPr defaultColWidth="15.7109375" defaultRowHeight="15.95" customHeight="1" outlineLevelCol="1" x14ac:dyDescent="0.25"/>
  <cols>
    <col min="1" max="1" width="32.5703125" style="1" customWidth="1"/>
    <col min="2" max="2" width="16.5703125" style="6" hidden="1" customWidth="1" outlineLevel="1"/>
    <col min="3" max="8" width="15.7109375" style="6" hidden="1" customWidth="1" outlineLevel="1"/>
    <col min="9" max="9" width="15.7109375" style="6" collapsed="1"/>
    <col min="10" max="13" width="15.7109375" style="6"/>
    <col min="14" max="16384" width="15.7109375" style="1"/>
  </cols>
  <sheetData>
    <row r="1" spans="1:13" ht="15.95" customHeight="1" x14ac:dyDescent="0.25">
      <c r="A1" s="9" t="s">
        <v>35</v>
      </c>
    </row>
    <row r="2" spans="1:13" ht="15.95" customHeight="1" x14ac:dyDescent="0.25">
      <c r="A2" s="9" t="s">
        <v>39</v>
      </c>
    </row>
    <row r="3" spans="1:13" ht="15.95" customHeight="1" x14ac:dyDescent="0.25">
      <c r="A3" s="9" t="s">
        <v>156</v>
      </c>
    </row>
    <row r="6" spans="1:13" ht="15.95" customHeight="1" x14ac:dyDescent="0.25">
      <c r="B6" s="2" t="s">
        <v>38</v>
      </c>
      <c r="C6" s="2" t="s">
        <v>38</v>
      </c>
      <c r="D6" s="2" t="s">
        <v>38</v>
      </c>
      <c r="E6" s="2" t="s">
        <v>38</v>
      </c>
      <c r="F6" s="2" t="s">
        <v>38</v>
      </c>
      <c r="G6" s="2" t="s">
        <v>112</v>
      </c>
      <c r="H6" s="2" t="s">
        <v>112</v>
      </c>
      <c r="I6" s="2" t="s">
        <v>112</v>
      </c>
      <c r="J6" s="2" t="s">
        <v>38</v>
      </c>
      <c r="K6" s="2" t="s">
        <v>112</v>
      </c>
      <c r="L6" s="2" t="s">
        <v>112</v>
      </c>
      <c r="M6" s="2" t="s">
        <v>38</v>
      </c>
    </row>
    <row r="7" spans="1:13" s="3" customFormat="1" ht="15.95" customHeight="1" x14ac:dyDescent="0.25">
      <c r="B7" s="12">
        <v>2009</v>
      </c>
      <c r="C7" s="12">
        <v>2010</v>
      </c>
      <c r="D7" s="12">
        <v>2011</v>
      </c>
      <c r="E7" s="12">
        <v>2012</v>
      </c>
      <c r="F7" s="12">
        <v>2013</v>
      </c>
      <c r="G7" s="12">
        <v>2014</v>
      </c>
      <c r="H7" s="12">
        <v>2015</v>
      </c>
      <c r="I7" s="12">
        <v>2016</v>
      </c>
      <c r="J7" s="12">
        <v>2017</v>
      </c>
      <c r="K7" s="12">
        <v>2018</v>
      </c>
      <c r="L7" s="12">
        <v>2019</v>
      </c>
      <c r="M7" s="12">
        <v>2020</v>
      </c>
    </row>
    <row r="8" spans="1:13" s="7" customFormat="1" ht="15.95" customHeight="1" x14ac:dyDescent="0.25">
      <c r="A8" s="7" t="s">
        <v>41</v>
      </c>
      <c r="B8" s="8" t="s">
        <v>163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ht="15.95" customHeight="1" x14ac:dyDescent="0.25">
      <c r="A9" s="1" t="s">
        <v>42</v>
      </c>
      <c r="B9" s="6">
        <v>111943</v>
      </c>
      <c r="C9" s="6">
        <v>97078</v>
      </c>
      <c r="D9" s="6">
        <v>148568</v>
      </c>
      <c r="E9" s="6">
        <v>385699</v>
      </c>
      <c r="F9" s="6">
        <v>1997786</v>
      </c>
      <c r="G9" s="6">
        <v>3007012</v>
      </c>
      <c r="H9" s="6">
        <v>3431587</v>
      </c>
      <c r="I9" s="6">
        <v>5589007</v>
      </c>
      <c r="J9" s="6">
        <v>8534752</v>
      </c>
      <c r="K9" s="6">
        <v>17632000</v>
      </c>
      <c r="L9" s="6">
        <v>19952000</v>
      </c>
      <c r="M9" s="6">
        <v>26184000</v>
      </c>
    </row>
    <row r="10" spans="1:13" ht="15.95" customHeight="1" x14ac:dyDescent="0.25">
      <c r="A10" s="1" t="s">
        <v>132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309386</v>
      </c>
      <c r="I10" s="6">
        <v>761759</v>
      </c>
      <c r="J10" s="6">
        <v>1106548</v>
      </c>
      <c r="K10" s="6">
        <v>883000</v>
      </c>
      <c r="L10" s="6">
        <v>869000</v>
      </c>
      <c r="M10" s="6">
        <v>1052000</v>
      </c>
    </row>
    <row r="11" spans="1:13" s="7" customFormat="1" ht="15.95" customHeight="1" x14ac:dyDescent="0.25">
      <c r="A11" s="7" t="s">
        <v>133</v>
      </c>
      <c r="B11" s="8">
        <f>+SUM(B9:B10)</f>
        <v>111943</v>
      </c>
      <c r="C11" s="8">
        <f t="shared" ref="C11:H11" si="0">+SUM(C9:C10)</f>
        <v>97078</v>
      </c>
      <c r="D11" s="8">
        <f t="shared" si="0"/>
        <v>148568</v>
      </c>
      <c r="E11" s="8">
        <f t="shared" si="0"/>
        <v>385699</v>
      </c>
      <c r="F11" s="8">
        <f t="shared" si="0"/>
        <v>1997786</v>
      </c>
      <c r="G11" s="8">
        <f t="shared" si="0"/>
        <v>3007012</v>
      </c>
      <c r="H11" s="8">
        <f t="shared" si="0"/>
        <v>3740973</v>
      </c>
      <c r="I11" s="8">
        <f t="shared" ref="I11" si="1">+SUM(I9:I10)</f>
        <v>6350766</v>
      </c>
      <c r="J11" s="8">
        <f t="shared" ref="J11" si="2">+SUM(J9:J10)</f>
        <v>9641300</v>
      </c>
      <c r="K11" s="8">
        <f t="shared" ref="K11" si="3">+SUM(K9:K10)</f>
        <v>18515000</v>
      </c>
      <c r="L11" s="8">
        <f t="shared" ref="L11" si="4">+SUM(L9:L10)</f>
        <v>20821000</v>
      </c>
      <c r="M11" s="8">
        <f t="shared" ref="M11" si="5">+SUM(M9:M10)</f>
        <v>27236000</v>
      </c>
    </row>
    <row r="12" spans="1:13" ht="15.95" customHeight="1" x14ac:dyDescent="0.25">
      <c r="A12" s="1" t="s">
        <v>134</v>
      </c>
      <c r="B12" s="8">
        <v>0</v>
      </c>
      <c r="C12" s="8">
        <v>0</v>
      </c>
      <c r="D12" s="8">
        <v>0</v>
      </c>
      <c r="E12" s="8"/>
      <c r="F12" s="8"/>
      <c r="G12" s="8"/>
      <c r="H12" s="8">
        <v>14477</v>
      </c>
      <c r="I12" s="6">
        <v>181394</v>
      </c>
      <c r="J12" s="6">
        <v>1116266</v>
      </c>
      <c r="K12" s="6">
        <v>1555000</v>
      </c>
      <c r="L12" s="6">
        <v>1531000</v>
      </c>
      <c r="M12" s="6">
        <v>1994000</v>
      </c>
    </row>
    <row r="13" spans="1:13" ht="15.95" customHeight="1" x14ac:dyDescent="0.25">
      <c r="A13" s="1" t="s">
        <v>43</v>
      </c>
      <c r="B13" s="6">
        <v>0</v>
      </c>
      <c r="C13" s="6">
        <v>19666</v>
      </c>
      <c r="D13" s="6">
        <v>55674</v>
      </c>
      <c r="E13" s="6">
        <v>27557</v>
      </c>
      <c r="F13" s="6">
        <v>15710</v>
      </c>
      <c r="G13" s="6">
        <v>191344</v>
      </c>
      <c r="H13" s="6">
        <v>290575</v>
      </c>
      <c r="I13" s="6">
        <v>467972</v>
      </c>
      <c r="J13" s="6">
        <v>1001185</v>
      </c>
      <c r="K13" s="6">
        <v>1391000</v>
      </c>
      <c r="L13" s="6">
        <v>2226000</v>
      </c>
      <c r="M13" s="6">
        <v>2306000</v>
      </c>
    </row>
    <row r="14" spans="1:13" s="9" customFormat="1" ht="15.95" customHeight="1" x14ac:dyDescent="0.25">
      <c r="A14" s="9" t="s">
        <v>44</v>
      </c>
      <c r="B14" s="10">
        <f>+SUM(B11:B13)</f>
        <v>111943</v>
      </c>
      <c r="C14" s="10">
        <f t="shared" ref="C14:F14" si="6">+SUM(C11:C13)</f>
        <v>116744</v>
      </c>
      <c r="D14" s="10">
        <f t="shared" si="6"/>
        <v>204242</v>
      </c>
      <c r="E14" s="10">
        <f t="shared" si="6"/>
        <v>413256</v>
      </c>
      <c r="F14" s="10">
        <f t="shared" si="6"/>
        <v>2013496</v>
      </c>
      <c r="G14" s="10">
        <f t="shared" ref="G14:H14" si="7">+SUM(G11:G13)</f>
        <v>3198356</v>
      </c>
      <c r="H14" s="10">
        <f t="shared" si="7"/>
        <v>4046025</v>
      </c>
      <c r="I14" s="10">
        <f t="shared" ref="I14" si="8">+SUM(I11:I13)</f>
        <v>7000132</v>
      </c>
      <c r="J14" s="10">
        <f t="shared" ref="J14" si="9">+SUM(J11:J13)</f>
        <v>11758751</v>
      </c>
      <c r="K14" s="10">
        <f t="shared" ref="K14" si="10">+SUM(K11:K13)</f>
        <v>21461000</v>
      </c>
      <c r="L14" s="10">
        <f t="shared" ref="L14" si="11">+SUM(L11:L13)</f>
        <v>24578000</v>
      </c>
      <c r="M14" s="10">
        <f t="shared" ref="M14" si="12">+SUM(M11:M13)</f>
        <v>31536000</v>
      </c>
    </row>
    <row r="16" spans="1:13" ht="15.95" customHeight="1" x14ac:dyDescent="0.25">
      <c r="A16" s="7" t="s">
        <v>45</v>
      </c>
    </row>
    <row r="17" spans="1:13" ht="15.95" customHeight="1" x14ac:dyDescent="0.25">
      <c r="A17" s="1" t="s">
        <v>42</v>
      </c>
      <c r="B17" s="6">
        <v>102408</v>
      </c>
      <c r="C17" s="6">
        <v>79982</v>
      </c>
      <c r="D17" s="6">
        <v>115482</v>
      </c>
      <c r="E17" s="6">
        <v>371658</v>
      </c>
      <c r="F17" s="6">
        <v>1543878</v>
      </c>
      <c r="G17" s="6">
        <v>2145749</v>
      </c>
      <c r="H17" s="6">
        <v>2639926</v>
      </c>
      <c r="I17" s="6">
        <v>4268087</v>
      </c>
      <c r="J17" s="6">
        <v>6724480</v>
      </c>
      <c r="K17" s="6">
        <v>13686000</v>
      </c>
      <c r="L17" s="6">
        <v>15939000</v>
      </c>
      <c r="M17" s="6">
        <v>19696000</v>
      </c>
    </row>
    <row r="18" spans="1:13" ht="15.95" customHeight="1" x14ac:dyDescent="0.25">
      <c r="A18" s="1" t="s">
        <v>132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183376</v>
      </c>
      <c r="I18" s="6">
        <v>481994</v>
      </c>
      <c r="J18" s="6">
        <v>708224</v>
      </c>
      <c r="K18" s="6">
        <v>488000</v>
      </c>
      <c r="L18" s="6">
        <v>459000</v>
      </c>
      <c r="M18" s="6">
        <v>563000</v>
      </c>
    </row>
    <row r="19" spans="1:13" s="7" customFormat="1" ht="15.95" customHeight="1" x14ac:dyDescent="0.25">
      <c r="A19" s="7" t="s">
        <v>135</v>
      </c>
      <c r="B19" s="8">
        <f>+SUM(B17:B18)</f>
        <v>102408</v>
      </c>
      <c r="C19" s="8">
        <f t="shared" ref="C19" si="13">+SUM(C17:C18)</f>
        <v>79982</v>
      </c>
      <c r="D19" s="8">
        <f>+SUM(D17:D18)</f>
        <v>115482</v>
      </c>
      <c r="E19" s="8">
        <f>+SUM(E17:E18)</f>
        <v>371658</v>
      </c>
      <c r="F19" s="8">
        <f t="shared" ref="F19" si="14">+SUM(F17:F18)</f>
        <v>1543878</v>
      </c>
      <c r="G19" s="8">
        <f t="shared" ref="G19" si="15">+SUM(G17:G18)</f>
        <v>2145749</v>
      </c>
      <c r="H19" s="8">
        <f t="shared" ref="H19" si="16">+SUM(H17:H18)</f>
        <v>2823302</v>
      </c>
      <c r="I19" s="8">
        <f t="shared" ref="I19" si="17">+SUM(I17:I18)</f>
        <v>4750081</v>
      </c>
      <c r="J19" s="8">
        <f t="shared" ref="J19" si="18">+SUM(J17:J18)</f>
        <v>7432704</v>
      </c>
      <c r="K19" s="8">
        <f t="shared" ref="K19" si="19">+SUM(K17:K18)</f>
        <v>14174000</v>
      </c>
      <c r="L19" s="8">
        <f t="shared" ref="L19" si="20">+SUM(L17:L18)</f>
        <v>16398000</v>
      </c>
      <c r="M19" s="8">
        <f t="shared" ref="M19" si="21">+SUM(M17:M18)</f>
        <v>20259000</v>
      </c>
    </row>
    <row r="20" spans="1:13" ht="15.95" customHeight="1" x14ac:dyDescent="0.25">
      <c r="A20" s="1" t="s">
        <v>134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12287</v>
      </c>
      <c r="I20" s="6">
        <v>178332</v>
      </c>
      <c r="J20" s="6">
        <v>874538</v>
      </c>
      <c r="K20" s="6">
        <v>1365000</v>
      </c>
      <c r="L20" s="6">
        <v>1341000</v>
      </c>
      <c r="M20" s="6">
        <v>1976000</v>
      </c>
    </row>
    <row r="21" spans="1:13" ht="15.95" customHeight="1" x14ac:dyDescent="0.25">
      <c r="A21" s="1" t="s">
        <v>43</v>
      </c>
      <c r="B21" s="6">
        <v>0</v>
      </c>
      <c r="C21" s="6">
        <v>6031</v>
      </c>
      <c r="D21" s="6">
        <v>27165</v>
      </c>
      <c r="E21" s="6">
        <v>11531</v>
      </c>
      <c r="F21" s="6">
        <v>13356</v>
      </c>
      <c r="G21" s="6">
        <v>170936</v>
      </c>
      <c r="H21" s="6">
        <v>286933</v>
      </c>
      <c r="I21" s="6">
        <v>472462</v>
      </c>
      <c r="J21" s="6">
        <v>1229022</v>
      </c>
      <c r="K21" s="6">
        <v>1880000</v>
      </c>
      <c r="L21" s="6">
        <v>2770000</v>
      </c>
      <c r="M21" s="6">
        <v>2671000</v>
      </c>
    </row>
    <row r="22" spans="1:13" s="9" customFormat="1" ht="15.95" customHeight="1" x14ac:dyDescent="0.25">
      <c r="A22" s="9" t="s">
        <v>46</v>
      </c>
      <c r="B22" s="8">
        <f>+SUM(B19:B21)</f>
        <v>102408</v>
      </c>
      <c r="C22" s="8">
        <f>+SUM(C19:C21)</f>
        <v>86013</v>
      </c>
      <c r="D22" s="8">
        <f>+SUM(D19:D21)</f>
        <v>142647</v>
      </c>
      <c r="E22" s="8">
        <f>+SUM(E19:E21)</f>
        <v>383189</v>
      </c>
      <c r="F22" s="8">
        <f t="shared" ref="F22" si="22">+SUM(F19:F21)</f>
        <v>1557234</v>
      </c>
      <c r="G22" s="8">
        <f t="shared" ref="G22" si="23">+SUM(G19:G21)</f>
        <v>2316685</v>
      </c>
      <c r="H22" s="8">
        <f t="shared" ref="H22" si="24">+SUM(H19:H21)</f>
        <v>3122522</v>
      </c>
      <c r="I22" s="8">
        <f t="shared" ref="I22" si="25">+SUM(I19:I21)</f>
        <v>5400875</v>
      </c>
      <c r="J22" s="8">
        <f t="shared" ref="J22" si="26">+SUM(J19:J21)</f>
        <v>9536264</v>
      </c>
      <c r="K22" s="8">
        <f t="shared" ref="K22" si="27">+SUM(K19:K21)</f>
        <v>17419000</v>
      </c>
      <c r="L22" s="8">
        <f t="shared" ref="L22" si="28">+SUM(L19:L21)</f>
        <v>20509000</v>
      </c>
      <c r="M22" s="8">
        <f t="shared" ref="M22" si="29">+SUM(M19:M21)</f>
        <v>24906000</v>
      </c>
    </row>
    <row r="23" spans="1:13" s="9" customFormat="1" ht="15.95" customHeight="1" x14ac:dyDescent="0.25">
      <c r="A23" s="9" t="s">
        <v>47</v>
      </c>
      <c r="B23" s="10">
        <f>+B14-B22</f>
        <v>9535</v>
      </c>
      <c r="C23" s="10">
        <f>+C14-C22</f>
        <v>30731</v>
      </c>
      <c r="D23" s="10">
        <f>+D14-D22</f>
        <v>61595</v>
      </c>
      <c r="E23" s="10">
        <f>+E14-E22</f>
        <v>30067</v>
      </c>
      <c r="F23" s="10">
        <f t="shared" ref="F23" si="30">+F14-F22</f>
        <v>456262</v>
      </c>
      <c r="G23" s="10">
        <f t="shared" ref="G23" si="31">+G14-G22</f>
        <v>881671</v>
      </c>
      <c r="H23" s="10">
        <f t="shared" ref="H23" si="32">+H14-H22</f>
        <v>923503</v>
      </c>
      <c r="I23" s="10">
        <f t="shared" ref="I23" si="33">+I14-I22</f>
        <v>1599257</v>
      </c>
      <c r="J23" s="10">
        <f t="shared" ref="J23" si="34">+J14-J22</f>
        <v>2222487</v>
      </c>
      <c r="K23" s="10">
        <f t="shared" ref="K23" si="35">+K14-K22</f>
        <v>4042000</v>
      </c>
      <c r="L23" s="10">
        <f t="shared" ref="L23" si="36">+L14-L22</f>
        <v>4069000</v>
      </c>
      <c r="M23" s="10">
        <f t="shared" ref="M23" si="37">+M14-M22</f>
        <v>6630000</v>
      </c>
    </row>
    <row r="25" spans="1:13" s="7" customFormat="1" ht="15.95" customHeight="1" x14ac:dyDescent="0.25">
      <c r="A25" s="7" t="s">
        <v>48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ht="15.95" customHeight="1" x14ac:dyDescent="0.25">
      <c r="A26" s="1" t="s">
        <v>157</v>
      </c>
      <c r="B26" s="6">
        <v>19282</v>
      </c>
      <c r="C26" s="6">
        <v>92996</v>
      </c>
      <c r="D26" s="6">
        <v>208981</v>
      </c>
      <c r="E26" s="6">
        <v>273978</v>
      </c>
      <c r="F26" s="6">
        <v>231976</v>
      </c>
      <c r="G26" s="6">
        <v>464700</v>
      </c>
      <c r="H26" s="6">
        <v>717900</v>
      </c>
      <c r="I26" s="6">
        <v>834408</v>
      </c>
      <c r="J26" s="6">
        <v>1378073</v>
      </c>
      <c r="K26" s="6">
        <v>1460000</v>
      </c>
      <c r="L26" s="6">
        <v>1343000</v>
      </c>
      <c r="M26" s="6">
        <v>1491000</v>
      </c>
    </row>
    <row r="27" spans="1:13" ht="15.95" customHeight="1" x14ac:dyDescent="0.25">
      <c r="A27" s="1" t="s">
        <v>49</v>
      </c>
      <c r="B27" s="6">
        <v>42150</v>
      </c>
      <c r="C27" s="6">
        <v>84573</v>
      </c>
      <c r="D27" s="6">
        <v>104102</v>
      </c>
      <c r="E27" s="6">
        <v>150372</v>
      </c>
      <c r="F27" s="6">
        <v>285569</v>
      </c>
      <c r="G27" s="6">
        <v>603660</v>
      </c>
      <c r="H27" s="6">
        <v>922232</v>
      </c>
      <c r="I27" s="6">
        <v>1432189</v>
      </c>
      <c r="J27" s="6">
        <v>2476500</v>
      </c>
      <c r="K27" s="6">
        <v>2835000</v>
      </c>
      <c r="L27" s="6">
        <v>2646000</v>
      </c>
      <c r="M27" s="6">
        <v>3145000</v>
      </c>
    </row>
    <row r="28" spans="1:13" ht="15.95" customHeight="1" x14ac:dyDescent="0.25">
      <c r="A28" s="1" t="s">
        <v>139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135000</v>
      </c>
      <c r="L28" s="6">
        <v>149000</v>
      </c>
      <c r="M28" s="6">
        <v>0</v>
      </c>
    </row>
    <row r="29" spans="1:13" s="11" customFormat="1" ht="15.95" customHeight="1" x14ac:dyDescent="0.25">
      <c r="A29" s="9" t="s">
        <v>50</v>
      </c>
      <c r="B29" s="10">
        <f>+SUM(B26:B28)</f>
        <v>61432</v>
      </c>
      <c r="C29" s="10">
        <f t="shared" ref="C29" si="38">+SUM(C26:C28)</f>
        <v>177569</v>
      </c>
      <c r="D29" s="10">
        <f>+SUM(D26:D28)</f>
        <v>313083</v>
      </c>
      <c r="E29" s="10">
        <f t="shared" ref="E29" si="39">+SUM(E26:E28)</f>
        <v>424350</v>
      </c>
      <c r="F29" s="10">
        <f t="shared" ref="F29" si="40">+SUM(F26:F28)</f>
        <v>517545</v>
      </c>
      <c r="G29" s="10">
        <f t="shared" ref="G29" si="41">+SUM(G26:G28)</f>
        <v>1068360</v>
      </c>
      <c r="H29" s="10">
        <f t="shared" ref="H29" si="42">+SUM(H26:H28)</f>
        <v>1640132</v>
      </c>
      <c r="I29" s="10">
        <f t="shared" ref="I29" si="43">+SUM(I26:I28)</f>
        <v>2266597</v>
      </c>
      <c r="J29" s="10">
        <f t="shared" ref="J29" si="44">+SUM(J26:J28)</f>
        <v>3854573</v>
      </c>
      <c r="K29" s="10">
        <f t="shared" ref="K29" si="45">+SUM(K26:K28)</f>
        <v>4430000</v>
      </c>
      <c r="L29" s="10">
        <f t="shared" ref="L29" si="46">+SUM(L26:L28)</f>
        <v>4138000</v>
      </c>
      <c r="M29" s="10">
        <f t="shared" ref="M29" si="47">+SUM(M26:M28)</f>
        <v>4636000</v>
      </c>
    </row>
    <row r="30" spans="1:13" s="9" customFormat="1" ht="15.95" customHeight="1" x14ac:dyDescent="0.25">
      <c r="A30" s="9" t="s">
        <v>140</v>
      </c>
      <c r="B30" s="16">
        <f>+B23-B29</f>
        <v>-51897</v>
      </c>
      <c r="C30" s="16">
        <f t="shared" ref="C30" si="48">+C23-C29</f>
        <v>-146838</v>
      </c>
      <c r="D30" s="16">
        <f>+D23-D29</f>
        <v>-251488</v>
      </c>
      <c r="E30" s="16">
        <f t="shared" ref="E30" si="49">+E23-E29</f>
        <v>-394283</v>
      </c>
      <c r="F30" s="16">
        <f t="shared" ref="F30" si="50">+F23-F29</f>
        <v>-61283</v>
      </c>
      <c r="G30" s="16">
        <f t="shared" ref="G30" si="51">+G23-G29</f>
        <v>-186689</v>
      </c>
      <c r="H30" s="16">
        <f t="shared" ref="H30" si="52">+H23-H29</f>
        <v>-716629</v>
      </c>
      <c r="I30" s="16">
        <f t="shared" ref="I30" si="53">+I23-I29</f>
        <v>-667340</v>
      </c>
      <c r="J30" s="16">
        <f t="shared" ref="J30" si="54">+J23-J29</f>
        <v>-1632086</v>
      </c>
      <c r="K30" s="16">
        <f t="shared" ref="K30" si="55">+K23-K29</f>
        <v>-388000</v>
      </c>
      <c r="L30" s="16">
        <f t="shared" ref="L30" si="56">+L23-L29</f>
        <v>-69000</v>
      </c>
      <c r="M30" s="16">
        <f t="shared" ref="M30" si="57">+M23-M29</f>
        <v>1994000</v>
      </c>
    </row>
    <row r="31" spans="1:13" s="7" customFormat="1" ht="15.95" customHeight="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ht="15.95" customHeight="1" x14ac:dyDescent="0.25">
      <c r="A32" s="1" t="s">
        <v>51</v>
      </c>
      <c r="B32" s="15">
        <v>159</v>
      </c>
      <c r="C32" s="15">
        <v>258</v>
      </c>
      <c r="D32" s="15">
        <v>255</v>
      </c>
      <c r="E32" s="15">
        <v>288</v>
      </c>
      <c r="F32" s="15">
        <v>189</v>
      </c>
      <c r="G32" s="15">
        <v>1126</v>
      </c>
      <c r="H32" s="15">
        <v>1508</v>
      </c>
      <c r="I32" s="15">
        <v>8530</v>
      </c>
      <c r="J32" s="15">
        <v>19686</v>
      </c>
      <c r="K32" s="15">
        <v>24000</v>
      </c>
      <c r="L32" s="15">
        <v>44000</v>
      </c>
      <c r="M32" s="15">
        <v>30000</v>
      </c>
    </row>
    <row r="33" spans="1:13" ht="15.95" customHeight="1" x14ac:dyDescent="0.25">
      <c r="A33" s="1" t="s">
        <v>52</v>
      </c>
      <c r="B33" s="15">
        <v>-2531</v>
      </c>
      <c r="C33" s="15">
        <v>-992</v>
      </c>
      <c r="D33" s="15">
        <v>-43</v>
      </c>
      <c r="E33" s="15">
        <v>-254</v>
      </c>
      <c r="F33" s="15">
        <v>-32934</v>
      </c>
      <c r="G33" s="15">
        <v>-100886</v>
      </c>
      <c r="H33" s="15">
        <v>-118851</v>
      </c>
      <c r="I33" s="15">
        <v>-198810</v>
      </c>
      <c r="J33" s="15">
        <v>-471259</v>
      </c>
      <c r="K33" s="15">
        <v>-663000</v>
      </c>
      <c r="L33" s="15">
        <v>-685000</v>
      </c>
      <c r="M33" s="15">
        <v>-748000</v>
      </c>
    </row>
    <row r="34" spans="1:13" ht="15.95" customHeight="1" x14ac:dyDescent="0.25">
      <c r="A34" s="1" t="s">
        <v>53</v>
      </c>
      <c r="B34" s="15">
        <v>-1445</v>
      </c>
      <c r="C34" s="15">
        <v>-6583</v>
      </c>
      <c r="D34" s="15">
        <v>-2646</v>
      </c>
      <c r="E34" s="15">
        <v>-1828</v>
      </c>
      <c r="F34" s="15">
        <v>22602</v>
      </c>
      <c r="G34" s="15">
        <v>1813</v>
      </c>
      <c r="H34" s="15">
        <v>-41652</v>
      </c>
      <c r="I34" s="15">
        <v>111272</v>
      </c>
      <c r="J34" s="15">
        <v>-125373</v>
      </c>
      <c r="K34" s="15">
        <v>22000</v>
      </c>
      <c r="L34" s="15">
        <v>45000</v>
      </c>
      <c r="M34" s="15">
        <v>-122000</v>
      </c>
    </row>
    <row r="35" spans="1:13" s="7" customFormat="1" ht="15.95" customHeight="1" x14ac:dyDescent="0.25">
      <c r="A35" s="7" t="s">
        <v>54</v>
      </c>
      <c r="B35" s="16">
        <f>+SUM(B30:B34)</f>
        <v>-55714</v>
      </c>
      <c r="C35" s="16">
        <f>+SUM(C30:C34)</f>
        <v>-154155</v>
      </c>
      <c r="D35" s="16">
        <f>+SUM(D30:D34)</f>
        <v>-253922</v>
      </c>
      <c r="E35" s="16">
        <f>+SUM(E30:E34)</f>
        <v>-396077</v>
      </c>
      <c r="F35" s="16">
        <f t="shared" ref="F35" si="58">+SUM(F30:F34)</f>
        <v>-71426</v>
      </c>
      <c r="G35" s="16">
        <f t="shared" ref="G35" si="59">+SUM(G30:G34)</f>
        <v>-284636</v>
      </c>
      <c r="H35" s="16">
        <f t="shared" ref="H35" si="60">+SUM(H30:H34)</f>
        <v>-875624</v>
      </c>
      <c r="I35" s="16">
        <f t="shared" ref="I35" si="61">+SUM(I30:I34)</f>
        <v>-746348</v>
      </c>
      <c r="J35" s="16">
        <f t="shared" ref="J35" si="62">+SUM(J30:J34)</f>
        <v>-2209032</v>
      </c>
      <c r="K35" s="16">
        <f t="shared" ref="K35" si="63">+SUM(K30:K34)</f>
        <v>-1005000</v>
      </c>
      <c r="L35" s="16">
        <f t="shared" ref="L35" si="64">+SUM(L30:L34)</f>
        <v>-665000</v>
      </c>
      <c r="M35" s="16">
        <f t="shared" ref="M35" si="65">+SUM(M30:M34)</f>
        <v>1154000</v>
      </c>
    </row>
    <row r="36" spans="1:13" ht="15.95" customHeight="1" x14ac:dyDescent="0.25">
      <c r="A36" s="1" t="s">
        <v>55</v>
      </c>
      <c r="B36" s="6">
        <v>26</v>
      </c>
      <c r="C36" s="6">
        <v>173</v>
      </c>
      <c r="D36" s="6">
        <v>489</v>
      </c>
      <c r="E36" s="6">
        <v>136</v>
      </c>
      <c r="F36" s="6">
        <v>2588</v>
      </c>
      <c r="G36" s="6">
        <v>9404</v>
      </c>
      <c r="H36" s="6">
        <v>13039</v>
      </c>
      <c r="I36" s="6">
        <v>26698</v>
      </c>
      <c r="J36" s="6">
        <v>31546</v>
      </c>
      <c r="K36" s="6">
        <v>58000</v>
      </c>
      <c r="L36" s="6">
        <v>110000</v>
      </c>
      <c r="M36" s="6">
        <v>292000</v>
      </c>
    </row>
    <row r="37" spans="1:13" s="9" customFormat="1" ht="15.95" customHeight="1" x14ac:dyDescent="0.25">
      <c r="A37" s="9" t="s">
        <v>56</v>
      </c>
      <c r="B37" s="16">
        <f>+B35-B36</f>
        <v>-55740</v>
      </c>
      <c r="C37" s="16">
        <f>+C35-C36</f>
        <v>-154328</v>
      </c>
      <c r="D37" s="16">
        <f>+D35-D36</f>
        <v>-254411</v>
      </c>
      <c r="E37" s="16">
        <f>+E35-E36</f>
        <v>-396213</v>
      </c>
      <c r="F37" s="16">
        <f t="shared" ref="F37" si="66">+F35-F36</f>
        <v>-74014</v>
      </c>
      <c r="G37" s="16">
        <f t="shared" ref="G37" si="67">+G35-G36</f>
        <v>-294040</v>
      </c>
      <c r="H37" s="16">
        <f t="shared" ref="H37" si="68">+H35-H36</f>
        <v>-888663</v>
      </c>
      <c r="I37" s="16">
        <f t="shared" ref="I37" si="69">+I35-I36</f>
        <v>-773046</v>
      </c>
      <c r="J37" s="16">
        <f t="shared" ref="J37" si="70">+J35-J36</f>
        <v>-2240578</v>
      </c>
      <c r="K37" s="16">
        <f t="shared" ref="K37" si="71">+K35-K36</f>
        <v>-1063000</v>
      </c>
      <c r="L37" s="16">
        <f t="shared" ref="L37" si="72">+L35-L36</f>
        <v>-775000</v>
      </c>
      <c r="M37" s="16">
        <f t="shared" ref="M37" si="73">+M35-M36</f>
        <v>862000</v>
      </c>
    </row>
    <row r="38" spans="1:13" s="7" customFormat="1" ht="15.9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ht="15.95" customHeight="1" x14ac:dyDescent="0.25">
      <c r="A39" s="1" t="s">
        <v>57</v>
      </c>
      <c r="B39" s="14">
        <v>-7.94</v>
      </c>
      <c r="C39" s="14">
        <v>-3.04</v>
      </c>
      <c r="D39" s="14">
        <v>-2.5299999999999998</v>
      </c>
      <c r="E39" s="14">
        <v>-3.69</v>
      </c>
      <c r="F39" s="14">
        <v>-0.62</v>
      </c>
      <c r="G39" s="14">
        <v>-2.36</v>
      </c>
      <c r="H39" s="14">
        <v>-6.93</v>
      </c>
      <c r="I39" s="14">
        <v>-4.68</v>
      </c>
      <c r="J39" s="14">
        <v>-11.83</v>
      </c>
      <c r="K39" s="14">
        <v>-5.72</v>
      </c>
      <c r="L39" s="14">
        <v>-4.92</v>
      </c>
      <c r="M39" s="14"/>
    </row>
    <row r="40" spans="1:13" ht="15.95" customHeight="1" x14ac:dyDescent="0.25">
      <c r="A40" s="1" t="s">
        <v>58</v>
      </c>
      <c r="B40" s="6">
        <v>7021963</v>
      </c>
      <c r="C40" s="6">
        <v>50718302</v>
      </c>
      <c r="D40" s="6">
        <v>100388815</v>
      </c>
      <c r="E40" s="6">
        <v>107349188</v>
      </c>
      <c r="F40" s="6">
        <v>119421414</v>
      </c>
      <c r="G40" s="6">
        <v>124539000</v>
      </c>
      <c r="H40" s="6">
        <v>128202000</v>
      </c>
      <c r="I40" s="6">
        <v>144212000</v>
      </c>
      <c r="J40" s="6">
        <v>165758000</v>
      </c>
      <c r="K40" s="6">
        <v>171000000</v>
      </c>
      <c r="L40" s="6">
        <v>177000000</v>
      </c>
      <c r="M40" s="8"/>
    </row>
    <row r="41" spans="1:13" ht="15.95" customHeight="1" x14ac:dyDescent="0.25">
      <c r="B41" s="13"/>
      <c r="I41" s="8"/>
      <c r="J41" s="8"/>
      <c r="K41" s="8"/>
      <c r="L41" s="8"/>
      <c r="M41" s="8"/>
    </row>
    <row r="42" spans="1:13" ht="15.95" customHeight="1" x14ac:dyDescent="0.25">
      <c r="A42" s="1" t="s">
        <v>161</v>
      </c>
      <c r="H42" s="6">
        <v>0</v>
      </c>
      <c r="I42" s="15">
        <v>-98132</v>
      </c>
      <c r="J42" s="15">
        <v>-279178</v>
      </c>
      <c r="K42" s="15">
        <v>-87000</v>
      </c>
      <c r="L42" s="15">
        <v>87000</v>
      </c>
      <c r="M42" s="15">
        <v>141000</v>
      </c>
    </row>
    <row r="43" spans="1:13" ht="15.95" customHeight="1" x14ac:dyDescent="0.25">
      <c r="A43" s="1" t="s">
        <v>158</v>
      </c>
      <c r="H43" s="15">
        <f>+H37</f>
        <v>-888663</v>
      </c>
      <c r="I43" s="15">
        <v>-674914</v>
      </c>
      <c r="J43" s="15">
        <v>-1961400</v>
      </c>
      <c r="K43" s="15">
        <v>-976000</v>
      </c>
      <c r="L43" s="15">
        <v>-862000</v>
      </c>
      <c r="M43" s="15">
        <v>721000</v>
      </c>
    </row>
    <row r="44" spans="1:13" ht="15.95" customHeight="1" x14ac:dyDescent="0.25">
      <c r="H44" s="15"/>
    </row>
    <row r="45" spans="1:13" ht="15.95" customHeight="1" x14ac:dyDescent="0.25">
      <c r="A45" s="1" t="s">
        <v>141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15">
        <v>-31000</v>
      </c>
    </row>
    <row r="46" spans="1:13" ht="15.95" customHeight="1" x14ac:dyDescent="0.25">
      <c r="A46" s="1" t="s">
        <v>159</v>
      </c>
      <c r="H46" s="15">
        <f t="shared" ref="H46:L46" si="74">+SUM(H43:H45)</f>
        <v>-888663</v>
      </c>
      <c r="I46" s="15">
        <f t="shared" si="74"/>
        <v>-674914</v>
      </c>
      <c r="J46" s="15">
        <f t="shared" si="74"/>
        <v>-1961400</v>
      </c>
      <c r="K46" s="15">
        <f t="shared" si="74"/>
        <v>-976000</v>
      </c>
      <c r="L46" s="15">
        <f t="shared" si="74"/>
        <v>-862000</v>
      </c>
      <c r="M46" s="15">
        <f>+SUM(M43:M45)</f>
        <v>690000</v>
      </c>
    </row>
    <row r="47" spans="1:13" ht="15.95" customHeight="1" x14ac:dyDescent="0.25">
      <c r="A47" s="1" t="s">
        <v>160</v>
      </c>
    </row>
    <row r="48" spans="1:13" ht="15.95" customHeight="1" x14ac:dyDescent="0.25">
      <c r="A48" s="1" t="s">
        <v>136</v>
      </c>
      <c r="H48" s="14">
        <v>-6.93</v>
      </c>
      <c r="I48" s="14">
        <v>-4.68</v>
      </c>
      <c r="J48" s="14">
        <v>-11.83</v>
      </c>
      <c r="K48" s="14">
        <v>-5.72</v>
      </c>
      <c r="L48" s="14">
        <v>-4.92</v>
      </c>
      <c r="M48" s="14">
        <v>0.74</v>
      </c>
    </row>
    <row r="49" spans="1:13" ht="15.95" customHeight="1" x14ac:dyDescent="0.25">
      <c r="A49" s="1" t="s">
        <v>137</v>
      </c>
      <c r="H49" s="14">
        <v>-6.93</v>
      </c>
      <c r="I49" s="14">
        <v>-4.68</v>
      </c>
      <c r="J49" s="14">
        <v>-11.83</v>
      </c>
      <c r="K49" s="14">
        <v>-5.72</v>
      </c>
      <c r="L49" s="14">
        <v>-4.92</v>
      </c>
      <c r="M49" s="14">
        <v>0.64</v>
      </c>
    </row>
    <row r="50" spans="1:13" ht="15.95" customHeight="1" x14ac:dyDescent="0.25">
      <c r="A50" s="1" t="s">
        <v>162</v>
      </c>
    </row>
    <row r="51" spans="1:13" ht="15.95" customHeight="1" x14ac:dyDescent="0.25">
      <c r="A51" s="1" t="s">
        <v>136</v>
      </c>
      <c r="H51" s="6">
        <v>128202000</v>
      </c>
      <c r="I51" s="6">
        <v>144212000</v>
      </c>
      <c r="J51" s="6">
        <v>165758000</v>
      </c>
      <c r="K51" s="6">
        <v>171000000</v>
      </c>
      <c r="L51" s="6">
        <v>177000000</v>
      </c>
      <c r="M51" s="6">
        <v>933000000</v>
      </c>
    </row>
    <row r="52" spans="1:13" ht="15.95" customHeight="1" x14ac:dyDescent="0.25">
      <c r="A52" s="1" t="s">
        <v>137</v>
      </c>
      <c r="H52" s="6">
        <v>128202000</v>
      </c>
      <c r="I52" s="6">
        <v>144212000</v>
      </c>
      <c r="J52" s="6">
        <v>165758000</v>
      </c>
      <c r="K52" s="6">
        <v>171000000</v>
      </c>
      <c r="L52" s="6">
        <v>177000000</v>
      </c>
      <c r="M52" s="6">
        <v>1083000000</v>
      </c>
    </row>
  </sheetData>
  <pageMargins left="0.7" right="0.7" top="0.75" bottom="0.75" header="0.3" footer="0.3"/>
  <ignoredErrors>
    <ignoredError sqref="I46:M4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F769-4A7F-4E0C-845A-BCDD874B6CEE}">
  <dimension ref="A1:M94"/>
  <sheetViews>
    <sheetView zoomScale="130" zoomScaleNormal="130" workbookViewId="0">
      <pane ySplit="7" topLeftCell="A20" activePane="bottomLeft" state="frozen"/>
      <selection pane="bottomLeft" activeCell="A11" sqref="A11:XFD11"/>
    </sheetView>
  </sheetViews>
  <sheetFormatPr defaultColWidth="15.7109375" defaultRowHeight="15" outlineLevelCol="1" x14ac:dyDescent="0.25"/>
  <cols>
    <col min="1" max="1" width="47" style="1" customWidth="1"/>
    <col min="2" max="8" width="0" style="6" hidden="1" customWidth="1" outlineLevel="1"/>
    <col min="9" max="9" width="15.7109375" style="6" collapsed="1"/>
    <col min="10" max="13" width="15.7109375" style="6"/>
    <col min="14" max="16384" width="15.7109375" style="1"/>
  </cols>
  <sheetData>
    <row r="1" spans="1:13" x14ac:dyDescent="0.25">
      <c r="A1" s="1" t="s">
        <v>35</v>
      </c>
      <c r="B1" s="6" t="s">
        <v>35</v>
      </c>
    </row>
    <row r="2" spans="1:13" x14ac:dyDescent="0.25">
      <c r="A2" s="1" t="s">
        <v>59</v>
      </c>
      <c r="B2" s="6" t="s">
        <v>59</v>
      </c>
    </row>
    <row r="3" spans="1:13" x14ac:dyDescent="0.25">
      <c r="A3" s="1" t="s">
        <v>60</v>
      </c>
      <c r="B3" s="6" t="s">
        <v>60</v>
      </c>
    </row>
    <row r="6" spans="1:13" x14ac:dyDescent="0.25">
      <c r="D6" s="6" t="s">
        <v>40</v>
      </c>
      <c r="F6" s="6" t="s">
        <v>40</v>
      </c>
      <c r="H6" s="6" t="s">
        <v>130</v>
      </c>
      <c r="J6" s="6" t="s">
        <v>131</v>
      </c>
      <c r="M6" s="6" t="s">
        <v>138</v>
      </c>
    </row>
    <row r="7" spans="1:13" s="3" customFormat="1" x14ac:dyDescent="0.25">
      <c r="B7" s="4">
        <v>2009</v>
      </c>
      <c r="C7" s="4">
        <v>2010</v>
      </c>
      <c r="D7" s="4">
        <v>2011</v>
      </c>
      <c r="E7" s="4">
        <v>2012</v>
      </c>
      <c r="F7" s="4">
        <v>2013</v>
      </c>
      <c r="G7" s="4">
        <v>2014</v>
      </c>
      <c r="H7" s="4">
        <v>2015</v>
      </c>
      <c r="I7" s="4">
        <v>2016</v>
      </c>
      <c r="J7" s="4">
        <v>2017</v>
      </c>
      <c r="K7" s="4">
        <v>2018</v>
      </c>
      <c r="L7" s="4">
        <v>2019</v>
      </c>
      <c r="M7" s="4">
        <v>2020</v>
      </c>
    </row>
    <row r="8" spans="1:13" s="9" customFormat="1" ht="15.75" x14ac:dyDescent="0.25">
      <c r="A8" s="9" t="s">
        <v>61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 t="s">
        <v>56</v>
      </c>
      <c r="B9" s="15">
        <f>+'Income Statement'!B37</f>
        <v>-55740</v>
      </c>
      <c r="C9" s="15">
        <f>+'Income Statement'!C37</f>
        <v>-154328</v>
      </c>
      <c r="D9" s="15">
        <f>+'Income Statement'!D37</f>
        <v>-254411</v>
      </c>
      <c r="E9" s="15">
        <f>+'Income Statement'!E37</f>
        <v>-396213</v>
      </c>
      <c r="F9" s="15">
        <f>+'Income Statement'!F37</f>
        <v>-74014</v>
      </c>
      <c r="G9" s="15">
        <f>+'Income Statement'!G37</f>
        <v>-294040</v>
      </c>
      <c r="H9" s="15">
        <f>+'Income Statement'!H37</f>
        <v>-888663</v>
      </c>
      <c r="I9" s="15">
        <f>+'Income Statement'!I37</f>
        <v>-773046</v>
      </c>
      <c r="J9" s="15">
        <f>+'Income Statement'!J37</f>
        <v>-2240578</v>
      </c>
      <c r="K9" s="15">
        <f>+'Income Statement'!K37</f>
        <v>-1063000</v>
      </c>
      <c r="L9" s="15">
        <f>+'Income Statement'!L37</f>
        <v>-775000</v>
      </c>
      <c r="M9" s="15">
        <f>+'Income Statement'!M37</f>
        <v>862000</v>
      </c>
    </row>
    <row r="10" spans="1:13" s="7" customFormat="1" x14ac:dyDescent="0.25">
      <c r="A10" s="7" t="s">
        <v>62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5">
      <c r="A11" s="1" t="s">
        <v>63</v>
      </c>
      <c r="B11" s="15">
        <v>6940</v>
      </c>
      <c r="C11" s="15">
        <v>10623</v>
      </c>
      <c r="D11" s="15">
        <v>16919</v>
      </c>
      <c r="E11" s="15">
        <v>28825</v>
      </c>
      <c r="F11" s="15">
        <v>106083</v>
      </c>
      <c r="G11" s="15">
        <v>231931</v>
      </c>
      <c r="H11" s="15">
        <v>422590</v>
      </c>
      <c r="I11" s="15">
        <v>947099</v>
      </c>
      <c r="J11" s="15">
        <v>1636003</v>
      </c>
      <c r="K11" s="15">
        <v>1901000</v>
      </c>
      <c r="L11" s="15">
        <v>2154000</v>
      </c>
      <c r="M11" s="15">
        <v>2322000</v>
      </c>
    </row>
    <row r="12" spans="1:13" x14ac:dyDescent="0.25">
      <c r="A12" s="1" t="s">
        <v>67</v>
      </c>
      <c r="B12" s="15">
        <v>1434</v>
      </c>
      <c r="C12" s="15">
        <v>21156</v>
      </c>
      <c r="D12" s="15">
        <v>29419</v>
      </c>
      <c r="E12" s="15">
        <v>50145</v>
      </c>
      <c r="F12" s="15">
        <v>80737</v>
      </c>
      <c r="G12" s="15">
        <v>156496</v>
      </c>
      <c r="H12" s="15">
        <v>197999</v>
      </c>
      <c r="I12" s="15">
        <v>334225</v>
      </c>
      <c r="J12" s="15">
        <v>466760</v>
      </c>
      <c r="K12" s="15">
        <v>749000</v>
      </c>
      <c r="L12" s="15">
        <v>898000</v>
      </c>
      <c r="M12" s="15">
        <v>1734000</v>
      </c>
    </row>
    <row r="13" spans="1:13" x14ac:dyDescent="0.25">
      <c r="A13" s="1" t="s">
        <v>142</v>
      </c>
      <c r="B13" s="15"/>
      <c r="C13" s="15"/>
      <c r="D13" s="15"/>
      <c r="E13" s="15"/>
      <c r="F13" s="15">
        <v>9143</v>
      </c>
      <c r="G13" s="15">
        <v>69734</v>
      </c>
      <c r="H13" s="15">
        <v>72063</v>
      </c>
      <c r="I13" s="15">
        <v>94690</v>
      </c>
      <c r="J13" s="15">
        <v>91037</v>
      </c>
      <c r="K13" s="15">
        <v>159000</v>
      </c>
      <c r="L13" s="15">
        <v>188000</v>
      </c>
      <c r="M13" s="15">
        <v>180000</v>
      </c>
    </row>
    <row r="14" spans="1:13" x14ac:dyDescent="0.25">
      <c r="A14" s="1" t="s">
        <v>70</v>
      </c>
      <c r="B14" s="15">
        <v>1353</v>
      </c>
      <c r="C14" s="15">
        <v>951</v>
      </c>
      <c r="D14" s="15">
        <v>1828</v>
      </c>
      <c r="E14" s="15">
        <v>4929</v>
      </c>
      <c r="F14" s="15">
        <v>8918</v>
      </c>
      <c r="G14" s="15">
        <v>15609</v>
      </c>
      <c r="H14" s="15">
        <v>44940</v>
      </c>
      <c r="I14" s="15">
        <v>65519.999999999993</v>
      </c>
      <c r="J14" s="15">
        <v>131665</v>
      </c>
      <c r="K14" s="15">
        <v>85000</v>
      </c>
      <c r="L14" s="15">
        <v>193000</v>
      </c>
      <c r="M14" s="15">
        <v>202000</v>
      </c>
    </row>
    <row r="15" spans="1:13" x14ac:dyDescent="0.25">
      <c r="A15" s="1" t="s">
        <v>64</v>
      </c>
      <c r="B15" s="15">
        <v>1128</v>
      </c>
      <c r="C15" s="15">
        <v>5022</v>
      </c>
      <c r="D15" s="15">
        <v>2750</v>
      </c>
      <c r="E15" s="15">
        <v>1854</v>
      </c>
      <c r="F15" s="15">
        <v>-10692</v>
      </c>
      <c r="G15" s="15"/>
      <c r="H15" s="15"/>
      <c r="I15" s="15"/>
      <c r="J15" s="15"/>
      <c r="K15" s="15">
        <v>0</v>
      </c>
      <c r="L15" s="15">
        <v>0</v>
      </c>
      <c r="M15" s="15">
        <v>0</v>
      </c>
    </row>
    <row r="16" spans="1:13" x14ac:dyDescent="0.25">
      <c r="A16" s="1" t="s">
        <v>143</v>
      </c>
      <c r="B16" s="15"/>
      <c r="C16" s="15"/>
      <c r="D16" s="15"/>
      <c r="E16" s="15"/>
      <c r="F16" s="15">
        <v>5558</v>
      </c>
      <c r="G16" s="15"/>
      <c r="H16" s="15"/>
      <c r="I16" s="15">
        <v>34633</v>
      </c>
      <c r="J16" s="15">
        <v>105770</v>
      </c>
      <c r="K16" s="15">
        <v>162000</v>
      </c>
      <c r="L16" s="15">
        <v>146000</v>
      </c>
      <c r="M16" s="15">
        <v>117000</v>
      </c>
    </row>
    <row r="17" spans="1:13" x14ac:dyDescent="0.25">
      <c r="A17" s="1" t="s">
        <v>69</v>
      </c>
      <c r="B17" s="15">
        <v>385</v>
      </c>
      <c r="C17" s="15">
        <v>8</v>
      </c>
      <c r="D17" s="15">
        <v>345</v>
      </c>
      <c r="E17" s="15"/>
      <c r="F17" s="15"/>
      <c r="G17" s="15">
        <v>14178</v>
      </c>
      <c r="H17" s="15">
        <v>37723</v>
      </c>
      <c r="I17" s="15"/>
      <c r="J17" s="15"/>
      <c r="K17" s="15">
        <v>0</v>
      </c>
      <c r="L17" s="15">
        <v>0</v>
      </c>
      <c r="M17" s="15">
        <v>0</v>
      </c>
    </row>
    <row r="18" spans="1:13" x14ac:dyDescent="0.25">
      <c r="A18" s="1" t="s">
        <v>145</v>
      </c>
      <c r="B18" s="15"/>
      <c r="C18" s="15"/>
      <c r="D18" s="15"/>
      <c r="E18" s="15"/>
      <c r="F18" s="15">
        <v>3655</v>
      </c>
      <c r="G18" s="15">
        <v>-1891</v>
      </c>
      <c r="H18" s="15">
        <v>55765</v>
      </c>
      <c r="I18" s="15">
        <v>-29183</v>
      </c>
      <c r="J18" s="15">
        <v>52309</v>
      </c>
      <c r="K18" s="15">
        <v>-2000</v>
      </c>
      <c r="L18" s="15">
        <v>-48000</v>
      </c>
      <c r="M18" s="15">
        <v>114000</v>
      </c>
    </row>
    <row r="19" spans="1:13" x14ac:dyDescent="0.25">
      <c r="A19" s="1" t="s">
        <v>144</v>
      </c>
      <c r="B19" s="15"/>
      <c r="C19" s="15"/>
      <c r="D19" s="15"/>
      <c r="E19" s="15">
        <v>1560</v>
      </c>
      <c r="F19" s="15">
        <v>3611</v>
      </c>
      <c r="G19" s="15">
        <v>7471</v>
      </c>
      <c r="H19" s="15">
        <v>26373</v>
      </c>
      <c r="I19" s="15">
        <v>-15179</v>
      </c>
      <c r="J19" s="15">
        <v>135237</v>
      </c>
      <c r="K19" s="15">
        <v>49000</v>
      </c>
      <c r="L19" s="15">
        <v>186000</v>
      </c>
      <c r="M19" s="15">
        <v>228000</v>
      </c>
    </row>
    <row r="20" spans="1:13" x14ac:dyDescent="0.25">
      <c r="A20" s="1" t="s">
        <v>65</v>
      </c>
      <c r="B20" s="15">
        <v>-1468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x14ac:dyDescent="0.25">
      <c r="A21" s="1" t="s">
        <v>66</v>
      </c>
      <c r="B21" s="15"/>
      <c r="C21" s="15"/>
      <c r="D21" s="15">
        <v>-112</v>
      </c>
      <c r="E21" s="15"/>
      <c r="F21" s="15"/>
      <c r="G21" s="15"/>
      <c r="H21" s="15"/>
      <c r="I21" s="15"/>
      <c r="J21" s="15"/>
      <c r="K21" s="15"/>
      <c r="L21" s="15"/>
      <c r="M21" s="15"/>
    </row>
    <row r="22" spans="1:13" x14ac:dyDescent="0.25">
      <c r="A22" s="1" t="s">
        <v>68</v>
      </c>
      <c r="B22" s="15"/>
      <c r="C22" s="15">
        <v>-74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x14ac:dyDescent="0.25">
      <c r="A23" s="1" t="s">
        <v>71</v>
      </c>
      <c r="B23" s="15">
        <v>2686</v>
      </c>
      <c r="C23" s="15"/>
      <c r="D23" s="15"/>
      <c r="E23" s="15"/>
      <c r="F23" s="15"/>
      <c r="G23" s="15"/>
      <c r="H23" s="15"/>
      <c r="I23" s="15">
        <v>-88727</v>
      </c>
      <c r="J23" s="15">
        <v>57746</v>
      </c>
      <c r="K23" s="15"/>
      <c r="L23" s="15"/>
      <c r="M23" s="15"/>
    </row>
    <row r="24" spans="1:13" x14ac:dyDescent="0.25">
      <c r="A24" s="1" t="s">
        <v>148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x14ac:dyDescent="0.25">
      <c r="A25" s="1" t="s">
        <v>153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>
        <v>-188000</v>
      </c>
      <c r="M25" s="15"/>
    </row>
    <row r="26" spans="1:13" x14ac:dyDescent="0.25">
      <c r="A26" s="7" t="s">
        <v>72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x14ac:dyDescent="0.25">
      <c r="A27" s="1" t="s">
        <v>5</v>
      </c>
      <c r="B27" s="15">
        <v>-168</v>
      </c>
      <c r="C27" s="15">
        <v>-3222</v>
      </c>
      <c r="D27" s="15">
        <v>-2829</v>
      </c>
      <c r="E27" s="15">
        <v>-17303</v>
      </c>
      <c r="F27" s="15">
        <v>-21917</v>
      </c>
      <c r="G27" s="15">
        <v>-183658</v>
      </c>
      <c r="H27" s="15">
        <v>46267</v>
      </c>
      <c r="I27" s="15">
        <v>-216565</v>
      </c>
      <c r="J27" s="15">
        <v>-24635</v>
      </c>
      <c r="K27" s="15">
        <v>-497000</v>
      </c>
      <c r="L27" s="15">
        <v>-367000</v>
      </c>
      <c r="M27" s="15">
        <v>-652000</v>
      </c>
    </row>
    <row r="28" spans="1:13" x14ac:dyDescent="0.25">
      <c r="A28" s="1" t="s">
        <v>73</v>
      </c>
      <c r="B28" s="15">
        <v>-7925</v>
      </c>
      <c r="C28" s="15">
        <v>-28513</v>
      </c>
      <c r="D28" s="15">
        <v>-13638</v>
      </c>
      <c r="E28" s="15">
        <v>-194726</v>
      </c>
      <c r="F28" s="15">
        <v>-463270</v>
      </c>
      <c r="G28" s="15">
        <v>-1050264</v>
      </c>
      <c r="H28" s="15">
        <v>-1573860</v>
      </c>
      <c r="I28" s="15">
        <v>-632867</v>
      </c>
      <c r="J28" s="15">
        <v>-178850</v>
      </c>
      <c r="K28" s="15">
        <v>-1023000</v>
      </c>
      <c r="L28" s="15">
        <v>-429000</v>
      </c>
      <c r="M28" s="15">
        <v>-422000</v>
      </c>
    </row>
    <row r="29" spans="1:13" x14ac:dyDescent="0.25">
      <c r="A29" s="1" t="s">
        <v>149</v>
      </c>
      <c r="B29" s="15"/>
      <c r="C29" s="15"/>
      <c r="D29" s="15"/>
      <c r="E29" s="15"/>
      <c r="F29" s="15"/>
      <c r="G29" s="15"/>
      <c r="H29" s="15"/>
      <c r="I29" s="15">
        <v>-1832836</v>
      </c>
      <c r="J29" s="15">
        <v>-1522573</v>
      </c>
      <c r="K29" s="15">
        <v>-215000</v>
      </c>
      <c r="L29" s="15">
        <v>-764000</v>
      </c>
      <c r="M29" s="15">
        <v>-1072000</v>
      </c>
    </row>
    <row r="30" spans="1:13" x14ac:dyDescent="0.25">
      <c r="A30" s="1" t="s">
        <v>7</v>
      </c>
      <c r="B30" s="15">
        <v>-2042</v>
      </c>
      <c r="C30" s="15">
        <v>-4977</v>
      </c>
      <c r="D30" s="15">
        <v>-248</v>
      </c>
      <c r="E30" s="15">
        <v>1121</v>
      </c>
      <c r="F30" s="15">
        <v>-17466</v>
      </c>
      <c r="G30" s="15">
        <v>-60637</v>
      </c>
      <c r="H30" s="15">
        <v>-29595</v>
      </c>
      <c r="I30" s="15">
        <v>56806</v>
      </c>
      <c r="J30" s="15">
        <v>-72084</v>
      </c>
      <c r="K30" s="15">
        <v>-82000</v>
      </c>
      <c r="L30" s="15">
        <v>-288000</v>
      </c>
      <c r="M30" s="15">
        <v>-251000</v>
      </c>
    </row>
    <row r="31" spans="1:13" x14ac:dyDescent="0.25">
      <c r="A31" s="1" t="s">
        <v>11</v>
      </c>
      <c r="B31" s="15">
        <v>-445</v>
      </c>
      <c r="C31" s="15">
        <v>-463</v>
      </c>
      <c r="D31" s="15">
        <v>-288</v>
      </c>
      <c r="E31" s="15">
        <v>-482</v>
      </c>
      <c r="F31" s="15">
        <v>-342</v>
      </c>
      <c r="G31" s="15">
        <v>-4493</v>
      </c>
      <c r="H31" s="15">
        <v>-24362</v>
      </c>
      <c r="I31" s="15">
        <v>-49353</v>
      </c>
      <c r="J31" s="15">
        <v>-15453</v>
      </c>
      <c r="K31" s="15">
        <v>-207000</v>
      </c>
      <c r="L31" s="15">
        <v>115000</v>
      </c>
      <c r="M31" s="15">
        <v>-344000</v>
      </c>
    </row>
    <row r="32" spans="1:13" x14ac:dyDescent="0.25">
      <c r="A32" s="1" t="s">
        <v>146</v>
      </c>
      <c r="B32" s="15">
        <v>902</v>
      </c>
      <c r="C32" s="15">
        <v>-212</v>
      </c>
      <c r="D32" s="15">
        <v>31859</v>
      </c>
      <c r="E32" s="15">
        <v>187821</v>
      </c>
      <c r="F32" s="15">
        <v>-243</v>
      </c>
      <c r="G32" s="15">
        <v>414856</v>
      </c>
      <c r="H32" s="15">
        <v>263345</v>
      </c>
      <c r="I32" s="15">
        <v>750640</v>
      </c>
      <c r="J32" s="15">
        <v>388206</v>
      </c>
      <c r="K32" s="15">
        <v>1797000</v>
      </c>
      <c r="L32" s="15">
        <v>646000</v>
      </c>
      <c r="M32" s="15">
        <v>2102000</v>
      </c>
    </row>
    <row r="33" spans="1:13" x14ac:dyDescent="0.25">
      <c r="A33" s="1" t="s">
        <v>16</v>
      </c>
      <c r="B33" s="15">
        <v>3387</v>
      </c>
      <c r="C33" s="15">
        <v>13345</v>
      </c>
      <c r="D33" s="15">
        <v>12321</v>
      </c>
      <c r="E33" s="15">
        <v>9603</v>
      </c>
      <c r="F33" s="15">
        <v>66567</v>
      </c>
      <c r="G33" s="15"/>
      <c r="H33" s="15"/>
      <c r="I33" s="15">
        <v>0</v>
      </c>
      <c r="J33" s="15">
        <v>0</v>
      </c>
      <c r="K33" s="15"/>
      <c r="L33" s="15"/>
      <c r="M33" s="15"/>
    </row>
    <row r="34" spans="1:13" x14ac:dyDescent="0.25">
      <c r="A34" s="1" t="s">
        <v>74</v>
      </c>
      <c r="B34" s="15">
        <v>-10017</v>
      </c>
      <c r="C34" s="15">
        <v>-156</v>
      </c>
      <c r="D34" s="15"/>
      <c r="E34" s="15"/>
      <c r="F34" s="15"/>
      <c r="G34" s="15"/>
      <c r="H34" s="15"/>
      <c r="I34" s="15">
        <v>0</v>
      </c>
      <c r="J34" s="15">
        <v>0</v>
      </c>
      <c r="K34" s="15"/>
      <c r="L34" s="15"/>
      <c r="M34" s="15"/>
    </row>
    <row r="35" spans="1:13" x14ac:dyDescent="0.25">
      <c r="A35" s="1" t="s">
        <v>17</v>
      </c>
      <c r="B35" s="15">
        <v>-1456</v>
      </c>
      <c r="C35" s="15">
        <v>4801</v>
      </c>
      <c r="D35" s="15">
        <v>-1927</v>
      </c>
      <c r="E35" s="15">
        <v>-526</v>
      </c>
      <c r="F35" s="15">
        <v>268153</v>
      </c>
      <c r="G35" s="15">
        <v>209681</v>
      </c>
      <c r="H35" s="15">
        <v>322203</v>
      </c>
      <c r="I35" s="15">
        <v>382962</v>
      </c>
      <c r="J35" s="15">
        <v>468902</v>
      </c>
      <c r="K35" s="15">
        <v>406000</v>
      </c>
      <c r="L35" s="15">
        <v>801000</v>
      </c>
      <c r="M35" s="15">
        <v>321000</v>
      </c>
    </row>
    <row r="36" spans="1:13" x14ac:dyDescent="0.25">
      <c r="A36" s="1" t="s">
        <v>110</v>
      </c>
      <c r="B36" s="15">
        <v>-21971</v>
      </c>
      <c r="C36" s="15">
        <v>4707</v>
      </c>
      <c r="D36" s="15">
        <v>61006</v>
      </c>
      <c r="E36" s="15">
        <v>47056</v>
      </c>
      <c r="F36" s="15">
        <v>24243</v>
      </c>
      <c r="G36" s="15">
        <v>106230</v>
      </c>
      <c r="H36" s="15">
        <v>36721</v>
      </c>
      <c r="I36" s="15">
        <v>388361</v>
      </c>
      <c r="J36" s="15">
        <v>170027</v>
      </c>
      <c r="K36" s="15">
        <v>-96000</v>
      </c>
      <c r="L36" s="15">
        <v>-58000</v>
      </c>
      <c r="M36" s="15">
        <v>7000</v>
      </c>
    </row>
    <row r="37" spans="1:13" x14ac:dyDescent="0.25">
      <c r="A37" s="1" t="s">
        <v>111</v>
      </c>
      <c r="B37" s="15"/>
      <c r="C37" s="15"/>
      <c r="D37" s="15"/>
      <c r="E37" s="15"/>
      <c r="F37" s="15">
        <v>236299</v>
      </c>
      <c r="G37" s="15">
        <v>249492</v>
      </c>
      <c r="H37" s="15">
        <v>442295</v>
      </c>
      <c r="I37" s="15">
        <v>326934</v>
      </c>
      <c r="J37" s="15">
        <v>208718</v>
      </c>
      <c r="K37" s="15">
        <v>-25000</v>
      </c>
      <c r="L37" s="15">
        <v>-5000</v>
      </c>
      <c r="M37" s="15">
        <v>495000</v>
      </c>
    </row>
    <row r="38" spans="1:13" x14ac:dyDescent="0.25">
      <c r="A38" s="1" t="s">
        <v>24</v>
      </c>
      <c r="B38" s="15">
        <v>2192</v>
      </c>
      <c r="C38" s="15">
        <v>3515</v>
      </c>
      <c r="D38" s="15">
        <v>2641</v>
      </c>
      <c r="E38" s="15">
        <v>10255</v>
      </c>
      <c r="F38" s="15">
        <v>32971</v>
      </c>
      <c r="G38" s="15">
        <v>61968</v>
      </c>
      <c r="H38" s="15">
        <v>23697</v>
      </c>
      <c r="I38" s="15">
        <v>132057</v>
      </c>
      <c r="J38" s="15">
        <v>81139</v>
      </c>
      <c r="K38" s="15"/>
      <c r="L38" s="15"/>
      <c r="M38" s="15"/>
    </row>
    <row r="39" spans="1:13" s="7" customFormat="1" x14ac:dyDescent="0.25">
      <c r="A39" s="7" t="s">
        <v>75</v>
      </c>
      <c r="B39" s="17">
        <f>+SUM(B9:B38)</f>
        <v>-80825</v>
      </c>
      <c r="C39" s="17">
        <f t="shared" ref="C39:F39" si="0">+SUM(C9:C38)</f>
        <v>-127817</v>
      </c>
      <c r="D39" s="17">
        <f t="shared" si="0"/>
        <v>-114365</v>
      </c>
      <c r="E39" s="17">
        <f t="shared" si="0"/>
        <v>-266081</v>
      </c>
      <c r="F39" s="17">
        <f t="shared" si="0"/>
        <v>257994</v>
      </c>
      <c r="G39" s="17">
        <f t="shared" ref="G39" si="1">+SUM(G9:G38)</f>
        <v>-57337</v>
      </c>
      <c r="H39" s="17">
        <f t="shared" ref="H39" si="2">+SUM(H9:H38)</f>
        <v>-524499</v>
      </c>
      <c r="I39" s="17">
        <f t="shared" ref="I39" si="3">+SUM(I9:I38)</f>
        <v>-123829</v>
      </c>
      <c r="J39" s="17">
        <f t="shared" ref="J39" si="4">+SUM(J9:J38)</f>
        <v>-60654</v>
      </c>
      <c r="K39" s="17">
        <f t="shared" ref="K39" si="5">+SUM(K9:K38)</f>
        <v>2098000</v>
      </c>
      <c r="L39" s="17">
        <f t="shared" ref="L39" si="6">+SUM(L9:L38)</f>
        <v>2405000</v>
      </c>
      <c r="M39" s="17">
        <f>+SUM(M9:M38)</f>
        <v>5943000</v>
      </c>
    </row>
    <row r="40" spans="1:13" x14ac:dyDescent="0.25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spans="1:13" ht="15.75" x14ac:dyDescent="0.25">
      <c r="A41" s="9" t="s">
        <v>76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spans="1:13" x14ac:dyDescent="0.25">
      <c r="A42" s="1" t="s">
        <v>80</v>
      </c>
      <c r="B42" s="15">
        <v>-11884</v>
      </c>
      <c r="C42" s="15">
        <v>-40203</v>
      </c>
      <c r="D42" s="15">
        <v>-197896</v>
      </c>
      <c r="E42" s="15">
        <v>-239228</v>
      </c>
      <c r="F42" s="15">
        <v>-264224</v>
      </c>
      <c r="G42" s="15">
        <v>-969885</v>
      </c>
      <c r="H42" s="15">
        <v>-1634850</v>
      </c>
      <c r="I42" s="15">
        <v>-1280802</v>
      </c>
      <c r="J42" s="15">
        <v>-3414814</v>
      </c>
      <c r="K42" s="15">
        <v>-2101000</v>
      </c>
      <c r="L42" s="15">
        <v>-1327000</v>
      </c>
      <c r="M42" s="15">
        <v>-3157000</v>
      </c>
    </row>
    <row r="43" spans="1:13" x14ac:dyDescent="0.25">
      <c r="A43" s="1" t="s">
        <v>81</v>
      </c>
      <c r="B43" s="15"/>
      <c r="C43" s="15">
        <v>-73597</v>
      </c>
      <c r="D43" s="15">
        <v>50121</v>
      </c>
      <c r="E43" s="15">
        <v>8620</v>
      </c>
      <c r="F43" s="15">
        <v>14752</v>
      </c>
      <c r="G43" s="15"/>
      <c r="H43" s="15"/>
      <c r="I43" s="15"/>
      <c r="J43" s="15"/>
      <c r="K43" s="15"/>
      <c r="L43" s="15"/>
      <c r="M43" s="15"/>
    </row>
    <row r="44" spans="1:13" x14ac:dyDescent="0.25">
      <c r="A44" s="1" t="s">
        <v>77</v>
      </c>
      <c r="B44" s="15"/>
      <c r="C44" s="15"/>
      <c r="D44" s="15">
        <v>-64952</v>
      </c>
      <c r="E44" s="15">
        <v>-14992</v>
      </c>
      <c r="F44" s="15"/>
      <c r="G44" s="15">
        <v>-205841</v>
      </c>
      <c r="H44" s="15"/>
      <c r="I44" s="15"/>
      <c r="J44" s="15"/>
      <c r="K44" s="15"/>
      <c r="L44" s="15"/>
      <c r="M44" s="15"/>
    </row>
    <row r="45" spans="1:13" x14ac:dyDescent="0.25">
      <c r="A45" s="1" t="s">
        <v>78</v>
      </c>
      <c r="B45" s="15"/>
      <c r="C45" s="15"/>
      <c r="D45" s="15">
        <v>40000</v>
      </c>
      <c r="E45" s="15">
        <v>40000</v>
      </c>
      <c r="F45" s="15"/>
      <c r="G45" s="15">
        <v>189131</v>
      </c>
      <c r="H45" s="15"/>
      <c r="I45" s="15">
        <v>16667</v>
      </c>
      <c r="J45" s="15"/>
      <c r="K45" s="15"/>
      <c r="L45" s="15"/>
      <c r="M45" s="15"/>
    </row>
    <row r="46" spans="1:13" x14ac:dyDescent="0.25">
      <c r="A46" s="1" t="s">
        <v>79</v>
      </c>
      <c r="B46" s="15"/>
      <c r="C46" s="15">
        <v>-65210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spans="1:13" x14ac:dyDescent="0.25">
      <c r="A47" s="1" t="s">
        <v>82</v>
      </c>
      <c r="B47" s="15">
        <v>-2360</v>
      </c>
      <c r="C47" s="15">
        <v>-1287</v>
      </c>
      <c r="D47" s="15">
        <v>-3201</v>
      </c>
      <c r="E47" s="15">
        <v>-1330</v>
      </c>
      <c r="F47" s="15">
        <v>55</v>
      </c>
      <c r="G47" s="15">
        <v>-3849</v>
      </c>
      <c r="H47" s="15">
        <v>-26441</v>
      </c>
      <c r="I47" s="15"/>
      <c r="J47" s="15"/>
      <c r="K47" s="15"/>
      <c r="L47" s="15"/>
      <c r="M47" s="15"/>
    </row>
    <row r="48" spans="1:13" x14ac:dyDescent="0.25">
      <c r="A48" s="1" t="s">
        <v>147</v>
      </c>
      <c r="B48" s="15"/>
      <c r="C48" s="15"/>
      <c r="D48" s="15"/>
      <c r="E48" s="15"/>
      <c r="F48" s="15"/>
      <c r="G48" s="15"/>
      <c r="H48" s="15">
        <v>-12260</v>
      </c>
      <c r="I48" s="15"/>
      <c r="J48" s="15"/>
      <c r="K48" s="15"/>
      <c r="L48" s="15"/>
      <c r="M48" s="15"/>
    </row>
    <row r="49" spans="1:13" x14ac:dyDescent="0.25">
      <c r="A49" s="1" t="s">
        <v>150</v>
      </c>
      <c r="B49" s="15"/>
      <c r="C49" s="15"/>
      <c r="D49" s="15"/>
      <c r="E49" s="15"/>
      <c r="F49" s="15"/>
      <c r="G49" s="15"/>
      <c r="H49" s="15"/>
      <c r="I49" s="15">
        <v>-159669</v>
      </c>
      <c r="J49" s="15">
        <v>-666540</v>
      </c>
      <c r="K49" s="15">
        <v>-218000</v>
      </c>
      <c r="L49" s="15">
        <v>-105000</v>
      </c>
      <c r="M49" s="15">
        <v>-75000</v>
      </c>
    </row>
    <row r="50" spans="1:13" x14ac:dyDescent="0.25">
      <c r="A50" s="1" t="s">
        <v>151</v>
      </c>
      <c r="B50" s="15"/>
      <c r="C50" s="15"/>
      <c r="D50" s="15"/>
      <c r="E50" s="15"/>
      <c r="F50" s="15"/>
      <c r="G50" s="15"/>
      <c r="H50" s="15"/>
      <c r="I50" s="15">
        <v>342719</v>
      </c>
      <c r="J50" s="15">
        <v>-114523</v>
      </c>
      <c r="K50" s="15">
        <v>-18000</v>
      </c>
      <c r="L50" s="15">
        <v>-45000</v>
      </c>
      <c r="M50" s="15">
        <v>-13000</v>
      </c>
    </row>
    <row r="51" spans="1:13" x14ac:dyDescent="0.25">
      <c r="A51" s="1" t="s">
        <v>155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>
        <v>46000</v>
      </c>
      <c r="M51" s="15">
        <v>123000</v>
      </c>
    </row>
    <row r="52" spans="1:13" x14ac:dyDescent="0.25">
      <c r="A52" s="1" t="s">
        <v>154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>
        <v>-5000</v>
      </c>
      <c r="M52" s="15">
        <v>-10000</v>
      </c>
    </row>
    <row r="53" spans="1:13" s="7" customFormat="1" x14ac:dyDescent="0.25">
      <c r="A53" s="7" t="s">
        <v>83</v>
      </c>
      <c r="B53" s="17">
        <f>+SUM(B42:B52)</f>
        <v>-14244</v>
      </c>
      <c r="C53" s="17">
        <f t="shared" ref="C53:D53" si="7">+SUM(C42:C52)</f>
        <v>-180297</v>
      </c>
      <c r="D53" s="17">
        <f t="shared" si="7"/>
        <v>-175928</v>
      </c>
      <c r="E53" s="17">
        <f t="shared" ref="E53" si="8">+SUM(E42:E52)</f>
        <v>-206930</v>
      </c>
      <c r="F53" s="17">
        <f t="shared" ref="F53" si="9">+SUM(F42:F52)</f>
        <v>-249417</v>
      </c>
      <c r="G53" s="17">
        <f t="shared" ref="G53" si="10">+SUM(G42:G52)</f>
        <v>-990444</v>
      </c>
      <c r="H53" s="17">
        <f t="shared" ref="H53" si="11">+SUM(H42:H52)</f>
        <v>-1673551</v>
      </c>
      <c r="I53" s="17">
        <f t="shared" ref="I53" si="12">+SUM(I42:I52)</f>
        <v>-1081085</v>
      </c>
      <c r="J53" s="17">
        <f t="shared" ref="J53" si="13">+SUM(J42:J52)</f>
        <v>-4195877</v>
      </c>
      <c r="K53" s="17">
        <f t="shared" ref="K53" si="14">+SUM(K42:K52)</f>
        <v>-2337000</v>
      </c>
      <c r="L53" s="17">
        <f t="shared" ref="L53" si="15">+SUM(L42:L52)</f>
        <v>-1436000</v>
      </c>
      <c r="M53" s="17">
        <f t="shared" ref="M53" si="16">+SUM(M42:M52)</f>
        <v>-3132000</v>
      </c>
    </row>
    <row r="54" spans="1:13" x14ac:dyDescent="0.25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spans="1:13" s="9" customFormat="1" ht="15.75" x14ac:dyDescent="0.25">
      <c r="A55" s="9" t="s">
        <v>84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</row>
    <row r="56" spans="1:13" x14ac:dyDescent="0.25">
      <c r="A56" s="1" t="s">
        <v>85</v>
      </c>
      <c r="B56" s="15"/>
      <c r="C56" s="15">
        <v>188842</v>
      </c>
      <c r="D56" s="15">
        <v>172410</v>
      </c>
      <c r="E56" s="15"/>
      <c r="F56" s="15">
        <v>660000</v>
      </c>
      <c r="G56" s="15">
        <v>2300000</v>
      </c>
      <c r="H56" s="15">
        <v>318972</v>
      </c>
      <c r="I56" s="15">
        <v>1701734</v>
      </c>
      <c r="J56" s="15">
        <v>400175</v>
      </c>
      <c r="K56" s="15"/>
      <c r="L56" s="15">
        <v>848000</v>
      </c>
      <c r="M56" s="15">
        <v>12269000</v>
      </c>
    </row>
    <row r="57" spans="1:13" x14ac:dyDescent="0.25">
      <c r="A57" s="1" t="s">
        <v>86</v>
      </c>
      <c r="B57" s="15"/>
      <c r="C57" s="15">
        <v>80000</v>
      </c>
      <c r="D57" s="15">
        <v>59058</v>
      </c>
      <c r="E57" s="15">
        <v>221496</v>
      </c>
      <c r="F57" s="15">
        <v>360000</v>
      </c>
      <c r="G57" s="15"/>
      <c r="H57" s="15">
        <v>730000</v>
      </c>
      <c r="I57" s="15">
        <v>2852964</v>
      </c>
      <c r="J57" s="15">
        <v>7138055</v>
      </c>
      <c r="K57" s="15">
        <v>6176000</v>
      </c>
      <c r="L57" s="15">
        <v>10669000</v>
      </c>
      <c r="M57" s="15">
        <v>9713000</v>
      </c>
    </row>
    <row r="58" spans="1:13" x14ac:dyDescent="0.25">
      <c r="A58" s="1" t="s">
        <v>87</v>
      </c>
      <c r="B58" s="15">
        <v>82378</v>
      </c>
      <c r="C58" s="15"/>
      <c r="D58" s="15"/>
      <c r="E58" s="15"/>
      <c r="F58" s="15">
        <v>120318</v>
      </c>
      <c r="G58" s="15">
        <v>389160</v>
      </c>
      <c r="H58" s="15"/>
      <c r="I58" s="15">
        <v>-1857594</v>
      </c>
      <c r="J58" s="15">
        <v>-3995484</v>
      </c>
      <c r="K58" s="15">
        <v>-5247000</v>
      </c>
      <c r="L58" s="15">
        <v>-9161000</v>
      </c>
      <c r="M58" s="15">
        <v>-11623000</v>
      </c>
    </row>
    <row r="59" spans="1:13" x14ac:dyDescent="0.25">
      <c r="A59" s="1" t="s">
        <v>88</v>
      </c>
      <c r="B59" s="15">
        <v>49444</v>
      </c>
      <c r="C59" s="15"/>
      <c r="D59" s="15"/>
      <c r="E59" s="15">
        <v>24885</v>
      </c>
      <c r="F59" s="15">
        <v>95307</v>
      </c>
      <c r="G59" s="15">
        <v>100455</v>
      </c>
      <c r="H59" s="15">
        <v>106611</v>
      </c>
      <c r="I59" s="15"/>
      <c r="J59" s="15">
        <v>-165000</v>
      </c>
      <c r="K59" s="15">
        <v>-100000</v>
      </c>
      <c r="L59" s="15"/>
      <c r="M59" s="15"/>
    </row>
    <row r="60" spans="1:13" x14ac:dyDescent="0.25">
      <c r="A60" s="1" t="s">
        <v>89</v>
      </c>
      <c r="B60" s="15">
        <v>-322</v>
      </c>
      <c r="C60" s="15">
        <v>-315</v>
      </c>
      <c r="D60" s="15">
        <v>-416</v>
      </c>
      <c r="E60" s="15"/>
      <c r="F60" s="15">
        <v>55000</v>
      </c>
      <c r="G60" s="15"/>
      <c r="H60" s="15">
        <v>20000</v>
      </c>
      <c r="I60" s="15">
        <v>769709</v>
      </c>
      <c r="J60" s="15">
        <v>511321</v>
      </c>
      <c r="K60" s="15">
        <v>-559000</v>
      </c>
      <c r="L60" s="15">
        <v>-389000</v>
      </c>
      <c r="M60" s="15">
        <v>-240000</v>
      </c>
    </row>
    <row r="61" spans="1:13" x14ac:dyDescent="0.25">
      <c r="A61" s="1" t="s">
        <v>90</v>
      </c>
      <c r="B61" s="15"/>
      <c r="C61" s="15">
        <v>71828</v>
      </c>
      <c r="D61" s="15">
        <v>204423</v>
      </c>
      <c r="E61" s="15">
        <v>-12710</v>
      </c>
      <c r="F61" s="15">
        <v>-452337</v>
      </c>
      <c r="G61" s="15"/>
      <c r="H61" s="15"/>
      <c r="I61" s="15">
        <v>163817</v>
      </c>
      <c r="J61" s="15">
        <v>259116</v>
      </c>
      <c r="K61" s="15">
        <v>296000</v>
      </c>
      <c r="L61" s="15">
        <v>263000</v>
      </c>
      <c r="M61" s="15">
        <v>417000</v>
      </c>
    </row>
    <row r="62" spans="1:13" x14ac:dyDescent="0.25">
      <c r="A62" s="1" t="s">
        <v>91</v>
      </c>
      <c r="B62" s="15">
        <v>25468</v>
      </c>
      <c r="C62" s="15"/>
      <c r="D62" s="15"/>
      <c r="E62" s="15"/>
      <c r="F62" s="15">
        <v>-177540</v>
      </c>
      <c r="G62" s="15">
        <v>-603428</v>
      </c>
      <c r="H62" s="15"/>
      <c r="I62" s="15">
        <v>-46889</v>
      </c>
      <c r="J62" s="15">
        <v>-103304</v>
      </c>
      <c r="K62" s="15">
        <v>-181000</v>
      </c>
      <c r="L62" s="15">
        <v>-321000</v>
      </c>
      <c r="M62" s="15">
        <v>-338000</v>
      </c>
    </row>
    <row r="63" spans="1:13" x14ac:dyDescent="0.25">
      <c r="A63" s="1" t="s">
        <v>92</v>
      </c>
      <c r="B63" s="15">
        <v>497</v>
      </c>
      <c r="C63" s="15">
        <v>1350</v>
      </c>
      <c r="D63" s="15">
        <v>10525</v>
      </c>
      <c r="E63" s="15"/>
      <c r="F63" s="15">
        <v>-16901</v>
      </c>
      <c r="G63" s="15">
        <v>-35149</v>
      </c>
      <c r="H63" s="15">
        <v>-17025</v>
      </c>
      <c r="I63" s="15">
        <v>-20042</v>
      </c>
      <c r="J63" s="15">
        <v>-63111</v>
      </c>
      <c r="K63" s="15">
        <v>-15000</v>
      </c>
      <c r="L63" s="15">
        <v>-37000</v>
      </c>
      <c r="M63" s="15">
        <v>-6000</v>
      </c>
    </row>
    <row r="64" spans="1:13" x14ac:dyDescent="0.25">
      <c r="A64" s="1" t="s">
        <v>68</v>
      </c>
      <c r="B64" s="15"/>
      <c r="C64" s="15">
        <v>74</v>
      </c>
      <c r="D64" s="15"/>
      <c r="E64" s="15">
        <v>-2832</v>
      </c>
      <c r="F64" s="15">
        <v>-8425</v>
      </c>
      <c r="G64" s="15">
        <v>-11179</v>
      </c>
      <c r="H64" s="15">
        <v>-203780</v>
      </c>
      <c r="I64" s="15"/>
      <c r="J64" s="15">
        <v>-204102</v>
      </c>
      <c r="K64" s="15"/>
      <c r="L64" s="15">
        <v>-476000</v>
      </c>
      <c r="M64" s="15"/>
    </row>
    <row r="65" spans="1:13" x14ac:dyDescent="0.25">
      <c r="A65" s="1" t="s">
        <v>93</v>
      </c>
      <c r="B65" s="15">
        <v>-2046</v>
      </c>
      <c r="C65" s="15">
        <v>-3734</v>
      </c>
      <c r="D65" s="15" t="s">
        <v>3</v>
      </c>
      <c r="E65" s="15">
        <v>188796</v>
      </c>
      <c r="F65" s="15"/>
      <c r="G65" s="15">
        <v>3271</v>
      </c>
      <c r="H65" s="15">
        <v>568745</v>
      </c>
      <c r="I65" s="15"/>
      <c r="J65" s="15">
        <v>287213</v>
      </c>
      <c r="K65" s="15"/>
      <c r="L65" s="15">
        <v>174000</v>
      </c>
      <c r="M65" s="15"/>
    </row>
    <row r="66" spans="1:13" x14ac:dyDescent="0.25">
      <c r="B66" s="15"/>
      <c r="C66" s="15"/>
      <c r="D66" s="15"/>
      <c r="E66" s="15"/>
      <c r="F66" s="15"/>
      <c r="G66" s="15"/>
      <c r="H66" s="15"/>
      <c r="I66" s="15"/>
      <c r="J66" s="15">
        <v>52883</v>
      </c>
      <c r="K66" s="15">
        <v>437000</v>
      </c>
      <c r="L66" s="15">
        <v>279000</v>
      </c>
      <c r="M66" s="15">
        <v>24000</v>
      </c>
    </row>
    <row r="67" spans="1:13" x14ac:dyDescent="0.25">
      <c r="B67" s="15"/>
      <c r="C67" s="15"/>
      <c r="D67" s="15"/>
      <c r="E67" s="15"/>
      <c r="F67" s="15"/>
      <c r="G67" s="15"/>
      <c r="H67" s="15"/>
      <c r="I67" s="15"/>
      <c r="J67" s="15"/>
      <c r="K67" s="15">
        <v>-227000</v>
      </c>
      <c r="L67" s="15">
        <v>-311000</v>
      </c>
      <c r="M67" s="15">
        <v>-208000</v>
      </c>
    </row>
    <row r="68" spans="1:13" x14ac:dyDescent="0.25">
      <c r="B68" s="15"/>
      <c r="C68" s="15"/>
      <c r="D68" s="15"/>
      <c r="E68" s="15"/>
      <c r="F68" s="15"/>
      <c r="G68" s="15"/>
      <c r="H68" s="15"/>
      <c r="I68" s="15"/>
      <c r="J68" s="15">
        <v>-230385</v>
      </c>
      <c r="K68" s="15">
        <v>-6000</v>
      </c>
      <c r="L68" s="15">
        <v>-9000</v>
      </c>
      <c r="M68" s="15">
        <v>-35000</v>
      </c>
    </row>
    <row r="69" spans="1:13" x14ac:dyDescent="0.25">
      <c r="B69" s="15"/>
      <c r="C69" s="15"/>
      <c r="D69" s="15"/>
      <c r="E69" s="15"/>
      <c r="F69" s="15"/>
      <c r="G69" s="15"/>
      <c r="H69" s="15"/>
      <c r="I69" s="15">
        <v>201527</v>
      </c>
      <c r="J69" s="15">
        <v>789704</v>
      </c>
      <c r="K69" s="15"/>
      <c r="L69" s="15"/>
      <c r="M69" s="15"/>
    </row>
    <row r="70" spans="1:13" x14ac:dyDescent="0.25">
      <c r="B70" s="15"/>
      <c r="C70" s="15"/>
      <c r="D70" s="15"/>
      <c r="E70" s="15"/>
      <c r="F70" s="15"/>
      <c r="G70" s="15"/>
      <c r="H70" s="15"/>
      <c r="I70" s="15">
        <v>-21250</v>
      </c>
      <c r="J70" s="15">
        <v>-261844</v>
      </c>
      <c r="K70" s="15"/>
      <c r="L70" s="15"/>
      <c r="M70" s="15"/>
    </row>
    <row r="71" spans="1:13" x14ac:dyDescent="0.25">
      <c r="B71" s="15"/>
      <c r="C71" s="15"/>
      <c r="D71" s="15"/>
      <c r="E71" s="15"/>
      <c r="F71" s="15"/>
      <c r="G71" s="15"/>
      <c r="H71" s="15"/>
      <c r="I71" s="15"/>
      <c r="J71" s="15">
        <v>-373</v>
      </c>
      <c r="K71" s="15"/>
      <c r="L71" s="15"/>
      <c r="M71" s="15"/>
    </row>
    <row r="72" spans="1:13" s="7" customFormat="1" x14ac:dyDescent="0.25">
      <c r="A72" s="7" t="s">
        <v>94</v>
      </c>
      <c r="B72" s="17">
        <f>+SUM(B56:B71)</f>
        <v>155419</v>
      </c>
      <c r="C72" s="17">
        <f t="shared" ref="C72:D72" si="17">+SUM(C56:C71)</f>
        <v>338045</v>
      </c>
      <c r="D72" s="17">
        <f t="shared" si="17"/>
        <v>446000</v>
      </c>
      <c r="E72" s="17">
        <f t="shared" ref="E72" si="18">+SUM(E56:E71)</f>
        <v>419635</v>
      </c>
      <c r="F72" s="17">
        <f t="shared" ref="F72" si="19">+SUM(F56:F71)</f>
        <v>635422</v>
      </c>
      <c r="G72" s="17">
        <f t="shared" ref="G72" si="20">+SUM(G56:G71)</f>
        <v>2143130</v>
      </c>
      <c r="H72" s="17">
        <f t="shared" ref="H72" si="21">+SUM(H56:H71)</f>
        <v>1523523</v>
      </c>
      <c r="I72" s="17">
        <f t="shared" ref="I72" si="22">+SUM(I56:I71)</f>
        <v>3743976</v>
      </c>
      <c r="J72" s="17">
        <f t="shared" ref="J72" si="23">+SUM(J56:J71)</f>
        <v>4414864</v>
      </c>
      <c r="K72" s="17">
        <f t="shared" ref="K72" si="24">+SUM(K56:K71)</f>
        <v>574000</v>
      </c>
      <c r="L72" s="17">
        <f t="shared" ref="L72" si="25">+SUM(L56:L71)</f>
        <v>1529000</v>
      </c>
      <c r="M72" s="17">
        <f t="shared" ref="M72" si="26">+SUM(M56:M71)</f>
        <v>9973000</v>
      </c>
    </row>
    <row r="73" spans="1:13" x14ac:dyDescent="0.25">
      <c r="A73" s="7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spans="1:13" x14ac:dyDescent="0.25">
      <c r="B74" s="15"/>
      <c r="C74" s="15"/>
      <c r="D74" s="15"/>
      <c r="E74" s="15"/>
      <c r="F74" s="15"/>
      <c r="G74" s="15">
        <v>-35525</v>
      </c>
      <c r="H74" s="15">
        <v>-34278</v>
      </c>
      <c r="I74" s="15">
        <v>-6553</v>
      </c>
      <c r="J74" s="15">
        <v>39726</v>
      </c>
      <c r="K74" s="15">
        <v>-23000</v>
      </c>
      <c r="L74" s="15">
        <v>8000</v>
      </c>
      <c r="M74" s="15">
        <v>334000</v>
      </c>
    </row>
    <row r="75" spans="1:13" s="9" customFormat="1" ht="15.75" x14ac:dyDescent="0.25">
      <c r="A75" s="9" t="s">
        <v>95</v>
      </c>
      <c r="B75" s="17">
        <f>+B72+B53+B39</f>
        <v>60350</v>
      </c>
      <c r="C75" s="17">
        <f t="shared" ref="C75:F75" si="27">+C72+C53+C39</f>
        <v>29931</v>
      </c>
      <c r="D75" s="17">
        <f t="shared" si="27"/>
        <v>155707</v>
      </c>
      <c r="E75" s="17">
        <f>+E72+E53+E39</f>
        <v>-53376</v>
      </c>
      <c r="F75" s="17">
        <f t="shared" si="27"/>
        <v>643999</v>
      </c>
      <c r="G75" s="17">
        <f>+G72+G53+G39+G74</f>
        <v>1059824</v>
      </c>
      <c r="H75" s="17">
        <f>+H72+H53+H39+H74</f>
        <v>-708805</v>
      </c>
      <c r="I75" s="17">
        <f t="shared" ref="I75:J75" si="28">+I72+I53+I39+I74</f>
        <v>2532509</v>
      </c>
      <c r="J75" s="17">
        <f t="shared" si="28"/>
        <v>198059</v>
      </c>
      <c r="K75" s="17">
        <f t="shared" ref="K75" si="29">+K72+K53+K39+K74</f>
        <v>312000</v>
      </c>
      <c r="L75" s="17">
        <f t="shared" ref="L75" si="30">+L72+L53+L39+L74</f>
        <v>2506000</v>
      </c>
      <c r="M75" s="17">
        <f>+M72+M53+M39+M74</f>
        <v>13118000</v>
      </c>
    </row>
    <row r="76" spans="1:13" x14ac:dyDescent="0.25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spans="1:13" x14ac:dyDescent="0.25">
      <c r="A77" s="1" t="s">
        <v>96</v>
      </c>
      <c r="B77" s="15">
        <v>9277</v>
      </c>
      <c r="C77" s="15">
        <f t="shared" ref="C77:J77" si="31">+B78</f>
        <v>69627</v>
      </c>
      <c r="D77" s="15">
        <f t="shared" si="31"/>
        <v>99558</v>
      </c>
      <c r="E77" s="15">
        <f t="shared" si="31"/>
        <v>255265</v>
      </c>
      <c r="F77" s="15">
        <f t="shared" si="31"/>
        <v>201889</v>
      </c>
      <c r="G77" s="15">
        <f t="shared" si="31"/>
        <v>845888</v>
      </c>
      <c r="H77" s="15">
        <f t="shared" si="31"/>
        <v>1905712</v>
      </c>
      <c r="I77" s="15">
        <f t="shared" si="31"/>
        <v>1196907</v>
      </c>
      <c r="J77" s="15">
        <f t="shared" si="31"/>
        <v>3729416</v>
      </c>
      <c r="K77" s="15">
        <v>3965000</v>
      </c>
      <c r="L77" s="15">
        <f t="shared" ref="L77:M77" si="32">+K78</f>
        <v>4277000</v>
      </c>
      <c r="M77" s="15">
        <f t="shared" si="32"/>
        <v>6783000</v>
      </c>
    </row>
    <row r="78" spans="1:13" x14ac:dyDescent="0.25">
      <c r="A78" s="1" t="s">
        <v>97</v>
      </c>
      <c r="B78" s="15">
        <f t="shared" ref="B78:K78" si="33">+B77+B75</f>
        <v>69627</v>
      </c>
      <c r="C78" s="15">
        <f t="shared" si="33"/>
        <v>99558</v>
      </c>
      <c r="D78" s="15">
        <f t="shared" si="33"/>
        <v>255265</v>
      </c>
      <c r="E78" s="15">
        <f t="shared" si="33"/>
        <v>201889</v>
      </c>
      <c r="F78" s="15">
        <f t="shared" si="33"/>
        <v>845888</v>
      </c>
      <c r="G78" s="15">
        <f t="shared" si="33"/>
        <v>1905712</v>
      </c>
      <c r="H78" s="15">
        <f t="shared" si="33"/>
        <v>1196907</v>
      </c>
      <c r="I78" s="15">
        <f t="shared" si="33"/>
        <v>3729416</v>
      </c>
      <c r="J78" s="15">
        <f t="shared" si="33"/>
        <v>3927475</v>
      </c>
      <c r="K78" s="15">
        <f t="shared" si="33"/>
        <v>4277000</v>
      </c>
      <c r="L78" s="15">
        <f t="shared" ref="L78:M78" si="34">+L77+L75</f>
        <v>6783000</v>
      </c>
      <c r="M78" s="15">
        <f t="shared" si="34"/>
        <v>19901000</v>
      </c>
    </row>
    <row r="79" spans="1:13" x14ac:dyDescent="0.25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</row>
    <row r="80" spans="1:13" s="7" customFormat="1" x14ac:dyDescent="0.25">
      <c r="A80" s="7" t="s">
        <v>98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</row>
    <row r="81" spans="1:13" x14ac:dyDescent="0.25">
      <c r="A81" s="1" t="s">
        <v>99</v>
      </c>
      <c r="B81" s="15">
        <v>70</v>
      </c>
      <c r="C81" s="15">
        <v>1.1379999999999999</v>
      </c>
      <c r="D81" s="15">
        <v>3.472</v>
      </c>
      <c r="E81" s="15">
        <v>6938</v>
      </c>
      <c r="F81" s="15">
        <v>9041</v>
      </c>
      <c r="G81" s="15">
        <v>20539</v>
      </c>
      <c r="H81" s="15">
        <v>32060</v>
      </c>
      <c r="I81" s="15" t="s">
        <v>152</v>
      </c>
      <c r="J81" s="15">
        <v>10.528</v>
      </c>
      <c r="K81" s="15" t="s">
        <v>115</v>
      </c>
      <c r="L81" s="15">
        <v>207</v>
      </c>
      <c r="M81" s="15" t="s">
        <v>115</v>
      </c>
    </row>
    <row r="82" spans="1:13" ht="14.25" customHeight="1" x14ac:dyDescent="0.25">
      <c r="A82" s="1" t="s">
        <v>100</v>
      </c>
      <c r="B82" s="15">
        <v>171</v>
      </c>
      <c r="C82" s="15">
        <v>9</v>
      </c>
      <c r="D82" s="15">
        <v>282</v>
      </c>
      <c r="E82" s="15">
        <v>117</v>
      </c>
      <c r="F82" s="15">
        <v>257</v>
      </c>
      <c r="G82" s="15">
        <v>3120</v>
      </c>
      <c r="H82" s="15">
        <v>9461</v>
      </c>
      <c r="I82" s="15">
        <v>663.77099999999996</v>
      </c>
      <c r="J82" s="15">
        <v>914.10799999999995</v>
      </c>
      <c r="K82" s="15">
        <v>249</v>
      </c>
      <c r="L82" s="15">
        <v>562</v>
      </c>
      <c r="M82" s="15">
        <v>1.0880000000000001</v>
      </c>
    </row>
    <row r="83" spans="1:13" ht="14.25" customHeight="1" x14ac:dyDescent="0.25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</row>
    <row r="84" spans="1:13" x14ac:dyDescent="0.25">
      <c r="A84" s="1" t="s">
        <v>101</v>
      </c>
      <c r="B84" s="15"/>
      <c r="C84" s="15"/>
      <c r="D84" s="15"/>
      <c r="E84" s="15"/>
      <c r="F84" s="15"/>
      <c r="G84" s="15"/>
      <c r="H84" s="15"/>
      <c r="I84" s="15">
        <v>307.87900000000002</v>
      </c>
      <c r="J84" s="15">
        <v>313.483</v>
      </c>
      <c r="K84" s="15">
        <v>94</v>
      </c>
      <c r="L84" s="15" t="s">
        <v>115</v>
      </c>
      <c r="M84" s="15" t="s">
        <v>115</v>
      </c>
    </row>
    <row r="85" spans="1:13" x14ac:dyDescent="0.25">
      <c r="A85" s="1" t="s">
        <v>102</v>
      </c>
      <c r="B85" s="15" t="s">
        <v>3</v>
      </c>
      <c r="C85" s="15">
        <v>319.22500000000002</v>
      </c>
      <c r="D85" s="15" t="s">
        <v>3</v>
      </c>
      <c r="E85" s="15">
        <v>44.89</v>
      </c>
      <c r="F85" s="15">
        <v>38.789000000000001</v>
      </c>
      <c r="G85" s="15">
        <v>254.393</v>
      </c>
      <c r="H85" s="15">
        <v>267.334</v>
      </c>
      <c r="I85" s="15"/>
      <c r="J85" s="15"/>
      <c r="K85" s="15"/>
      <c r="L85" s="15"/>
      <c r="M85" s="15"/>
    </row>
    <row r="86" spans="1:13" x14ac:dyDescent="0.25">
      <c r="A86" s="1" t="s">
        <v>103</v>
      </c>
      <c r="B86" s="15" t="s">
        <v>3</v>
      </c>
      <c r="C86" s="15">
        <v>6.9619999999999997</v>
      </c>
      <c r="D86" s="15" t="s">
        <v>3</v>
      </c>
      <c r="E86" s="15"/>
      <c r="F86" s="15"/>
      <c r="G86" s="15"/>
      <c r="H86" s="15"/>
      <c r="I86" s="15">
        <v>38.692999999999998</v>
      </c>
      <c r="J86" s="15">
        <v>182.571</v>
      </c>
      <c r="K86" s="15">
        <v>381</v>
      </c>
      <c r="L86" s="15">
        <v>455</v>
      </c>
      <c r="M86" s="15">
        <v>444</v>
      </c>
    </row>
    <row r="87" spans="1:13" x14ac:dyDescent="0.25">
      <c r="A87" s="1" t="s">
        <v>104</v>
      </c>
      <c r="B87" s="15" t="s">
        <v>3</v>
      </c>
      <c r="C87" s="15">
        <v>6.2939999999999996</v>
      </c>
      <c r="D87" s="15" t="s">
        <v>3</v>
      </c>
      <c r="E87" s="15"/>
      <c r="F87" s="15"/>
      <c r="G87" s="15">
        <v>50.076000000000001</v>
      </c>
      <c r="H87" s="15">
        <v>174.749</v>
      </c>
      <c r="I87" s="15">
        <v>16.385000000000002</v>
      </c>
      <c r="J87" s="15">
        <v>65.694999999999993</v>
      </c>
      <c r="K87" s="15">
        <v>35</v>
      </c>
      <c r="L87" s="15">
        <v>54</v>
      </c>
      <c r="M87" s="15">
        <v>115</v>
      </c>
    </row>
    <row r="88" spans="1:13" x14ac:dyDescent="0.25">
      <c r="A88" s="1" t="s">
        <v>105</v>
      </c>
      <c r="B88" s="15" t="s">
        <v>3</v>
      </c>
      <c r="C88" s="15">
        <v>1.7010000000000001</v>
      </c>
      <c r="D88" s="15" t="s">
        <v>3</v>
      </c>
      <c r="E88" s="15"/>
      <c r="F88" s="15"/>
      <c r="G88" s="15"/>
      <c r="H88" s="15"/>
      <c r="I88" s="15"/>
      <c r="J88" s="15"/>
      <c r="K88" s="15"/>
      <c r="L88" s="15"/>
      <c r="M88" s="15"/>
    </row>
    <row r="89" spans="1:13" x14ac:dyDescent="0.25">
      <c r="A89" s="1" t="s">
        <v>106</v>
      </c>
      <c r="B89" s="15">
        <v>86.224999999999994</v>
      </c>
      <c r="C89" s="15" t="s">
        <v>3</v>
      </c>
      <c r="D89" s="15" t="s">
        <v>3</v>
      </c>
      <c r="E89" s="15"/>
      <c r="F89" s="15"/>
      <c r="G89" s="15"/>
      <c r="H89" s="15"/>
      <c r="I89" s="15"/>
      <c r="J89" s="15"/>
      <c r="K89" s="15"/>
      <c r="L89" s="15"/>
      <c r="M89" s="15"/>
    </row>
    <row r="90" spans="1:13" x14ac:dyDescent="0.25">
      <c r="A90" s="1" t="s">
        <v>107</v>
      </c>
      <c r="B90" s="15">
        <v>19.073</v>
      </c>
      <c r="C90" s="15" t="s">
        <v>3</v>
      </c>
      <c r="D90" s="15" t="s">
        <v>3</v>
      </c>
      <c r="E90" s="15"/>
      <c r="F90" s="15"/>
      <c r="G90" s="15"/>
      <c r="H90" s="15"/>
      <c r="I90" s="15"/>
      <c r="J90" s="15"/>
      <c r="K90" s="15"/>
      <c r="L90" s="15"/>
      <c r="M90" s="15"/>
    </row>
    <row r="91" spans="1:13" x14ac:dyDescent="0.25">
      <c r="A91" s="1" t="s">
        <v>108</v>
      </c>
      <c r="B91" s="15">
        <v>1.7909999999999999</v>
      </c>
      <c r="C91" s="15" t="s">
        <v>3</v>
      </c>
      <c r="D91" s="15" t="s">
        <v>3</v>
      </c>
      <c r="E91" s="15"/>
      <c r="F91" s="15"/>
      <c r="G91" s="15"/>
      <c r="H91" s="15"/>
      <c r="I91" s="15"/>
      <c r="J91" s="15"/>
      <c r="K91" s="15"/>
      <c r="L91" s="15"/>
      <c r="M91" s="15"/>
    </row>
    <row r="92" spans="1:13" x14ac:dyDescent="0.25">
      <c r="A92" s="1" t="s">
        <v>109</v>
      </c>
      <c r="B92" s="15">
        <v>183</v>
      </c>
      <c r="C92" s="15">
        <v>4.4820000000000002</v>
      </c>
      <c r="D92" s="15">
        <v>2.7029999999999998</v>
      </c>
      <c r="E92" s="15"/>
      <c r="F92" s="15"/>
      <c r="G92" s="15"/>
      <c r="H92" s="15"/>
      <c r="I92" s="15"/>
      <c r="J92" s="15"/>
      <c r="K92" s="15"/>
      <c r="L92" s="15"/>
      <c r="M92" s="15"/>
    </row>
    <row r="93" spans="1:13" x14ac:dyDescent="0.25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</row>
    <row r="94" spans="1:13" x14ac:dyDescent="0.25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C26F1-B401-4AE4-9890-580BCAF20E99}">
  <dimension ref="A1:AE95"/>
  <sheetViews>
    <sheetView tabSelected="1" workbookViewId="0">
      <pane ySplit="7" topLeftCell="A51" activePane="bottomLeft" state="frozen"/>
      <selection pane="bottomLeft" activeCell="L64" sqref="L64"/>
    </sheetView>
  </sheetViews>
  <sheetFormatPr defaultRowHeight="15" outlineLevelCol="1" x14ac:dyDescent="0.25"/>
  <cols>
    <col min="1" max="1" width="25.5703125" style="1" customWidth="1"/>
    <col min="2" max="8" width="16.7109375" style="1" hidden="1" customWidth="1" outlineLevel="1"/>
    <col min="9" max="9" width="16.7109375" style="1" customWidth="1" collapsed="1"/>
    <col min="10" max="13" width="16.7109375" style="1" customWidth="1"/>
    <col min="14" max="16384" width="9.140625" style="1"/>
  </cols>
  <sheetData>
    <row r="1" spans="1:13" ht="15.95" customHeight="1" x14ac:dyDescent="0.25">
      <c r="A1" s="9" t="s">
        <v>35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15.95" customHeight="1" x14ac:dyDescent="0.25">
      <c r="A2" s="9" t="s">
        <v>39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15.95" customHeight="1" x14ac:dyDescent="0.25">
      <c r="A3" s="9" t="s">
        <v>156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5.95" customHeight="1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5.95" customHeight="1" x14ac:dyDescent="0.2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5.95" customHeight="1" x14ac:dyDescent="0.25">
      <c r="B6" s="2" t="s">
        <v>38</v>
      </c>
      <c r="C6" s="2" t="s">
        <v>38</v>
      </c>
      <c r="D6" s="2" t="s">
        <v>38</v>
      </c>
      <c r="E6" s="2" t="s">
        <v>38</v>
      </c>
      <c r="F6" s="2" t="s">
        <v>38</v>
      </c>
      <c r="G6" s="2" t="s">
        <v>112</v>
      </c>
      <c r="H6" s="2" t="s">
        <v>112</v>
      </c>
      <c r="I6" s="2" t="s">
        <v>112</v>
      </c>
      <c r="J6" s="2" t="s">
        <v>38</v>
      </c>
      <c r="K6" s="2" t="s">
        <v>112</v>
      </c>
      <c r="L6" s="2" t="s">
        <v>112</v>
      </c>
      <c r="M6" s="2" t="s">
        <v>38</v>
      </c>
    </row>
    <row r="7" spans="1:13" s="3" customFormat="1" ht="15.95" customHeight="1" x14ac:dyDescent="0.25">
      <c r="A7" s="18" t="s">
        <v>164</v>
      </c>
      <c r="B7" s="12">
        <v>2009</v>
      </c>
      <c r="C7" s="12">
        <v>2010</v>
      </c>
      <c r="D7" s="12">
        <v>2011</v>
      </c>
      <c r="E7" s="12">
        <v>2012</v>
      </c>
      <c r="F7" s="12">
        <v>2013</v>
      </c>
      <c r="G7" s="12">
        <v>2014</v>
      </c>
      <c r="H7" s="12">
        <v>2015</v>
      </c>
      <c r="I7" s="12">
        <v>2016</v>
      </c>
      <c r="J7" s="12">
        <v>2017</v>
      </c>
      <c r="K7" s="12">
        <v>2018</v>
      </c>
      <c r="L7" s="12">
        <v>2019</v>
      </c>
      <c r="M7" s="12">
        <v>2020</v>
      </c>
    </row>
    <row r="8" spans="1:13" ht="15.75" x14ac:dyDescent="0.25">
      <c r="A8" s="9" t="s">
        <v>165</v>
      </c>
    </row>
    <row r="9" spans="1:13" x14ac:dyDescent="0.25">
      <c r="A9" s="1" t="s">
        <v>166</v>
      </c>
      <c r="B9" s="20">
        <f>+'Income Statement'!B23/'Income Statement'!B14</f>
        <v>8.5177277721697656E-2</v>
      </c>
      <c r="C9" s="20">
        <f>+'Income Statement'!C23/'Income Statement'!C14</f>
        <v>0.26323408483519495</v>
      </c>
      <c r="D9" s="20">
        <f>+'Income Statement'!D23/'Income Statement'!D14</f>
        <v>0.30157851959929888</v>
      </c>
      <c r="E9" s="20">
        <f>+'Income Statement'!E23/'Income Statement'!E14</f>
        <v>7.2756354414696939E-2</v>
      </c>
      <c r="F9" s="20">
        <f>+'Income Statement'!F23/'Income Statement'!F14</f>
        <v>0.22660189044328868</v>
      </c>
      <c r="G9" s="20">
        <f>+'Income Statement'!G23/'Income Statement'!G14</f>
        <v>0.27566380978227567</v>
      </c>
      <c r="H9" s="20">
        <f>+'Income Statement'!H23/'Income Statement'!H14</f>
        <v>0.22824945471172323</v>
      </c>
      <c r="I9" s="20">
        <f>+'Income Statement'!I23/'Income Statement'!I14</f>
        <v>0.22846097759299397</v>
      </c>
      <c r="J9" s="20">
        <f>+'Income Statement'!J23/'Income Statement'!J14</f>
        <v>0.18900706376042831</v>
      </c>
      <c r="K9" s="20">
        <f>+'Income Statement'!K23/'Income Statement'!K14</f>
        <v>0.18834164298028983</v>
      </c>
      <c r="L9" s="20">
        <f>+'Income Statement'!L23/'Income Statement'!L14</f>
        <v>0.1655545609895028</v>
      </c>
      <c r="M9" s="20">
        <f>+'Income Statement'!M23/'Income Statement'!M14</f>
        <v>0.2102359208523592</v>
      </c>
    </row>
    <row r="10" spans="1:13" x14ac:dyDescent="0.25">
      <c r="A10" s="1" t="s">
        <v>167</v>
      </c>
      <c r="B10" s="20">
        <f>+'Income Statement'!B30/'Income Statement'!B14</f>
        <v>-0.46360201173811671</v>
      </c>
      <c r="C10" s="20">
        <f>+'Income Statement'!C30/'Income Statement'!C14</f>
        <v>-1.2577777016377716</v>
      </c>
      <c r="D10" s="20">
        <f>+'Income Statement'!D30/'Income Statement'!D14</f>
        <v>-1.231323625894772</v>
      </c>
      <c r="E10" s="20">
        <f>+'Income Statement'!E30/'Income Statement'!E14</f>
        <v>-0.95408899084344811</v>
      </c>
      <c r="F10" s="20">
        <f>+'Income Statement'!F30/'Income Statement'!F14</f>
        <v>-3.0436117081931127E-2</v>
      </c>
      <c r="G10" s="20">
        <f>+'Income Statement'!G30/'Income Statement'!G14</f>
        <v>-5.8370300241749197E-2</v>
      </c>
      <c r="H10" s="20">
        <f>+'Income Statement'!H30/'Income Statement'!H14</f>
        <v>-0.17711927138364197</v>
      </c>
      <c r="I10" s="20">
        <f>+'Income Statement'!I30/'Income Statement'!I14</f>
        <v>-9.533248801594027E-2</v>
      </c>
      <c r="J10" s="20">
        <f>+'Income Statement'!J30/'Income Statement'!J14</f>
        <v>-0.13879756446921956</v>
      </c>
      <c r="K10" s="20">
        <f>+'Income Statement'!K30/'Income Statement'!K14</f>
        <v>-1.8079306649270769E-2</v>
      </c>
      <c r="L10" s="20">
        <f>+'Income Statement'!L30/'Income Statement'!L14</f>
        <v>-2.8073887216209618E-3</v>
      </c>
      <c r="M10" s="20">
        <f>+'Income Statement'!M30/'Income Statement'!M14</f>
        <v>6.3229325215626589E-2</v>
      </c>
    </row>
    <row r="11" spans="1:13" x14ac:dyDescent="0.25">
      <c r="A11" s="1" t="s">
        <v>168</v>
      </c>
      <c r="B11" s="20">
        <f>+'Income Statement'!B37/'Income Statement'!B14</f>
        <v>-0.49793198324147109</v>
      </c>
      <c r="C11" s="20">
        <f>+'Income Statement'!C37/'Income Statement'!C14</f>
        <v>-1.3219351743986842</v>
      </c>
      <c r="D11" s="20">
        <f>+'Income Statement'!D37/'Income Statement'!D14</f>
        <v>-1.245635079954172</v>
      </c>
      <c r="E11" s="20">
        <f>+'Income Statement'!E37/'Income Statement'!E14</f>
        <v>-0.95875921946686804</v>
      </c>
      <c r="F11" s="20">
        <f>+'Income Statement'!F37/'Income Statement'!F14</f>
        <v>-3.6758950601342141E-2</v>
      </c>
      <c r="G11" s="20">
        <f>+'Income Statement'!G37/'Income Statement'!G14</f>
        <v>-9.1934731468291842E-2</v>
      </c>
      <c r="H11" s="20">
        <f>+'Income Statement'!H37/'Income Statement'!H14</f>
        <v>-0.21963853411681836</v>
      </c>
      <c r="I11" s="20">
        <f>+'Income Statement'!I37/'Income Statement'!I14</f>
        <v>-0.11043306040514665</v>
      </c>
      <c r="J11" s="20">
        <f>+'Income Statement'!J37/'Income Statement'!J14</f>
        <v>-0.19054557750223641</v>
      </c>
      <c r="K11" s="20">
        <f>+'Income Statement'!K37/'Income Statement'!K14</f>
        <v>-4.9531708680862964E-2</v>
      </c>
      <c r="L11" s="20">
        <f>+'Income Statement'!L37/'Income Statement'!L14</f>
        <v>-3.1532264626902111E-2</v>
      </c>
      <c r="M11" s="20">
        <f>+'Income Statement'!M37/'Income Statement'!M14</f>
        <v>2.7333840690005072E-2</v>
      </c>
    </row>
    <row r="12" spans="1:13" x14ac:dyDescent="0.25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3" x14ac:dyDescent="0.25">
      <c r="A13" s="1" t="s">
        <v>169</v>
      </c>
      <c r="B13" s="20">
        <f>+'Income Statement'!B36/'Income Statement'!B35</f>
        <v>-4.6666905984133253E-4</v>
      </c>
      <c r="C13" s="20">
        <f>+'Income Statement'!C36/'Income Statement'!C35</f>
        <v>-1.122247088968895E-3</v>
      </c>
      <c r="D13" s="20">
        <f>+'Income Statement'!D36/'Income Statement'!D35</f>
        <v>-1.9257882341821503E-3</v>
      </c>
      <c r="E13" s="20">
        <f>+'Income Statement'!E36/'Income Statement'!E35</f>
        <v>-3.4336757751649298E-4</v>
      </c>
      <c r="F13" s="20">
        <f>+'Income Statement'!F36/'Income Statement'!F35</f>
        <v>-3.623330439895836E-2</v>
      </c>
      <c r="G13" s="20">
        <f>+'Income Statement'!G36/'Income Statement'!G35</f>
        <v>-3.3038688008544245E-2</v>
      </c>
      <c r="H13" s="20">
        <f>+'Income Statement'!H36/'Income Statement'!H35</f>
        <v>-1.4891094807817053E-2</v>
      </c>
      <c r="I13" s="20">
        <f>+'Income Statement'!I36/'Income Statement'!I35</f>
        <v>-3.5771516772336767E-2</v>
      </c>
      <c r="J13" s="20">
        <f>+'Income Statement'!J36/'Income Statement'!J35</f>
        <v>-1.4280463116876533E-2</v>
      </c>
      <c r="K13" s="20">
        <f>+'Income Statement'!K36/'Income Statement'!K35</f>
        <v>-5.7711442786069649E-2</v>
      </c>
      <c r="L13" s="20">
        <f>+'Income Statement'!L36/'Income Statement'!L35</f>
        <v>-0.16541353383458646</v>
      </c>
      <c r="M13" s="20">
        <f>+'Income Statement'!M36/'Income Statement'!M35</f>
        <v>0.2530329289428076</v>
      </c>
    </row>
    <row r="14" spans="1:13" x14ac:dyDescent="0.25">
      <c r="A14" s="1" t="s">
        <v>170</v>
      </c>
      <c r="B14" s="2">
        <f>ABS('Income Statement'!B30)/ABS('Income Statement'!B33)</f>
        <v>20.504543658632951</v>
      </c>
      <c r="C14" s="2">
        <f>ABS('Income Statement'!C30)/ABS('Income Statement'!C33)</f>
        <v>148.02217741935485</v>
      </c>
      <c r="D14" s="2">
        <f>ABS('Income Statement'!D30)/ABS('Income Statement'!D33)</f>
        <v>5848.5581395348836</v>
      </c>
      <c r="E14" s="2">
        <f>ABS('Income Statement'!E30)/ABS('Income Statement'!E33)</f>
        <v>1552.2952755905512</v>
      </c>
      <c r="F14" s="2">
        <f>ABS('Income Statement'!F30)/ABS('Income Statement'!F33)</f>
        <v>1.8607821704014089</v>
      </c>
      <c r="G14" s="2">
        <f>ABS('Income Statement'!G30)/ABS('Income Statement'!G33)</f>
        <v>1.8504946176872905</v>
      </c>
      <c r="H14" s="2">
        <f>ABS('Income Statement'!H30)/ABS('Income Statement'!H33)</f>
        <v>6.0296421569864789</v>
      </c>
      <c r="I14" s="2">
        <f>ABS('Income Statement'!I30)/ABS('Income Statement'!I33)</f>
        <v>3.3566721995875457</v>
      </c>
      <c r="J14" s="2">
        <f>ABS('Income Statement'!J30)/ABS('Income Statement'!J33)</f>
        <v>3.4632463252691195</v>
      </c>
      <c r="K14" s="2">
        <f>ABS('Income Statement'!K30)/ABS('Income Statement'!K33)</f>
        <v>0.58521870286576172</v>
      </c>
      <c r="L14" s="2">
        <f>ABS('Income Statement'!L30)/ABS('Income Statement'!L33)</f>
        <v>0.10072992700729927</v>
      </c>
      <c r="M14" s="2">
        <f>ABS('Income Statement'!M30)/ABS('Income Statement'!M33)</f>
        <v>2.6657754010695189</v>
      </c>
    </row>
    <row r="15" spans="1:13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1" t="s">
        <v>190</v>
      </c>
      <c r="B16" s="2"/>
      <c r="C16" s="2"/>
      <c r="D16" s="2"/>
      <c r="E16" s="2"/>
      <c r="F16" s="2"/>
      <c r="G16" s="2"/>
      <c r="H16" s="2"/>
      <c r="I16" s="2">
        <f>+'Income Statement'!I27</f>
        <v>1432189</v>
      </c>
      <c r="J16" s="2">
        <f>+'Income Statement'!J27</f>
        <v>2476500</v>
      </c>
      <c r="K16" s="2">
        <f>+'Income Statement'!K27</f>
        <v>2835000</v>
      </c>
      <c r="L16" s="2">
        <f>+'Income Statement'!L27</f>
        <v>2646000</v>
      </c>
      <c r="M16" s="2">
        <f>+'Income Statement'!M27</f>
        <v>3145000</v>
      </c>
    </row>
    <row r="17" spans="1:13" x14ac:dyDescent="0.25">
      <c r="A17" s="1" t="s">
        <v>191</v>
      </c>
      <c r="B17" s="2"/>
      <c r="C17" s="2"/>
      <c r="D17" s="2"/>
      <c r="E17" s="2"/>
      <c r="F17" s="2"/>
      <c r="G17" s="2"/>
      <c r="H17" s="2"/>
      <c r="I17" s="2">
        <f>+'Income Statement'!I26</f>
        <v>834408</v>
      </c>
      <c r="J17" s="2">
        <f>+'Income Statement'!J26</f>
        <v>1378073</v>
      </c>
      <c r="K17" s="2">
        <f>+'Income Statement'!K26</f>
        <v>1460000</v>
      </c>
      <c r="L17" s="2">
        <f>+'Income Statement'!L26</f>
        <v>1343000</v>
      </c>
      <c r="M17" s="2">
        <f>+'Income Statement'!M26</f>
        <v>1491000</v>
      </c>
    </row>
    <row r="18" spans="1:13" x14ac:dyDescent="0.25">
      <c r="A18" s="1" t="s">
        <v>192</v>
      </c>
      <c r="B18" s="2"/>
      <c r="C18" s="2"/>
      <c r="D18" s="2"/>
      <c r="E18" s="2"/>
      <c r="F18" s="2"/>
      <c r="G18" s="2"/>
      <c r="H18" s="2"/>
      <c r="I18" s="2">
        <f>+'Cash Flow'!I11</f>
        <v>947099</v>
      </c>
      <c r="J18" s="2">
        <f>+'Cash Flow'!J11</f>
        <v>1636003</v>
      </c>
      <c r="K18" s="2">
        <f>+'Cash Flow'!K11</f>
        <v>1901000</v>
      </c>
      <c r="L18" s="2">
        <f>+'Cash Flow'!L11</f>
        <v>2154000</v>
      </c>
      <c r="M18" s="2">
        <f>+'Cash Flow'!M11</f>
        <v>2322000</v>
      </c>
    </row>
    <row r="19" spans="1:13" x14ac:dyDescent="0.25">
      <c r="A19" s="1" t="s">
        <v>193</v>
      </c>
      <c r="B19" s="2"/>
      <c r="C19" s="2"/>
      <c r="D19" s="2"/>
      <c r="E19" s="2"/>
      <c r="F19" s="2"/>
      <c r="G19" s="2"/>
      <c r="H19" s="2"/>
      <c r="I19" s="2">
        <f>+'Cash Flow'!I12</f>
        <v>334225</v>
      </c>
      <c r="J19" s="2">
        <f>+'Cash Flow'!J12</f>
        <v>466760</v>
      </c>
      <c r="K19" s="2">
        <f>+'Cash Flow'!K12</f>
        <v>749000</v>
      </c>
      <c r="L19" s="2">
        <f>+'Cash Flow'!L12</f>
        <v>898000</v>
      </c>
      <c r="M19" s="2">
        <f>+'Cash Flow'!M12</f>
        <v>1734000</v>
      </c>
    </row>
    <row r="20" spans="1:13" x14ac:dyDescent="0.25">
      <c r="A20" s="1" t="s">
        <v>194</v>
      </c>
      <c r="B20" s="2"/>
      <c r="C20" s="2"/>
      <c r="D20" s="2"/>
      <c r="E20" s="2"/>
      <c r="F20" s="2"/>
      <c r="G20" s="2"/>
      <c r="H20" s="2"/>
      <c r="I20" s="2">
        <f>+'Cash Flow'!I13+'Cash Flow'!I14+'Cash Flow'!I16</f>
        <v>194843</v>
      </c>
      <c r="J20" s="2">
        <f>+'Cash Flow'!J13+'Cash Flow'!J14+'Cash Flow'!J16</f>
        <v>328472</v>
      </c>
      <c r="K20" s="2">
        <f>+'Cash Flow'!K13+'Cash Flow'!K14+'Cash Flow'!K16</f>
        <v>406000</v>
      </c>
      <c r="L20" s="2">
        <f>+'Cash Flow'!L13+'Cash Flow'!L14+'Cash Flow'!L16</f>
        <v>527000</v>
      </c>
      <c r="M20" s="2">
        <f>+'Cash Flow'!M13+'Cash Flow'!M14+'Cash Flow'!M16</f>
        <v>499000</v>
      </c>
    </row>
    <row r="21" spans="1:13" x14ac:dyDescent="0.25">
      <c r="A21" s="1" t="s">
        <v>195</v>
      </c>
      <c r="B21" s="2"/>
      <c r="C21" s="2"/>
      <c r="D21" s="2"/>
      <c r="E21" s="2"/>
      <c r="F21" s="2"/>
      <c r="G21" s="2"/>
      <c r="H21" s="2"/>
      <c r="I21" s="2">
        <f>+'Income Statement'!I33</f>
        <v>-198810</v>
      </c>
      <c r="J21" s="2">
        <f>+'Income Statement'!J33</f>
        <v>-471259</v>
      </c>
      <c r="K21" s="2">
        <f>+'Income Statement'!K33</f>
        <v>-663000</v>
      </c>
      <c r="L21" s="2">
        <f>+'Income Statement'!L33</f>
        <v>-685000</v>
      </c>
      <c r="M21" s="2">
        <f>+'Income Statement'!M33</f>
        <v>-748000</v>
      </c>
    </row>
    <row r="22" spans="1:13" x14ac:dyDescent="0.25">
      <c r="A22" s="1" t="s">
        <v>196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4" spans="1:13" ht="15.75" x14ac:dyDescent="0.25">
      <c r="A24" s="9" t="s">
        <v>171</v>
      </c>
    </row>
    <row r="25" spans="1:13" x14ac:dyDescent="0.25">
      <c r="A25" s="1" t="s">
        <v>172</v>
      </c>
      <c r="C25" s="22">
        <f>+('Balance Sheet'!B15-'Balance Sheet'!B13)/'Balance Sheet'!B39</f>
        <v>2.2287617600654475</v>
      </c>
      <c r="D25" s="22">
        <f>+('Balance Sheet'!C15-'Balance Sheet'!C13)/'Balance Sheet'!C39</f>
        <v>1.6868280904572512</v>
      </c>
      <c r="E25" s="22">
        <f>+('Balance Sheet'!D15-'Balance Sheet'!D13)/'Balance Sheet'!D39</f>
        <v>0.47534816771407584</v>
      </c>
      <c r="F25" s="22">
        <f>+('Balance Sheet'!E15-'Balance Sheet'!E13)/'Balance Sheet'!E39</f>
        <v>1.3709105989691333</v>
      </c>
      <c r="G25" s="22">
        <f>+('Balance Sheet'!F15-'Balance Sheet'!F13)/'Balance Sheet'!F39</f>
        <v>1.056584056500532</v>
      </c>
      <c r="H25" s="22">
        <f>+('Balance Sheet'!G15-'Balance Sheet'!G13)/'Balance Sheet'!G39</f>
        <v>0.53749386600877613</v>
      </c>
      <c r="I25" s="22">
        <f>+('Balance Sheet'!H15-'Balance Sheet'!H13)/'Balance Sheet'!H39</f>
        <v>0.71946771969476597</v>
      </c>
      <c r="J25" s="22">
        <f>+('Balance Sheet'!I15-'Balance Sheet'!I13)/'Balance Sheet'!I39</f>
        <v>0.56119455299055199</v>
      </c>
      <c r="K25" s="22">
        <f>+('Balance Sheet'!J15-'Balance Sheet'!J13)/'Balance Sheet'!J39</f>
        <v>0.519763834684279</v>
      </c>
      <c r="L25" s="22">
        <f>+('Balance Sheet'!K15-'Balance Sheet'!K13)/'Balance Sheet'!K39</f>
        <v>0.80163119902503044</v>
      </c>
      <c r="M25" s="22">
        <f>+('Balance Sheet'!L15-'Balance Sheet'!L13)/'Balance Sheet'!L39</f>
        <v>1.5873104997192589</v>
      </c>
    </row>
    <row r="26" spans="1:13" x14ac:dyDescent="0.25">
      <c r="A26" s="1" t="s">
        <v>173</v>
      </c>
      <c r="C26" s="22">
        <f>+'Balance Sheet'!B15/'Balance Sheet'!B39</f>
        <v>2.7568047683047974</v>
      </c>
      <c r="D26" s="22">
        <f>+'Balance Sheet'!C15/'Balance Sheet'!C39</f>
        <v>1.948572951672163</v>
      </c>
      <c r="E26" s="22">
        <f>+'Balance Sheet'!D15/'Balance Sheet'!D39</f>
        <v>0.97340050602105699</v>
      </c>
      <c r="F26" s="22">
        <f>+'Balance Sheet'!E15/'Balance Sheet'!E39</f>
        <v>1.8750207358255822</v>
      </c>
      <c r="G26" s="22">
        <f>+'Balance Sheet'!F15/'Balance Sheet'!F39</f>
        <v>1.5091706111431182</v>
      </c>
      <c r="H26" s="22">
        <f>+'Balance Sheet'!G15/'Balance Sheet'!G39</f>
        <v>0.99122741608238407</v>
      </c>
      <c r="I26" s="22">
        <f>+'Balance Sheet'!H15/'Balance Sheet'!H39</f>
        <v>1.0742733187975642</v>
      </c>
      <c r="J26" s="22">
        <f>+'Balance Sheet'!I15/'Balance Sheet'!I39</f>
        <v>0.8561306219029613</v>
      </c>
      <c r="K26" s="22">
        <f>+'Balance Sheet'!J15/'Balance Sheet'!J39</f>
        <v>0.83128189732812974</v>
      </c>
      <c r="L26" s="22">
        <f>+'Balance Sheet'!K15/'Balance Sheet'!K39</f>
        <v>1.1346207931002157</v>
      </c>
      <c r="M26" s="22">
        <f>+'Balance Sheet'!L15/'Balance Sheet'!L39</f>
        <v>1.8751403705783267</v>
      </c>
    </row>
    <row r="27" spans="1:13" x14ac:dyDescent="0.25">
      <c r="A27" s="1" t="s">
        <v>174</v>
      </c>
      <c r="C27" s="22">
        <f>+'Income Statement'!C14/'Balance Sheet'!B26</f>
        <v>0.30238135940033467</v>
      </c>
      <c r="D27" s="22">
        <f>+'Income Statement'!D14/'Balance Sheet'!C26</f>
        <v>0.28627454278377679</v>
      </c>
      <c r="E27" s="22">
        <f>+'Income Statement'!E14/'Balance Sheet'!D26</f>
        <v>0.37090262881555208</v>
      </c>
      <c r="F27" s="22">
        <f>+'Income Statement'!F14/'Balance Sheet'!E26</f>
        <v>0.83307998162958796</v>
      </c>
      <c r="G27" s="22">
        <f>+'Income Statement'!G14/'Balance Sheet'!F26</f>
        <v>0.54854032994852908</v>
      </c>
      <c r="H27" s="22">
        <f>+'Income Statement'!H14/'Balance Sheet'!G26</f>
        <v>0.49997466777716543</v>
      </c>
      <c r="I27" s="22">
        <f>+'Income Statement'!I14/'Balance Sheet'!H26</f>
        <v>0.30886465435431826</v>
      </c>
      <c r="J27" s="22">
        <f>+'Income Statement'!J14/'Balance Sheet'!I26</f>
        <v>0.4103506665347077</v>
      </c>
      <c r="K27" s="22">
        <f>+'Income Statement'!K14/'Balance Sheet'!J26</f>
        <v>0.72162071284465368</v>
      </c>
      <c r="L27" s="22">
        <f>+'Income Statement'!L14/'Balance Sheet'!K26</f>
        <v>0.71637179748753976</v>
      </c>
      <c r="M27" s="22">
        <f>+'Income Statement'!M14/'Balance Sheet'!L26</f>
        <v>0.60474035437600671</v>
      </c>
    </row>
    <row r="28" spans="1:13" x14ac:dyDescent="0.25">
      <c r="A28" s="1" t="s">
        <v>175</v>
      </c>
      <c r="C28" s="22">
        <f>+'Income Statement'!C14/('Balance Sheet'!B26-'Balance Sheet'!B49)</f>
        <v>0.56384992851899074</v>
      </c>
      <c r="D28" s="22">
        <f>+'Income Statement'!D14/('Balance Sheet'!C26-'Balance Sheet'!C49)</f>
        <v>0.91161150661697432</v>
      </c>
      <c r="E28" s="22">
        <f>+'Income Statement'!E14/('Balance Sheet'!D26-'Balance Sheet'!D49)</f>
        <v>3.3140016038492384</v>
      </c>
      <c r="F28" s="22">
        <f>+'Income Statement'!F14/('Balance Sheet'!E26-'Balance Sheet'!E49)</f>
        <v>3.0181916296918097</v>
      </c>
      <c r="G28" s="22">
        <f>+'Income Statement'!G14/('Balance Sheet'!F26-'Balance Sheet'!F49)</f>
        <v>3.2975937874391952</v>
      </c>
      <c r="H28" s="22">
        <f>+'Income Statement'!H14/('Balance Sheet'!G26-'Balance Sheet'!G49)</f>
        <v>3.5774220615761956</v>
      </c>
      <c r="I28" s="22">
        <f>+'Income Statement'!I14/('Balance Sheet'!H26-'Balance Sheet'!H49)</f>
        <v>1.1836725928653957</v>
      </c>
      <c r="J28" s="22">
        <f>+'Income Statement'!J14/('Balance Sheet'!I26-'Balance Sheet'!I49)</f>
        <v>2.0877011046106166</v>
      </c>
      <c r="K28" s="22">
        <f>+'Income Statement'!K14/('Balance Sheet'!J26-'Balance Sheet'!J49)</f>
        <v>3.3994931094566767</v>
      </c>
      <c r="L28" s="22">
        <f>+'Income Statement'!L14/('Balance Sheet'!K26-'Balance Sheet'!K49)</f>
        <v>3.0305795314426636</v>
      </c>
      <c r="M28" s="22">
        <f>+'Income Statement'!M14/('Balance Sheet'!L26-'Balance Sheet'!L49)</f>
        <v>1.3289506953223766</v>
      </c>
    </row>
    <row r="30" spans="1:13" ht="15.75" x14ac:dyDescent="0.25">
      <c r="A30" s="9" t="s">
        <v>176</v>
      </c>
    </row>
    <row r="31" spans="1:13" x14ac:dyDescent="0.25">
      <c r="A31" s="1" t="s">
        <v>177</v>
      </c>
      <c r="I31" s="22">
        <f>+'Income Statement'!I22/'Balance Sheet'!H13</f>
        <v>2.6123313989089962</v>
      </c>
      <c r="J31" s="22">
        <f>+'Income Statement'!J22/'Balance Sheet'!I13</f>
        <v>4.2129923213095255</v>
      </c>
      <c r="K31" s="22">
        <f>+'Income Statement'!K22/'Balance Sheet'!J13</f>
        <v>5.5955669771924192</v>
      </c>
      <c r="L31" s="22">
        <f>+'Income Statement'!L22/'Balance Sheet'!K13</f>
        <v>5.7739301801801801</v>
      </c>
      <c r="M31" s="22">
        <f>+'Income Statement'!M22/'Balance Sheet'!L13</f>
        <v>6.0731528895391369</v>
      </c>
    </row>
    <row r="32" spans="1:13" x14ac:dyDescent="0.25">
      <c r="A32" s="1" t="s">
        <v>178</v>
      </c>
      <c r="I32" s="22">
        <f>+'Balance Sheet'!H13/'Income Statement'!I22*365</f>
        <v>139.72193579744024</v>
      </c>
      <c r="J32" s="22">
        <f>+'Balance Sheet'!I13/'Income Statement'!J22*365</f>
        <v>86.636758902647827</v>
      </c>
      <c r="K32" s="22">
        <f>+'Balance Sheet'!J13/'Income Statement'!K22*365</f>
        <v>65.230208393133935</v>
      </c>
      <c r="L32" s="22">
        <f>+'Balance Sheet'!K13/'Income Statement'!L22*365</f>
        <v>63.215173826125117</v>
      </c>
      <c r="M32" s="22">
        <f>+'Balance Sheet'!L13/'Income Statement'!M22*365</f>
        <v>60.100578173933989</v>
      </c>
    </row>
    <row r="33" spans="1:13" x14ac:dyDescent="0.25">
      <c r="I33" s="23"/>
      <c r="J33" s="23"/>
      <c r="K33" s="23"/>
      <c r="L33" s="23"/>
      <c r="M33" s="23"/>
    </row>
    <row r="34" spans="1:13" x14ac:dyDescent="0.25">
      <c r="A34" s="1" t="s">
        <v>179</v>
      </c>
      <c r="I34" s="22">
        <f>+'Balance Sheet'!H12/'Income Statement'!I14*365</f>
        <v>26.026199220243274</v>
      </c>
      <c r="J34" s="22">
        <f>+'Balance Sheet'!I12/'Income Statement'!J14*365</f>
        <v>15.997793047918099</v>
      </c>
      <c r="K34" s="22">
        <f>+'Balance Sheet'!J12/'Income Statement'!K14*365</f>
        <v>16.140207818834163</v>
      </c>
      <c r="L34" s="22">
        <f>+'Balance Sheet'!K12/'Income Statement'!L14*365</f>
        <v>19.662299617544146</v>
      </c>
      <c r="M34" s="22">
        <f>+'Balance Sheet'!L12/'Income Statement'!M14*365</f>
        <v>21.828703703703702</v>
      </c>
    </row>
    <row r="35" spans="1:13" x14ac:dyDescent="0.25">
      <c r="A35" s="1" t="s">
        <v>180</v>
      </c>
      <c r="I35" s="22">
        <f>+'Balance Sheet'!H30/'Income Statement'!I22*365</f>
        <v>125.72489920614716</v>
      </c>
      <c r="J35" s="22">
        <f>+'Balance Sheet'!I30/'Income Statement'!J22*365</f>
        <v>91.486692272781028</v>
      </c>
      <c r="K35" s="22">
        <f>+'Balance Sheet'!J30/'Income Statement'!K22*365</f>
        <v>71.348814512888225</v>
      </c>
      <c r="L35" s="22">
        <f>+'Balance Sheet'!K30/'Income Statement'!L22*365</f>
        <v>67.112730996148031</v>
      </c>
      <c r="M35" s="22">
        <f>+'Balance Sheet'!L30/'Income Statement'!M22*365</f>
        <v>88.678029390508314</v>
      </c>
    </row>
    <row r="36" spans="1:13" x14ac:dyDescent="0.25">
      <c r="A36" s="1" t="s">
        <v>181</v>
      </c>
      <c r="I36" s="22">
        <f>+I32+I34-I35</f>
        <v>40.023235811536367</v>
      </c>
      <c r="J36" s="22">
        <f t="shared" ref="J36:M36" si="0">+J32+J34-J35</f>
        <v>11.147859677784894</v>
      </c>
      <c r="K36" s="22">
        <f t="shared" si="0"/>
        <v>10.021601699079866</v>
      </c>
      <c r="L36" s="22">
        <f t="shared" si="0"/>
        <v>15.764742447521229</v>
      </c>
      <c r="M36" s="22">
        <f t="shared" si="0"/>
        <v>-6.7487475128706222</v>
      </c>
    </row>
    <row r="37" spans="1:13" x14ac:dyDescent="0.25">
      <c r="A37" s="1" t="s">
        <v>182</v>
      </c>
      <c r="I37" s="22">
        <f>+'Income Statement'!I14/'Balance Sheet'!H18</f>
        <v>1.170012085996941</v>
      </c>
      <c r="J37" s="22">
        <f>+'Income Statement'!J14/'Balance Sheet'!I18</f>
        <v>1.1726477388930185</v>
      </c>
      <c r="K37" s="22">
        <f>+'Income Statement'!K14/'Balance Sheet'!J18</f>
        <v>1.8941747572815535</v>
      </c>
      <c r="L37" s="22">
        <f>+'Income Statement'!L14/'Balance Sheet'!K18</f>
        <v>2.3641785302039247</v>
      </c>
      <c r="M37" s="22">
        <f>+'Income Statement'!M14/'Balance Sheet'!L18</f>
        <v>2.4739938809131559</v>
      </c>
    </row>
    <row r="38" spans="1:13" x14ac:dyDescent="0.25">
      <c r="A38" s="1" t="s">
        <v>197</v>
      </c>
      <c r="I38" s="22">
        <f>+'Income Statement'!I14/('Balance Sheet'!H12+'Balance Sheet'!H13-'Balance Sheet'!H30)</f>
        <v>9.9116211566643777</v>
      </c>
      <c r="J38" s="22">
        <f>+'Income Statement'!J14/('Balance Sheet'!I12+'Balance Sheet'!I13-'Balance Sheet'!I30)</f>
        <v>30.253972542118209</v>
      </c>
      <c r="K38" s="22">
        <f>+'Income Statement'!K14/('Balance Sheet'!J12+'Balance Sheet'!J13-'Balance Sheet'!J30)</f>
        <v>32.665144596651444</v>
      </c>
      <c r="L38" s="22">
        <f>+'Income Statement'!L14/('Balance Sheet'!K12+'Balance Sheet'!K13-'Balance Sheet'!K30)</f>
        <v>22.242533936651583</v>
      </c>
      <c r="M38" s="22">
        <f>+'Income Statement'!M14/('Balance Sheet'!L12+'Balance Sheet'!L13-'Balance Sheet'!L30)</f>
        <v>-492.75</v>
      </c>
    </row>
    <row r="39" spans="1:13" x14ac:dyDescent="0.25">
      <c r="A39" s="1" t="s">
        <v>198</v>
      </c>
      <c r="I39" s="22">
        <f>+'Income Statement'!I14/'Balance Sheet'!H10</f>
        <v>2.0629786020105998</v>
      </c>
      <c r="J39" s="22">
        <f>+'Income Statement'!J14/'Balance Sheet'!I10</f>
        <v>3.4914047686490806</v>
      </c>
      <c r="K39" s="22">
        <f>+'Income Statement'!K14/'Balance Sheet'!J10</f>
        <v>5.8223005968529575</v>
      </c>
      <c r="L39" s="22">
        <f>+'Income Statement'!L14/'Balance Sheet'!K10</f>
        <v>3.9211869814932991</v>
      </c>
      <c r="M39" s="22">
        <f>+'Income Statement'!M14/'Balance Sheet'!L10</f>
        <v>1.6269087907552622</v>
      </c>
    </row>
    <row r="41" spans="1:13" ht="15.75" x14ac:dyDescent="0.25">
      <c r="A41" s="9" t="s">
        <v>189</v>
      </c>
    </row>
    <row r="42" spans="1:13" x14ac:dyDescent="0.25">
      <c r="A42" s="1" t="s">
        <v>183</v>
      </c>
      <c r="I42" s="21">
        <f>+('Balance Sheet'!H37+'Balance Sheet'!H42)/'Balance Sheet'!H63</f>
        <v>1.4400143406851085</v>
      </c>
      <c r="J42" s="21">
        <f>+('Balance Sheet'!I37+'Balance Sheet'!I42)/'Balance Sheet'!I63</f>
        <v>2.4101170053539542</v>
      </c>
      <c r="K42" s="21">
        <f>+('Balance Sheet'!J37+'Balance Sheet'!J42)/'Balance Sheet'!J63</f>
        <v>2.4318504976640258</v>
      </c>
      <c r="L42" s="21">
        <f>+('Balance Sheet'!K37+'Balance Sheet'!K42)/'Balance Sheet'!K63</f>
        <v>2.0273455204713704</v>
      </c>
      <c r="M42" s="21">
        <f>+('Balance Sheet'!L37+'Balance Sheet'!L42)/'Balance Sheet'!L63</f>
        <v>0.52589426321709787</v>
      </c>
    </row>
    <row r="43" spans="1:13" x14ac:dyDescent="0.25">
      <c r="A43" s="1" t="s">
        <v>184</v>
      </c>
      <c r="I43" s="21">
        <f>+('Balance Sheet'!H37+'Balance Sheet'!H42)/('Balance Sheet'!H42+'Balance Sheet'!H37+'Balance Sheet'!H63)</f>
        <v>0.59016634315386052</v>
      </c>
      <c r="J43" s="21">
        <f>+('Balance Sheet'!I37+'Balance Sheet'!I42)/('Balance Sheet'!I42+'Balance Sheet'!I37+'Balance Sheet'!I63)</f>
        <v>0.70675492998334677</v>
      </c>
      <c r="K43" s="21">
        <f>+('Balance Sheet'!J37+'Balance Sheet'!J42)/('Balance Sheet'!J42+'Balance Sheet'!J37+'Balance Sheet'!J63)</f>
        <v>0.7086120153891684</v>
      </c>
      <c r="L43" s="21">
        <f>+('Balance Sheet'!K37+'Balance Sheet'!K42)/('Balance Sheet'!K42+'Balance Sheet'!K37+'Balance Sheet'!K63)</f>
        <v>0.6696776125361813</v>
      </c>
      <c r="M43" s="21">
        <f>+('Balance Sheet'!L37+'Balance Sheet'!L42)/('Balance Sheet'!L42+'Balance Sheet'!L37+'Balance Sheet'!L63)</f>
        <v>0.34464659570076372</v>
      </c>
    </row>
    <row r="44" spans="1:13" x14ac:dyDescent="0.25">
      <c r="A44" s="1" t="s">
        <v>185</v>
      </c>
      <c r="I44" s="21">
        <f>+('Balance Sheet'!H37+'Balance Sheet'!H42)/('Balance Sheet'!H63-'Balance Sheet'!H21-'Balance Sheet'!H22)</f>
        <v>1.5637710583567868</v>
      </c>
      <c r="J44" s="21">
        <f>+('Balance Sheet'!I37+'Balance Sheet'!I42)/('Balance Sheet'!I63-'Balance Sheet'!I21-'Balance Sheet'!I22)</f>
        <v>2.6765144726658581</v>
      </c>
      <c r="K44" s="21">
        <f>+('Balance Sheet'!J37+'Balance Sheet'!J42)/('Balance Sheet'!J63-'Balance Sheet'!J21-'Balance Sheet'!J22)</f>
        <v>2.6179750710693197</v>
      </c>
      <c r="L44" s="21">
        <f>+('Balance Sheet'!K37+'Balance Sheet'!K42)/('Balance Sheet'!K63-'Balance Sheet'!K21-'Balance Sheet'!K22)</f>
        <v>2.2063465965143045</v>
      </c>
      <c r="M44" s="21">
        <f>+('Balance Sheet'!L37+'Balance Sheet'!L42)/('Balance Sheet'!L63-'Balance Sheet'!L21-'Balance Sheet'!L22)</f>
        <v>0.53849343469246713</v>
      </c>
    </row>
    <row r="45" spans="1:13" x14ac:dyDescent="0.25">
      <c r="A45" s="1" t="s">
        <v>186</v>
      </c>
      <c r="I45" s="21">
        <f>+'Balance Sheet'!H49/'Balance Sheet'!H63</f>
        <v>3.5241911746296113</v>
      </c>
      <c r="J45" s="21">
        <f>+'Balance Sheet'!I49/'Balance Sheet'!I63</f>
        <v>5.433482439756804</v>
      </c>
      <c r="K45" s="21">
        <f>+'Balance Sheet'!J49/'Balance Sheet'!J63</f>
        <v>4.7586837294332724</v>
      </c>
      <c r="L45" s="21">
        <f>+'Balance Sheet'!K49/'Balance Sheet'!K63</f>
        <v>3.9581507780631515</v>
      </c>
      <c r="M45" s="21">
        <f>+'Balance Sheet'!L49/'Balance Sheet'!L63</f>
        <v>1.2786501687289089</v>
      </c>
    </row>
    <row r="46" spans="1:13" x14ac:dyDescent="0.25">
      <c r="A46" s="1" t="s">
        <v>187</v>
      </c>
      <c r="I46" s="21">
        <f>+'Balance Sheet'!H26/'Balance Sheet'!H63</f>
        <v>4.7684621066962967</v>
      </c>
      <c r="J46" s="21">
        <f>+'Balance Sheet'!I26/'Balance Sheet'!I63</f>
        <v>6.7627414247286328</v>
      </c>
      <c r="K46" s="21">
        <f>+'Balance Sheet'!J26/'Balance Sheet'!J63</f>
        <v>6.041031891123299</v>
      </c>
      <c r="L46" s="21">
        <f>+'Balance Sheet'!K26/'Balance Sheet'!K63</f>
        <v>5.1834113914488595</v>
      </c>
      <c r="M46" s="21">
        <f>+'Balance Sheet'!L26/'Balance Sheet'!L63</f>
        <v>2.3463667041619796</v>
      </c>
    </row>
    <row r="47" spans="1:13" x14ac:dyDescent="0.25">
      <c r="A47" s="1" t="s">
        <v>188</v>
      </c>
      <c r="I47" s="21">
        <f>+('Balance Sheet'!H37+'Balance Sheet'!H42)/'Income Statement'!I30</f>
        <v>-10.256031408277639</v>
      </c>
      <c r="J47" s="21">
        <f>+('Balance Sheet'!I37+'Balance Sheet'!I42)/'Income Statement'!J30</f>
        <v>-6.2571757860799</v>
      </c>
      <c r="K47" s="21">
        <f>+('Balance Sheet'!J37+'Balance Sheet'!J42)/'Income Statement'!K30</f>
        <v>-30.855670103092784</v>
      </c>
      <c r="L47" s="21">
        <f>+('Balance Sheet'!K37+'Balance Sheet'!K42)/'Income Statement'!L30</f>
        <v>-194.47826086956522</v>
      </c>
      <c r="M47" s="21">
        <f>+('Balance Sheet'!L37+'Balance Sheet'!L42)/'Income Statement'!M30</f>
        <v>5.8615847542627888</v>
      </c>
    </row>
    <row r="48" spans="1:13" x14ac:dyDescent="0.25">
      <c r="A48" s="1" t="s">
        <v>199</v>
      </c>
      <c r="I48" s="21">
        <f>+'Income Statement'!I35/'Income Statement'!I30</f>
        <v>1.1183924236521114</v>
      </c>
      <c r="J48" s="21">
        <f>+'Income Statement'!J35/'Income Statement'!J30</f>
        <v>1.3535022051534049</v>
      </c>
      <c r="K48" s="21">
        <f>+'Income Statement'!K35/'Income Statement'!K30</f>
        <v>2.5902061855670104</v>
      </c>
      <c r="L48" s="21">
        <f>+'Income Statement'!L35/'Income Statement'!L30</f>
        <v>9.6376811594202891</v>
      </c>
      <c r="M48" s="21">
        <f>+'Income Statement'!M35/'Income Statement'!M30</f>
        <v>0.5787362086258776</v>
      </c>
    </row>
    <row r="49" spans="1:31" x14ac:dyDescent="0.25">
      <c r="A49" s="1" t="s">
        <v>200</v>
      </c>
      <c r="I49" s="22">
        <f>+('Balance Sheet'!H15-'Balance Sheet'!H13)/'Balance Sheet'!H39</f>
        <v>0.71946771969476597</v>
      </c>
      <c r="J49" s="22">
        <f>+('Balance Sheet'!I15-'Balance Sheet'!I13)/'Balance Sheet'!I39</f>
        <v>0.56119455299055199</v>
      </c>
      <c r="K49" s="22">
        <f>+('Balance Sheet'!J15-'Balance Sheet'!J13)/'Balance Sheet'!J39</f>
        <v>0.519763834684279</v>
      </c>
      <c r="L49" s="22">
        <f>+('Balance Sheet'!K15-'Balance Sheet'!K13)/'Balance Sheet'!K39</f>
        <v>0.80163119902503044</v>
      </c>
      <c r="M49" s="22">
        <f>+('Balance Sheet'!L15-'Balance Sheet'!L13)/'Balance Sheet'!L39</f>
        <v>1.5873104997192589</v>
      </c>
    </row>
    <row r="51" spans="1:31" ht="15.75" x14ac:dyDescent="0.25">
      <c r="A51" s="9" t="s">
        <v>201</v>
      </c>
    </row>
    <row r="52" spans="1:31" x14ac:dyDescent="0.25">
      <c r="A52" s="1" t="s">
        <v>202</v>
      </c>
      <c r="I52" s="21">
        <f>+'Income Statement'!I37/'Balance Sheet'!H63</f>
        <v>-0.16264684947814087</v>
      </c>
      <c r="J52" s="21">
        <f>+'Income Statement'!J37/'Balance Sheet'!I63</f>
        <v>-0.52878216538021661</v>
      </c>
      <c r="K52" s="21">
        <f>+'Income Statement'!K37/'Balance Sheet'!J63</f>
        <v>-0.215925248832013</v>
      </c>
      <c r="L52" s="21">
        <f>+'Income Statement'!L37/'Balance Sheet'!K63</f>
        <v>-0.11708717328901647</v>
      </c>
      <c r="M52" s="21">
        <f>+'Income Statement'!M37/'Balance Sheet'!L63</f>
        <v>3.8785151856017996E-2</v>
      </c>
    </row>
    <row r="53" spans="1:31" x14ac:dyDescent="0.25">
      <c r="A53" s="1" t="s">
        <v>203</v>
      </c>
      <c r="I53" s="21">
        <f>+'Income Statement'!I37/'Balance Sheet'!H26</f>
        <v>-3.4108869031325172E-2</v>
      </c>
      <c r="J53" s="21">
        <f>+'Income Statement'!J37/'Balance Sheet'!I26</f>
        <v>-7.8190504733283525E-2</v>
      </c>
      <c r="K53" s="21">
        <f>+'Income Statement'!K37/'Balance Sheet'!J26</f>
        <v>-3.5743106926698048E-2</v>
      </c>
      <c r="L53" s="21">
        <f>+'Income Statement'!L37/'Balance Sheet'!K26</f>
        <v>-2.2588825089626629E-2</v>
      </c>
      <c r="M53" s="21">
        <f>+'Income Statement'!M37/'Balance Sheet'!L26</f>
        <v>1.6529876505330981E-2</v>
      </c>
    </row>
    <row r="55" spans="1:31" ht="15.75" x14ac:dyDescent="0.25">
      <c r="I55" s="25" t="s">
        <v>204</v>
      </c>
      <c r="J55" s="26"/>
      <c r="K55" s="26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</row>
    <row r="56" spans="1:31" ht="16.5" thickBot="1" x14ac:dyDescent="0.3"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</row>
    <row r="57" spans="1:31" x14ac:dyDescent="0.2">
      <c r="I57" s="28"/>
      <c r="J57" s="28"/>
      <c r="K57" s="28"/>
      <c r="L57" s="28"/>
      <c r="M57" s="28"/>
      <c r="N57" s="28"/>
      <c r="O57" s="28"/>
      <c r="P57" s="28"/>
      <c r="Q57" s="28"/>
      <c r="R57" s="29" t="s">
        <v>202</v>
      </c>
      <c r="S57" s="30"/>
      <c r="T57" s="30"/>
      <c r="U57" s="30"/>
      <c r="V57" s="31"/>
      <c r="W57" s="28"/>
      <c r="X57" s="28"/>
      <c r="Y57" s="28"/>
      <c r="Z57" s="28"/>
      <c r="AA57" s="28"/>
      <c r="AB57" s="28"/>
      <c r="AC57" s="28"/>
      <c r="AD57" s="28"/>
      <c r="AE57" s="28"/>
    </row>
    <row r="58" spans="1:31" x14ac:dyDescent="0.2">
      <c r="I58" s="28"/>
      <c r="J58" s="28"/>
      <c r="K58" s="28"/>
      <c r="L58" s="28"/>
      <c r="M58" s="28"/>
      <c r="N58" s="32"/>
      <c r="O58" s="28"/>
      <c r="P58" s="28"/>
      <c r="Q58" s="28"/>
      <c r="R58" s="55">
        <v>-0.16264684947814087</v>
      </c>
      <c r="S58" s="56">
        <v>-0.52878216538021661</v>
      </c>
      <c r="T58" s="56">
        <v>-0.215925248832013</v>
      </c>
      <c r="U58" s="56">
        <v>-0.11708717328901647</v>
      </c>
      <c r="V58" s="57">
        <v>3.8785151856017996E-2</v>
      </c>
      <c r="W58" s="28"/>
      <c r="X58" s="28"/>
      <c r="Y58" s="28"/>
      <c r="Z58" s="28"/>
      <c r="AA58" s="28"/>
      <c r="AB58" s="28"/>
      <c r="AC58" s="28"/>
      <c r="AD58" s="28"/>
      <c r="AE58" s="28"/>
    </row>
    <row r="59" spans="1:31" ht="15.75" thickBot="1" x14ac:dyDescent="0.25">
      <c r="I59" s="36"/>
      <c r="J59" s="36"/>
      <c r="K59" s="36"/>
      <c r="L59" s="36"/>
      <c r="M59" s="36"/>
      <c r="N59" s="36"/>
      <c r="O59" s="36"/>
      <c r="P59" s="36"/>
      <c r="Q59" s="36"/>
      <c r="R59" s="37"/>
      <c r="S59" s="38"/>
      <c r="T59" s="38"/>
      <c r="U59" s="38"/>
      <c r="V59" s="39"/>
      <c r="W59" s="36"/>
      <c r="X59" s="36"/>
      <c r="Y59" s="36"/>
      <c r="Z59" s="36"/>
      <c r="AA59" s="36"/>
      <c r="AB59" s="36"/>
      <c r="AC59" s="36"/>
      <c r="AD59" s="36"/>
      <c r="AE59" s="36"/>
    </row>
    <row r="60" spans="1:31" x14ac:dyDescent="0.2">
      <c r="I60" s="28"/>
      <c r="J60" s="28"/>
      <c r="K60" s="28"/>
      <c r="L60" s="28"/>
      <c r="M60" s="28"/>
      <c r="N60" s="28"/>
      <c r="O60" s="28"/>
      <c r="P60" s="28"/>
      <c r="Q60" s="40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</row>
    <row r="61" spans="1:31" ht="15.75" thickBot="1" x14ac:dyDescent="0.25"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</row>
    <row r="62" spans="1:31" x14ac:dyDescent="0.2">
      <c r="I62" s="28"/>
      <c r="J62" s="28"/>
      <c r="K62" s="28"/>
      <c r="L62" s="29" t="str">
        <f>+A11</f>
        <v>Net Profit Ratio</v>
      </c>
      <c r="M62" s="30"/>
      <c r="N62" s="30"/>
      <c r="O62" s="30"/>
      <c r="P62" s="31"/>
      <c r="Q62" s="28"/>
      <c r="R62" s="29" t="str">
        <f>+A46</f>
        <v>Total Assets to Equity</v>
      </c>
      <c r="S62" s="30"/>
      <c r="T62" s="30"/>
      <c r="U62" s="30"/>
      <c r="V62" s="31"/>
      <c r="W62" s="28"/>
      <c r="X62" s="29" t="str">
        <f>+A27</f>
        <v>Total Asset Turnover Ratio</v>
      </c>
      <c r="Y62" s="30"/>
      <c r="Z62" s="30"/>
      <c r="AA62" s="30"/>
      <c r="AB62" s="31"/>
      <c r="AC62" s="28"/>
      <c r="AD62" s="28"/>
      <c r="AE62" s="28"/>
    </row>
    <row r="63" spans="1:31" x14ac:dyDescent="0.2">
      <c r="I63" s="28"/>
      <c r="J63" s="28"/>
      <c r="K63" s="28"/>
      <c r="L63" s="59">
        <f>+I11</f>
        <v>-0.11043306040514665</v>
      </c>
      <c r="M63" s="60">
        <f t="shared" ref="M63:P63" si="1">+J11</f>
        <v>-0.19054557750223641</v>
      </c>
      <c r="N63" s="60">
        <f t="shared" si="1"/>
        <v>-4.9531708680862964E-2</v>
      </c>
      <c r="O63" s="60">
        <f t="shared" si="1"/>
        <v>-3.1532264626902111E-2</v>
      </c>
      <c r="P63" s="61">
        <f t="shared" si="1"/>
        <v>2.7333840690005072E-2</v>
      </c>
      <c r="Q63" s="28"/>
      <c r="R63" s="59">
        <f>+I46</f>
        <v>4.7684621066962967</v>
      </c>
      <c r="S63" s="60">
        <f t="shared" ref="S63:V63" si="2">+J46</f>
        <v>6.7627414247286328</v>
      </c>
      <c r="T63" s="60">
        <f t="shared" si="2"/>
        <v>6.041031891123299</v>
      </c>
      <c r="U63" s="60">
        <f t="shared" si="2"/>
        <v>5.1834113914488595</v>
      </c>
      <c r="V63" s="61">
        <f t="shared" si="2"/>
        <v>2.3463667041619796</v>
      </c>
      <c r="W63" s="28"/>
      <c r="X63" s="62">
        <f>+I27</f>
        <v>0.30886465435431826</v>
      </c>
      <c r="Y63" s="63">
        <f t="shared" ref="Y63:AB63" si="3">+J27</f>
        <v>0.4103506665347077</v>
      </c>
      <c r="Z63" s="63">
        <f t="shared" si="3"/>
        <v>0.72162071284465368</v>
      </c>
      <c r="AA63" s="63">
        <f t="shared" si="3"/>
        <v>0.71637179748753976</v>
      </c>
      <c r="AB63" s="64">
        <f t="shared" si="3"/>
        <v>0.60474035437600671</v>
      </c>
      <c r="AC63" s="28"/>
      <c r="AD63" s="28"/>
      <c r="AE63" s="28"/>
    </row>
    <row r="64" spans="1:31" ht="15.75" thickBot="1" x14ac:dyDescent="0.25">
      <c r="I64" s="28"/>
      <c r="J64" s="28"/>
      <c r="K64" s="28"/>
      <c r="L64" s="37"/>
      <c r="M64" s="38"/>
      <c r="N64" s="38"/>
      <c r="O64" s="38"/>
      <c r="P64" s="39"/>
      <c r="Q64" s="28"/>
      <c r="R64" s="41"/>
      <c r="S64" s="42"/>
      <c r="T64" s="42"/>
      <c r="U64" s="42"/>
      <c r="V64" s="43"/>
      <c r="W64" s="28"/>
      <c r="X64" s="41"/>
      <c r="Y64" s="42"/>
      <c r="Z64" s="42"/>
      <c r="AA64" s="42"/>
      <c r="AB64" s="43"/>
      <c r="AC64" s="28"/>
      <c r="AD64" s="28"/>
      <c r="AE64" s="28"/>
    </row>
    <row r="65" spans="9:31" ht="15.75" thickBot="1" x14ac:dyDescent="0.25"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</row>
    <row r="66" spans="9:31" x14ac:dyDescent="0.2">
      <c r="I66" s="44" t="str">
        <f>+A48</f>
        <v>Capital Structure Impact</v>
      </c>
      <c r="J66" s="45"/>
      <c r="K66" s="45"/>
      <c r="L66" s="45"/>
      <c r="M66" s="46"/>
      <c r="N66" s="28"/>
      <c r="O66" s="29" t="str">
        <f>+A13</f>
        <v>Tax Ratio</v>
      </c>
      <c r="P66" s="30"/>
      <c r="Q66" s="30"/>
      <c r="R66" s="30"/>
      <c r="S66" s="31"/>
      <c r="T66" s="28"/>
      <c r="U66" s="29" t="str">
        <f>+A37</f>
        <v>PP&amp;E ratio</v>
      </c>
      <c r="V66" s="30"/>
      <c r="W66" s="30"/>
      <c r="X66" s="30"/>
      <c r="Y66" s="31"/>
      <c r="Z66" s="28"/>
      <c r="AA66" s="29">
        <f>J37</f>
        <v>1.1726477388930185</v>
      </c>
      <c r="AB66" s="30"/>
      <c r="AC66" s="30"/>
      <c r="AD66" s="30"/>
      <c r="AE66" s="31"/>
    </row>
    <row r="67" spans="9:31" x14ac:dyDescent="0.2">
      <c r="I67" s="59">
        <f>+I48</f>
        <v>1.1183924236521114</v>
      </c>
      <c r="J67" s="60">
        <f t="shared" ref="J67:M67" si="4">+J48</f>
        <v>1.3535022051534049</v>
      </c>
      <c r="K67" s="60">
        <f t="shared" si="4"/>
        <v>2.5902061855670104</v>
      </c>
      <c r="L67" s="60">
        <f t="shared" si="4"/>
        <v>9.6376811594202891</v>
      </c>
      <c r="M67" s="61">
        <f t="shared" si="4"/>
        <v>0.5787362086258776</v>
      </c>
      <c r="N67" s="28"/>
      <c r="O67" s="58">
        <f>+I13</f>
        <v>-3.5771516772336767E-2</v>
      </c>
      <c r="P67" s="65">
        <f t="shared" ref="P67:S67" si="5">+J13</f>
        <v>-1.4280463116876533E-2</v>
      </c>
      <c r="Q67" s="65">
        <f t="shared" si="5"/>
        <v>-5.7711442786069649E-2</v>
      </c>
      <c r="R67" s="65">
        <f t="shared" si="5"/>
        <v>-0.16541353383458646</v>
      </c>
      <c r="S67" s="66">
        <f t="shared" si="5"/>
        <v>0.2530329289428076</v>
      </c>
      <c r="T67" s="28"/>
      <c r="U67" s="62">
        <f>+I37</f>
        <v>1.170012085996941</v>
      </c>
      <c r="V67" s="63">
        <f t="shared" ref="V67:Y67" si="6">+J37</f>
        <v>1.1726477388930185</v>
      </c>
      <c r="W67" s="63">
        <f t="shared" si="6"/>
        <v>1.8941747572815535</v>
      </c>
      <c r="X67" s="63">
        <f t="shared" si="6"/>
        <v>2.3641785302039247</v>
      </c>
      <c r="Y67" s="64">
        <f t="shared" si="6"/>
        <v>2.4739938809131559</v>
      </c>
      <c r="Z67" s="28"/>
      <c r="AA67" s="33">
        <f>X63</f>
        <v>0.30886465435431826</v>
      </c>
      <c r="AB67" s="34">
        <f>Y63</f>
        <v>0.4103506665347077</v>
      </c>
      <c r="AC67" s="34">
        <f>Z63</f>
        <v>0.72162071284465368</v>
      </c>
      <c r="AD67" s="34">
        <f>AA63</f>
        <v>0.71637179748753976</v>
      </c>
      <c r="AE67" s="35">
        <f>AB63</f>
        <v>0.60474035437600671</v>
      </c>
    </row>
    <row r="68" spans="9:31" ht="15.75" thickBot="1" x14ac:dyDescent="0.25">
      <c r="I68" s="41"/>
      <c r="J68" s="42"/>
      <c r="K68" s="42"/>
      <c r="L68" s="42"/>
      <c r="M68" s="43"/>
      <c r="N68" s="28"/>
      <c r="O68" s="37"/>
      <c r="P68" s="38"/>
      <c r="Q68" s="38"/>
      <c r="R68" s="38"/>
      <c r="S68" s="39"/>
      <c r="T68" s="28"/>
      <c r="U68" s="41"/>
      <c r="V68" s="42"/>
      <c r="W68" s="42"/>
      <c r="X68" s="42"/>
      <c r="Y68" s="43"/>
      <c r="Z68" s="28"/>
      <c r="AA68" s="41"/>
      <c r="AB68" s="42"/>
      <c r="AC68" s="42"/>
      <c r="AD68" s="42"/>
      <c r="AE68" s="43"/>
    </row>
    <row r="69" spans="9:31" ht="15.75" thickBot="1" x14ac:dyDescent="0.25"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</row>
    <row r="70" spans="9:31" x14ac:dyDescent="0.2">
      <c r="I70" s="28"/>
      <c r="J70" s="28"/>
      <c r="K70" s="28"/>
      <c r="L70" s="29">
        <f>J7</f>
        <v>2017</v>
      </c>
      <c r="M70" s="30"/>
      <c r="N70" s="30"/>
      <c r="O70" s="30"/>
      <c r="P70" s="31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</row>
    <row r="71" spans="9:31" x14ac:dyDescent="0.2">
      <c r="I71" s="28"/>
      <c r="J71" s="28"/>
      <c r="K71" s="28"/>
      <c r="L71" s="33">
        <f>R58</f>
        <v>-0.16264684947814087</v>
      </c>
      <c r="M71" s="34">
        <f>S58</f>
        <v>-0.52878216538021661</v>
      </c>
      <c r="N71" s="34">
        <f>T58</f>
        <v>-0.215925248832013</v>
      </c>
      <c r="O71" s="34">
        <f>U58</f>
        <v>-0.11708717328901647</v>
      </c>
      <c r="P71" s="35">
        <f>V58</f>
        <v>3.8785151856017996E-2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</row>
    <row r="72" spans="9:31" ht="15.75" thickBot="1" x14ac:dyDescent="0.25">
      <c r="I72" s="28"/>
      <c r="J72" s="28"/>
      <c r="K72" s="28"/>
      <c r="L72" s="37"/>
      <c r="M72" s="38"/>
      <c r="N72" s="38"/>
      <c r="O72" s="38"/>
      <c r="P72" s="39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</row>
    <row r="73" spans="9:31" ht="15.75" thickBot="1" x14ac:dyDescent="0.25"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</row>
    <row r="74" spans="9:31" x14ac:dyDescent="0.2">
      <c r="I74" s="29" t="str">
        <f>J6</f>
        <v>December 31,</v>
      </c>
      <c r="J74" s="30"/>
      <c r="K74" s="30"/>
      <c r="L74" s="30"/>
      <c r="M74" s="31"/>
      <c r="N74" s="28"/>
      <c r="O74" s="29">
        <f>J13</f>
        <v>-1.4280463116876533E-2</v>
      </c>
      <c r="P74" s="30"/>
      <c r="Q74" s="30"/>
      <c r="R74" s="30"/>
      <c r="S74" s="31"/>
      <c r="T74" s="28"/>
      <c r="U74" s="29">
        <f>J34</f>
        <v>15.997793047918099</v>
      </c>
      <c r="V74" s="30"/>
      <c r="W74" s="30"/>
      <c r="X74" s="30"/>
      <c r="Y74" s="31"/>
      <c r="Z74" s="28"/>
      <c r="AA74" s="29">
        <f>J30</f>
        <v>0</v>
      </c>
      <c r="AB74" s="30"/>
      <c r="AC74" s="30"/>
      <c r="AD74" s="30"/>
      <c r="AE74" s="31"/>
    </row>
    <row r="75" spans="9:31" x14ac:dyDescent="0.2">
      <c r="I75" s="33">
        <f>L63</f>
        <v>-0.11043306040514665</v>
      </c>
      <c r="J75" s="34">
        <f>M63</f>
        <v>-0.19054557750223641</v>
      </c>
      <c r="K75" s="34">
        <f>N63</f>
        <v>-4.9531708680862964E-2</v>
      </c>
      <c r="L75" s="34">
        <f>O63</f>
        <v>-3.1532264626902111E-2</v>
      </c>
      <c r="M75" s="35">
        <f>P63</f>
        <v>2.7333840690005072E-2</v>
      </c>
      <c r="N75" s="28"/>
      <c r="O75" s="33">
        <f>L63</f>
        <v>-0.11043306040514665</v>
      </c>
      <c r="P75" s="34">
        <f>M63</f>
        <v>-0.19054557750223641</v>
      </c>
      <c r="Q75" s="34">
        <f>N63</f>
        <v>-4.9531708680862964E-2</v>
      </c>
      <c r="R75" s="34">
        <f>O63</f>
        <v>-3.1532264626902111E-2</v>
      </c>
      <c r="S75" s="35">
        <f>P63</f>
        <v>2.7333840690005072E-2</v>
      </c>
      <c r="T75" s="28"/>
      <c r="U75" s="33">
        <f>X79</f>
        <v>0.30886465435431826</v>
      </c>
      <c r="V75" s="34">
        <f>Y79</f>
        <v>0.4103506665347077</v>
      </c>
      <c r="W75" s="34">
        <f>Z79</f>
        <v>0.72162071284465368</v>
      </c>
      <c r="X75" s="34">
        <f>AA79</f>
        <v>0.71637179748753976</v>
      </c>
      <c r="Y75" s="35">
        <f>AB79</f>
        <v>0.60474035437600671</v>
      </c>
      <c r="Z75" s="28"/>
      <c r="AA75" s="33">
        <f>X63</f>
        <v>0.30886465435431826</v>
      </c>
      <c r="AB75" s="34">
        <f>Y63</f>
        <v>0.4103506665347077</v>
      </c>
      <c r="AC75" s="34">
        <f>Z63</f>
        <v>0.72162071284465368</v>
      </c>
      <c r="AD75" s="34">
        <f>AA63</f>
        <v>0.71637179748753976</v>
      </c>
      <c r="AE75" s="35">
        <f>AB63</f>
        <v>0.60474035437600671</v>
      </c>
    </row>
    <row r="76" spans="9:31" ht="15.75" thickBot="1" x14ac:dyDescent="0.25">
      <c r="I76" s="37"/>
      <c r="J76" s="38"/>
      <c r="K76" s="38"/>
      <c r="L76" s="38"/>
      <c r="M76" s="39"/>
      <c r="N76" s="28"/>
      <c r="O76" s="37"/>
      <c r="P76" s="38"/>
      <c r="Q76" s="38"/>
      <c r="R76" s="38"/>
      <c r="S76" s="39"/>
      <c r="T76" s="28"/>
      <c r="U76" s="41"/>
      <c r="V76" s="42"/>
      <c r="W76" s="42"/>
      <c r="X76" s="42"/>
      <c r="Y76" s="43"/>
      <c r="Z76" s="28"/>
      <c r="AA76" s="41"/>
      <c r="AB76" s="42"/>
      <c r="AC76" s="42"/>
      <c r="AD76" s="42"/>
      <c r="AE76" s="43"/>
    </row>
    <row r="77" spans="9:31" ht="15.75" thickBot="1" x14ac:dyDescent="0.25"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</row>
    <row r="78" spans="9:31" x14ac:dyDescent="0.25">
      <c r="I78" s="29">
        <f>J15</f>
        <v>0</v>
      </c>
      <c r="J78" s="30"/>
      <c r="K78" s="30"/>
      <c r="L78" s="30"/>
      <c r="M78" s="31"/>
      <c r="N78" s="28"/>
      <c r="O78" s="29">
        <f>J14</f>
        <v>3.4632463252691195</v>
      </c>
      <c r="P78" s="30"/>
      <c r="Q78" s="30"/>
      <c r="R78" s="30"/>
      <c r="S78" s="31"/>
      <c r="T78" s="28"/>
      <c r="U78"/>
      <c r="V78"/>
      <c r="W78"/>
      <c r="X78" s="29">
        <f>J32</f>
        <v>86.636758902647827</v>
      </c>
      <c r="Y78" s="30"/>
      <c r="Z78" s="30"/>
      <c r="AA78" s="30"/>
      <c r="AB78" s="31"/>
      <c r="AC78" s="28"/>
      <c r="AD78" s="28"/>
      <c r="AE78" s="28"/>
    </row>
    <row r="79" spans="9:31" x14ac:dyDescent="0.25">
      <c r="I79" s="33">
        <f>O79</f>
        <v>-0.11043306040514665</v>
      </c>
      <c r="J79" s="34">
        <f>P79</f>
        <v>-0.19054557750223641</v>
      </c>
      <c r="K79" s="34">
        <f>Q79</f>
        <v>-4.9531708680862964E-2</v>
      </c>
      <c r="L79" s="34">
        <f>R79</f>
        <v>-3.1532264626902111E-2</v>
      </c>
      <c r="M79" s="35">
        <f>S79</f>
        <v>2.7333840690005072E-2</v>
      </c>
      <c r="N79" s="28"/>
      <c r="O79" s="33">
        <f>L63</f>
        <v>-0.11043306040514665</v>
      </c>
      <c r="P79" s="34">
        <f>M63</f>
        <v>-0.19054557750223641</v>
      </c>
      <c r="Q79" s="34">
        <f>N63</f>
        <v>-4.9531708680862964E-2</v>
      </c>
      <c r="R79" s="34">
        <f>O63</f>
        <v>-3.1532264626902111E-2</v>
      </c>
      <c r="S79" s="35">
        <f>P63</f>
        <v>2.7333840690005072E-2</v>
      </c>
      <c r="T79" s="28"/>
      <c r="U79"/>
      <c r="V79"/>
      <c r="W79"/>
      <c r="X79" s="33">
        <f>AA75</f>
        <v>0.30886465435431826</v>
      </c>
      <c r="Y79" s="34">
        <f>AB75</f>
        <v>0.4103506665347077</v>
      </c>
      <c r="Z79" s="34">
        <f>AC75</f>
        <v>0.72162071284465368</v>
      </c>
      <c r="AA79" s="34">
        <f>AD75</f>
        <v>0.71637179748753976</v>
      </c>
      <c r="AB79" s="35">
        <f>AE75</f>
        <v>0.60474035437600671</v>
      </c>
      <c r="AC79" s="28"/>
      <c r="AD79" s="28"/>
      <c r="AE79" s="28"/>
    </row>
    <row r="80" spans="9:31" ht="15.75" thickBot="1" x14ac:dyDescent="0.3">
      <c r="I80" s="37"/>
      <c r="J80" s="38"/>
      <c r="K80" s="38"/>
      <c r="L80" s="38"/>
      <c r="M80" s="39"/>
      <c r="N80" s="28"/>
      <c r="O80" s="37"/>
      <c r="P80" s="38"/>
      <c r="Q80" s="38"/>
      <c r="R80" s="38"/>
      <c r="S80" s="39"/>
      <c r="T80" s="28"/>
      <c r="U80"/>
      <c r="V80"/>
      <c r="W80"/>
      <c r="X80" s="41"/>
      <c r="Y80" s="42"/>
      <c r="Z80" s="42"/>
      <c r="AA80" s="42"/>
      <c r="AB80" s="43"/>
      <c r="AC80" s="28"/>
      <c r="AD80" s="28"/>
      <c r="AE80" s="28"/>
    </row>
    <row r="81" spans="9:31" ht="15.75" thickBot="1" x14ac:dyDescent="0.25"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</row>
    <row r="82" spans="9:31" x14ac:dyDescent="0.2">
      <c r="I82" s="29">
        <f>J17</f>
        <v>1378073</v>
      </c>
      <c r="J82" s="30"/>
      <c r="K82" s="30"/>
      <c r="L82" s="30"/>
      <c r="M82" s="31"/>
      <c r="N82" s="28"/>
      <c r="O82" s="29">
        <f>J16</f>
        <v>2476500</v>
      </c>
      <c r="P82" s="30"/>
      <c r="Q82" s="30"/>
      <c r="R82" s="30"/>
      <c r="S82" s="31"/>
      <c r="T82" s="28"/>
      <c r="U82" s="28"/>
      <c r="V82" s="28"/>
      <c r="W82" s="28"/>
      <c r="X82" s="29">
        <f>J38</f>
        <v>30.253972542118209</v>
      </c>
      <c r="Y82" s="30"/>
      <c r="Z82" s="30"/>
      <c r="AA82" s="30"/>
      <c r="AB82" s="31"/>
      <c r="AC82" s="28"/>
      <c r="AD82" s="28"/>
      <c r="AE82" s="28"/>
    </row>
    <row r="83" spans="9:31" x14ac:dyDescent="0.2">
      <c r="I83" s="33">
        <f>R58</f>
        <v>-0.16264684947814087</v>
      </c>
      <c r="J83" s="34">
        <f>S58</f>
        <v>-0.52878216538021661</v>
      </c>
      <c r="K83" s="34">
        <f>T58</f>
        <v>-0.215925248832013</v>
      </c>
      <c r="L83" s="34">
        <f>U58</f>
        <v>-0.11708717328901647</v>
      </c>
      <c r="M83" s="35">
        <f>V58</f>
        <v>3.8785151856017996E-2</v>
      </c>
      <c r="N83" s="28"/>
      <c r="O83" s="33">
        <f>L63</f>
        <v>-0.11043306040514665</v>
      </c>
      <c r="P83" s="34">
        <f>M63</f>
        <v>-0.19054557750223641</v>
      </c>
      <c r="Q83" s="34">
        <f>N63</f>
        <v>-4.9531708680862964E-2</v>
      </c>
      <c r="R83" s="34">
        <f>O63</f>
        <v>-3.1532264626902111E-2</v>
      </c>
      <c r="S83" s="35">
        <f>P63</f>
        <v>2.7333840690005072E-2</v>
      </c>
      <c r="T83" s="28"/>
      <c r="U83" s="28"/>
      <c r="V83" s="28"/>
      <c r="W83" s="28"/>
      <c r="X83" s="33">
        <f>+X79</f>
        <v>0.30886465435431826</v>
      </c>
      <c r="Y83" s="34">
        <f>+Y79</f>
        <v>0.4103506665347077</v>
      </c>
      <c r="Z83" s="34">
        <f>+Z79</f>
        <v>0.72162071284465368</v>
      </c>
      <c r="AA83" s="34">
        <f>+AA79</f>
        <v>0.71637179748753976</v>
      </c>
      <c r="AB83" s="35">
        <f>+AB79</f>
        <v>0.60474035437600671</v>
      </c>
      <c r="AC83" s="28"/>
      <c r="AD83" s="28"/>
      <c r="AE83" s="28"/>
    </row>
    <row r="84" spans="9:31" ht="15.75" thickBot="1" x14ac:dyDescent="0.25">
      <c r="I84" s="37"/>
      <c r="J84" s="38"/>
      <c r="K84" s="38"/>
      <c r="L84" s="38"/>
      <c r="M84" s="39"/>
      <c r="N84" s="28"/>
      <c r="O84" s="37"/>
      <c r="P84" s="38"/>
      <c r="Q84" s="38"/>
      <c r="R84" s="38"/>
      <c r="S84" s="39"/>
      <c r="T84" s="28"/>
      <c r="U84" s="28"/>
      <c r="V84" s="28"/>
      <c r="W84" s="28"/>
      <c r="X84" s="41"/>
      <c r="Y84" s="42"/>
      <c r="Z84" s="42"/>
      <c r="AA84" s="42"/>
      <c r="AB84" s="43"/>
      <c r="AC84" s="28"/>
      <c r="AD84" s="28"/>
      <c r="AE84" s="28"/>
    </row>
    <row r="85" spans="9:31" ht="16.5" thickBot="1" x14ac:dyDescent="0.3"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</row>
    <row r="86" spans="9:31" ht="15.75" x14ac:dyDescent="0.25">
      <c r="I86" s="29">
        <f>J18</f>
        <v>1636003</v>
      </c>
      <c r="J86" s="30"/>
      <c r="K86" s="30"/>
      <c r="L86" s="30"/>
      <c r="M86" s="31"/>
      <c r="N86" s="24"/>
      <c r="O86" s="29">
        <f>J19</f>
        <v>466760</v>
      </c>
      <c r="P86" s="30"/>
      <c r="Q86" s="30"/>
      <c r="R86" s="30"/>
      <c r="S86" s="31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</row>
    <row r="87" spans="9:31" ht="15.75" x14ac:dyDescent="0.25">
      <c r="I87" s="33">
        <f>R58</f>
        <v>-0.16264684947814087</v>
      </c>
      <c r="J87" s="34">
        <f t="shared" ref="J87:M87" si="7">S58</f>
        <v>-0.52878216538021661</v>
      </c>
      <c r="K87" s="34">
        <f t="shared" si="7"/>
        <v>-0.215925248832013</v>
      </c>
      <c r="L87" s="34">
        <f t="shared" si="7"/>
        <v>-0.11708717328901647</v>
      </c>
      <c r="M87" s="35">
        <f t="shared" si="7"/>
        <v>3.8785151856017996E-2</v>
      </c>
      <c r="N87" s="24"/>
      <c r="O87" s="33">
        <f>R58</f>
        <v>-0.16264684947814087</v>
      </c>
      <c r="P87" s="34">
        <f t="shared" ref="P87:S87" si="8">S58</f>
        <v>-0.52878216538021661</v>
      </c>
      <c r="Q87" s="34">
        <f t="shared" si="8"/>
        <v>-0.215925248832013</v>
      </c>
      <c r="R87" s="34">
        <f t="shared" si="8"/>
        <v>-0.11708717328901647</v>
      </c>
      <c r="S87" s="35">
        <f t="shared" si="8"/>
        <v>3.8785151856017996E-2</v>
      </c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</row>
    <row r="88" spans="9:31" ht="16.5" thickBot="1" x14ac:dyDescent="0.3">
      <c r="I88" s="37"/>
      <c r="J88" s="38"/>
      <c r="K88" s="38"/>
      <c r="L88" s="38"/>
      <c r="M88" s="39"/>
      <c r="N88" s="24"/>
      <c r="O88" s="37"/>
      <c r="P88" s="38"/>
      <c r="Q88" s="38"/>
      <c r="R88" s="38"/>
      <c r="S88" s="39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</row>
    <row r="89" spans="9:31" ht="15.75" x14ac:dyDescent="0.25"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</row>
    <row r="90" spans="9:31" ht="16.5" thickBot="1" x14ac:dyDescent="0.3"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</row>
    <row r="91" spans="9:31" ht="15.75" x14ac:dyDescent="0.25">
      <c r="I91" s="29" t="s">
        <v>205</v>
      </c>
      <c r="J91" s="30"/>
      <c r="K91" s="30"/>
      <c r="L91" s="30"/>
      <c r="M91" s="30"/>
      <c r="N91" s="30"/>
      <c r="O91" s="30"/>
      <c r="P91" s="31"/>
      <c r="Q91" s="24"/>
      <c r="R91" s="29" t="s">
        <v>206</v>
      </c>
      <c r="S91" s="30"/>
      <c r="T91" s="30"/>
      <c r="U91" s="30"/>
      <c r="V91" s="30"/>
      <c r="W91" s="30"/>
      <c r="X91" s="30"/>
      <c r="Y91" s="31"/>
      <c r="Z91" s="24"/>
      <c r="AA91" s="24"/>
      <c r="AB91" s="24"/>
      <c r="AC91" s="24"/>
      <c r="AD91" s="24"/>
      <c r="AE91" s="24"/>
    </row>
    <row r="92" spans="9:31" ht="15.75" x14ac:dyDescent="0.25">
      <c r="I92" s="47"/>
      <c r="J92" s="28"/>
      <c r="K92" s="28"/>
      <c r="L92" s="34">
        <f>R58</f>
        <v>-0.16264684947814087</v>
      </c>
      <c r="M92" s="34">
        <f>S58</f>
        <v>-0.52878216538021661</v>
      </c>
      <c r="N92" s="34">
        <f>T58</f>
        <v>-0.215925248832013</v>
      </c>
      <c r="O92" s="34">
        <f>U58</f>
        <v>-0.11708717328901647</v>
      </c>
      <c r="P92" s="35">
        <f>V58</f>
        <v>3.8785151856017996E-2</v>
      </c>
      <c r="Q92" s="24"/>
      <c r="R92" s="47"/>
      <c r="S92" s="28"/>
      <c r="T92" s="28"/>
      <c r="U92" s="34">
        <f>L92</f>
        <v>-0.16264684947814087</v>
      </c>
      <c r="V92" s="34">
        <f>M92</f>
        <v>-0.52878216538021661</v>
      </c>
      <c r="W92" s="34">
        <f>N92</f>
        <v>-0.215925248832013</v>
      </c>
      <c r="X92" s="34">
        <f>O92</f>
        <v>-0.11708717328901647</v>
      </c>
      <c r="Y92" s="35">
        <f>P92</f>
        <v>3.8785151856017996E-2</v>
      </c>
      <c r="Z92" s="24"/>
      <c r="AA92" s="24"/>
      <c r="AB92" s="24"/>
      <c r="AC92" s="24"/>
      <c r="AD92" s="24"/>
      <c r="AE92" s="24"/>
    </row>
    <row r="93" spans="9:31" ht="15.75" x14ac:dyDescent="0.25">
      <c r="I93" s="48" t="s">
        <v>207</v>
      </c>
      <c r="J93" s="40"/>
      <c r="K93" s="40"/>
      <c r="L93" s="49"/>
      <c r="M93" s="49"/>
      <c r="N93" s="49"/>
      <c r="O93" s="49"/>
      <c r="P93" s="50"/>
      <c r="Q93" s="24"/>
      <c r="R93" s="48" t="s">
        <v>173</v>
      </c>
      <c r="S93" s="40"/>
      <c r="T93" s="40"/>
      <c r="U93" s="49"/>
      <c r="V93" s="49"/>
      <c r="W93" s="49"/>
      <c r="X93" s="49"/>
      <c r="Y93" s="50"/>
      <c r="Z93" s="24"/>
      <c r="AA93" s="24"/>
      <c r="AB93" s="24"/>
      <c r="AC93" s="24"/>
      <c r="AD93" s="24"/>
      <c r="AE93" s="24"/>
    </row>
    <row r="94" spans="9:31" ht="16.5" thickBot="1" x14ac:dyDescent="0.3">
      <c r="I94" s="51" t="s">
        <v>183</v>
      </c>
      <c r="J94" s="52"/>
      <c r="K94" s="52"/>
      <c r="L94" s="53"/>
      <c r="M94" s="53"/>
      <c r="N94" s="53"/>
      <c r="O94" s="53"/>
      <c r="P94" s="54"/>
      <c r="Q94" s="24"/>
      <c r="R94" s="51" t="s">
        <v>172</v>
      </c>
      <c r="S94" s="52"/>
      <c r="T94" s="52"/>
      <c r="U94" s="53"/>
      <c r="V94" s="53"/>
      <c r="W94" s="53"/>
      <c r="X94" s="53"/>
      <c r="Y94" s="54"/>
      <c r="Z94" s="24"/>
      <c r="AA94" s="24"/>
      <c r="AB94" s="24"/>
      <c r="AC94" s="24"/>
      <c r="AD94" s="24"/>
      <c r="AE94" s="24"/>
    </row>
    <row r="95" spans="9:31" ht="15.75" x14ac:dyDescent="0.25">
      <c r="I95" s="28"/>
      <c r="J95" s="28"/>
      <c r="K95" s="28"/>
      <c r="L95" s="28"/>
      <c r="M95" s="28"/>
      <c r="N95" s="28"/>
      <c r="O95" s="28"/>
      <c r="P95" s="28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Balance Sheet</vt:lpstr>
      <vt:lpstr>Income Statement</vt:lpstr>
      <vt:lpstr>Cash Flow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Vieira</dc:creator>
  <cp:lastModifiedBy>Tiago Vieira</cp:lastModifiedBy>
  <dcterms:created xsi:type="dcterms:W3CDTF">2015-06-05T18:19:34Z</dcterms:created>
  <dcterms:modified xsi:type="dcterms:W3CDTF">2021-03-25T23:56:22Z</dcterms:modified>
</cp:coreProperties>
</file>