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2530" documentId="11_AD4DF034E34935FBC521DC2C77996C245ADEDD8E" xr6:coauthVersionLast="45" xr6:coauthVersionMax="45" xr10:uidLastSave="{7A1D776B-BEA7-4610-B5BC-56EC577420CB}"/>
  <bookViews>
    <workbookView xWindow="-120" yWindow="-120" windowWidth="27870" windowHeight="16440" xr2:uid="{00000000-000D-0000-FFFF-FFFF00000000}"/>
  </bookViews>
  <sheets>
    <sheet name="Balance Sheet" sheetId="1" r:id="rId1"/>
    <sheet name="Income Statement" sheetId="2" r:id="rId2"/>
    <sheet name="Cash Flow" sheetId="3" r:id="rId3"/>
    <sheet name="Ratios" sheetId="4" r:id="rId4"/>
    <sheet name="Pyramid Ratio Analysis" sheetId="7" r:id="rId5"/>
  </sheets>
  <definedNames>
    <definedName name="_xlnm._FilterDatabase" localSheetId="2" hidden="1">'Cash Flow'!$A$6:$M$6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7" l="1"/>
  <c r="R22" i="7" s="1"/>
  <c r="E74" i="7"/>
  <c r="Q22" i="7" s="1"/>
  <c r="D74" i="7"/>
  <c r="P22" i="7" s="1"/>
  <c r="C74" i="7"/>
  <c r="O22" i="7" s="1"/>
  <c r="F73" i="7"/>
  <c r="E73" i="7"/>
  <c r="D73" i="7"/>
  <c r="C73" i="7"/>
  <c r="F72" i="7"/>
  <c r="U26" i="7" s="1"/>
  <c r="E72" i="7"/>
  <c r="T26" i="7" s="1"/>
  <c r="D72" i="7"/>
  <c r="S26" i="7" s="1"/>
  <c r="C72" i="7"/>
  <c r="R26" i="7" s="1"/>
  <c r="B74" i="7"/>
  <c r="N22" i="7" s="1"/>
  <c r="B72" i="7"/>
  <c r="Q26" i="7" s="1"/>
  <c r="L34" i="7"/>
  <c r="K34" i="7"/>
  <c r="J34" i="7"/>
  <c r="I34" i="7"/>
  <c r="H34" i="7"/>
  <c r="J22" i="7"/>
  <c r="F22" i="7"/>
  <c r="O4" i="7"/>
  <c r="R38" i="7" s="1"/>
  <c r="N4" i="7"/>
  <c r="Q38" i="7" s="1"/>
  <c r="M4" i="7"/>
  <c r="G38" i="7" s="1"/>
  <c r="L4" i="7"/>
  <c r="I33" i="7" s="1"/>
  <c r="K4" i="7"/>
  <c r="Q29" i="7" s="1"/>
  <c r="H38" i="7"/>
  <c r="L33" i="7"/>
  <c r="K33" i="7"/>
  <c r="F33" i="7"/>
  <c r="E33" i="7"/>
  <c r="D33" i="7"/>
  <c r="C33" i="7"/>
  <c r="U29" i="7"/>
  <c r="T29" i="7"/>
  <c r="L29" i="7"/>
  <c r="K29" i="7"/>
  <c r="F29" i="7"/>
  <c r="E29" i="7"/>
  <c r="T25" i="7"/>
  <c r="S25" i="7"/>
  <c r="R25" i="7"/>
  <c r="L25" i="7"/>
  <c r="F25" i="7"/>
  <c r="E25" i="7"/>
  <c r="X21" i="7"/>
  <c r="V21" i="7"/>
  <c r="R21" i="7"/>
  <c r="Q21" i="7"/>
  <c r="L21" i="7"/>
  <c r="F21" i="7"/>
  <c r="E21" i="7"/>
  <c r="I17" i="7"/>
  <c r="G17" i="7"/>
  <c r="X13" i="7"/>
  <c r="W13" i="7"/>
  <c r="V13" i="7"/>
  <c r="U13" i="7"/>
  <c r="R13" i="7"/>
  <c r="L13" i="7"/>
  <c r="K13" i="7"/>
  <c r="J13" i="7"/>
  <c r="F13" i="7"/>
  <c r="E13" i="7"/>
  <c r="H12" i="7"/>
  <c r="B12" i="7"/>
  <c r="U9" i="7"/>
  <c r="T9" i="7"/>
  <c r="O9" i="7"/>
  <c r="N9" i="7"/>
  <c r="M9" i="7"/>
  <c r="I9" i="7"/>
  <c r="H9" i="7"/>
  <c r="Q8" i="7"/>
  <c r="K8" i="7"/>
  <c r="E8" i="7"/>
  <c r="F88" i="7"/>
  <c r="F14" i="7" s="1"/>
  <c r="E88" i="7"/>
  <c r="E14" i="7" s="1"/>
  <c r="D88" i="7"/>
  <c r="D14" i="7" s="1"/>
  <c r="C88" i="7"/>
  <c r="C14" i="7" s="1"/>
  <c r="B88" i="7"/>
  <c r="B14" i="7" s="1"/>
  <c r="F87" i="7"/>
  <c r="E87" i="7"/>
  <c r="D87" i="7"/>
  <c r="C87" i="7"/>
  <c r="B87" i="7"/>
  <c r="F79" i="7"/>
  <c r="U30" i="7" s="1"/>
  <c r="E79" i="7"/>
  <c r="T30" i="7" s="1"/>
  <c r="D79" i="7"/>
  <c r="S30" i="7" s="1"/>
  <c r="C79" i="7"/>
  <c r="R30" i="7" s="1"/>
  <c r="B79" i="7"/>
  <c r="Q30" i="7" s="1"/>
  <c r="F78" i="7"/>
  <c r="X14" i="7" s="1"/>
  <c r="E78" i="7"/>
  <c r="W14" i="7" s="1"/>
  <c r="D78" i="7"/>
  <c r="V14" i="7" s="1"/>
  <c r="C78" i="7"/>
  <c r="U14" i="7" s="1"/>
  <c r="B78" i="7"/>
  <c r="T14" i="7" s="1"/>
  <c r="F77" i="7"/>
  <c r="R14" i="7" s="1"/>
  <c r="E77" i="7"/>
  <c r="Q14" i="7" s="1"/>
  <c r="D77" i="7"/>
  <c r="P14" i="7" s="1"/>
  <c r="C77" i="7"/>
  <c r="O14" i="7" s="1"/>
  <c r="B77" i="7"/>
  <c r="N14" i="7" s="1"/>
  <c r="F75" i="7"/>
  <c r="E75" i="7"/>
  <c r="D75" i="7"/>
  <c r="C75" i="7"/>
  <c r="B75" i="7"/>
  <c r="B73" i="7"/>
  <c r="F70" i="7"/>
  <c r="E70" i="7"/>
  <c r="D70" i="7"/>
  <c r="C70" i="7"/>
  <c r="B70" i="7"/>
  <c r="F69" i="7"/>
  <c r="X22" i="7" s="1"/>
  <c r="E69" i="7"/>
  <c r="W22" i="7" s="1"/>
  <c r="D69" i="7"/>
  <c r="V22" i="7" s="1"/>
  <c r="C69" i="7"/>
  <c r="U22" i="7" s="1"/>
  <c r="B69" i="7"/>
  <c r="T22" i="7" s="1"/>
  <c r="F59" i="7"/>
  <c r="F34" i="7" s="1"/>
  <c r="E59" i="7"/>
  <c r="E34" i="7" s="1"/>
  <c r="D59" i="7"/>
  <c r="D34" i="7" s="1"/>
  <c r="C59" i="7"/>
  <c r="C34" i="7" s="1"/>
  <c r="B59" i="7"/>
  <c r="B34" i="7" s="1"/>
  <c r="F58" i="7"/>
  <c r="F30" i="7" s="1"/>
  <c r="E58" i="7"/>
  <c r="E30" i="7" s="1"/>
  <c r="D58" i="7"/>
  <c r="D30" i="7" s="1"/>
  <c r="C58" i="7"/>
  <c r="C30" i="7" s="1"/>
  <c r="B58" i="7"/>
  <c r="B30" i="7" s="1"/>
  <c r="F57" i="7"/>
  <c r="L30" i="7" s="1"/>
  <c r="E57" i="7"/>
  <c r="K30" i="7" s="1"/>
  <c r="D57" i="7"/>
  <c r="J30" i="7" s="1"/>
  <c r="C57" i="7"/>
  <c r="I30" i="7" s="1"/>
  <c r="B57" i="7"/>
  <c r="H30" i="7" s="1"/>
  <c r="F56" i="7"/>
  <c r="F26" i="7" s="1"/>
  <c r="E56" i="7"/>
  <c r="E26" i="7" s="1"/>
  <c r="D56" i="7"/>
  <c r="D26" i="7" s="1"/>
  <c r="C56" i="7"/>
  <c r="C26" i="7" s="1"/>
  <c r="B56" i="7"/>
  <c r="B26" i="7" s="1"/>
  <c r="F55" i="7"/>
  <c r="L26" i="7" s="1"/>
  <c r="E55" i="7"/>
  <c r="K26" i="7" s="1"/>
  <c r="D55" i="7"/>
  <c r="J26" i="7" s="1"/>
  <c r="C55" i="7"/>
  <c r="I26" i="7" s="1"/>
  <c r="B55" i="7"/>
  <c r="H26" i="7" s="1"/>
  <c r="F54" i="7"/>
  <c r="L22" i="7" s="1"/>
  <c r="E54" i="7"/>
  <c r="K22" i="7" s="1"/>
  <c r="D54" i="7"/>
  <c r="C54" i="7"/>
  <c r="I22" i="7" s="1"/>
  <c r="B54" i="7"/>
  <c r="H22" i="7" s="1"/>
  <c r="F52" i="7"/>
  <c r="E52" i="7"/>
  <c r="D52" i="7"/>
  <c r="C52" i="7"/>
  <c r="B52" i="7"/>
  <c r="F51" i="7"/>
  <c r="L14" i="7" s="1"/>
  <c r="E51" i="7"/>
  <c r="K14" i="7" s="1"/>
  <c r="D51" i="7"/>
  <c r="J14" i="7" s="1"/>
  <c r="C51" i="7"/>
  <c r="B51" i="7"/>
  <c r="H14" i="7" s="1"/>
  <c r="F49" i="7"/>
  <c r="I10" i="7" s="1"/>
  <c r="E49" i="7"/>
  <c r="H10" i="7" s="1"/>
  <c r="D49" i="7"/>
  <c r="G10" i="7" s="1"/>
  <c r="C49" i="7"/>
  <c r="F10" i="7" s="1"/>
  <c r="B49" i="7"/>
  <c r="E10" i="7" s="1"/>
  <c r="F48" i="7"/>
  <c r="I18" i="7" s="1"/>
  <c r="E48" i="7"/>
  <c r="H18" i="7" s="1"/>
  <c r="D48" i="7"/>
  <c r="G18" i="7" s="1"/>
  <c r="C48" i="7"/>
  <c r="F18" i="7" s="1"/>
  <c r="B48" i="7"/>
  <c r="E18" i="7" s="1"/>
  <c r="F47" i="7"/>
  <c r="E47" i="7"/>
  <c r="E22" i="7" s="1"/>
  <c r="D47" i="7"/>
  <c r="D22" i="7" s="1"/>
  <c r="C47" i="7"/>
  <c r="C22" i="7" s="1"/>
  <c r="B47" i="7"/>
  <c r="B22" i="7" s="1"/>
  <c r="B21" i="7" l="1"/>
  <c r="F9" i="7"/>
  <c r="D13" i="7"/>
  <c r="P13" i="7"/>
  <c r="C21" i="7"/>
  <c r="J21" i="7"/>
  <c r="I25" i="7"/>
  <c r="U25" i="7"/>
  <c r="R29" i="7"/>
  <c r="I38" i="7"/>
  <c r="G9" i="7"/>
  <c r="S9" i="7"/>
  <c r="E17" i="7"/>
  <c r="D21" i="7"/>
  <c r="C25" i="7"/>
  <c r="J25" i="7"/>
  <c r="D29" i="7"/>
  <c r="S29" i="7"/>
  <c r="P38" i="7"/>
  <c r="H21" i="7"/>
  <c r="I21" i="7"/>
  <c r="H25" i="7"/>
  <c r="T13" i="7"/>
  <c r="F17" i="7"/>
  <c r="P21" i="7"/>
  <c r="D25" i="7"/>
  <c r="J33" i="7"/>
  <c r="N13" i="7"/>
  <c r="N38" i="7"/>
  <c r="Q9" i="7"/>
  <c r="H13" i="7"/>
  <c r="O13" i="7"/>
  <c r="H17" i="7"/>
  <c r="K21" i="7"/>
  <c r="U21" i="7"/>
  <c r="K25" i="7"/>
  <c r="H29" i="7"/>
  <c r="E38" i="7"/>
  <c r="O38" i="7"/>
  <c r="K9" i="7"/>
  <c r="R9" i="7"/>
  <c r="I13" i="7"/>
  <c r="B29" i="7"/>
  <c r="I29" i="7"/>
  <c r="H33" i="7"/>
  <c r="F38" i="7"/>
  <c r="L9" i="7"/>
  <c r="C13" i="7"/>
  <c r="Q13" i="7"/>
  <c r="O21" i="7"/>
  <c r="W21" i="7"/>
  <c r="Q25" i="7"/>
  <c r="C29" i="7"/>
  <c r="J29" i="7"/>
  <c r="E9" i="7"/>
  <c r="B13" i="7"/>
  <c r="T21" i="7"/>
  <c r="B25" i="7"/>
  <c r="B33" i="7"/>
  <c r="N21" i="7"/>
  <c r="D76" i="7"/>
  <c r="E76" i="7"/>
  <c r="F76" i="7"/>
  <c r="B76" i="7"/>
  <c r="I14" i="7"/>
  <c r="C76" i="7"/>
  <c r="H48" i="4" l="1"/>
  <c r="G48" i="4"/>
  <c r="F48" i="4"/>
  <c r="E48" i="4"/>
  <c r="D48" i="4"/>
  <c r="C48" i="4"/>
  <c r="H47" i="4"/>
  <c r="G47" i="4"/>
  <c r="F47" i="4"/>
  <c r="E47" i="4"/>
  <c r="D47" i="4"/>
  <c r="C47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5" i="4"/>
  <c r="G35" i="4"/>
  <c r="F35" i="4"/>
  <c r="E35" i="4"/>
  <c r="D35" i="4"/>
  <c r="C35" i="4"/>
  <c r="H34" i="4"/>
  <c r="G34" i="4"/>
  <c r="F34" i="4"/>
  <c r="E34" i="4"/>
  <c r="D34" i="4"/>
  <c r="C34" i="4"/>
  <c r="H32" i="4"/>
  <c r="G32" i="4"/>
  <c r="F32" i="4"/>
  <c r="E32" i="4"/>
  <c r="D32" i="4"/>
  <c r="C32" i="4"/>
  <c r="H31" i="4"/>
  <c r="G31" i="4"/>
  <c r="F31" i="4"/>
  <c r="E31" i="4"/>
  <c r="D31" i="4"/>
  <c r="C31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I16" i="4"/>
  <c r="H36" i="4" l="1"/>
  <c r="F36" i="4"/>
  <c r="G36" i="4"/>
  <c r="C36" i="4"/>
  <c r="D36" i="4"/>
  <c r="E36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I20" i="4"/>
  <c r="I19" i="4"/>
  <c r="I18" i="4"/>
  <c r="I21" i="4"/>
  <c r="I17" i="4"/>
  <c r="L61" i="1" l="1"/>
  <c r="M44" i="4" l="1"/>
  <c r="F82" i="7"/>
  <c r="I40" i="7" s="1"/>
  <c r="F83" i="7"/>
  <c r="F92" i="7"/>
  <c r="O5" i="7" s="1"/>
  <c r="F84" i="7"/>
  <c r="M43" i="4"/>
  <c r="M42" i="4"/>
  <c r="H64" i="3" l="1"/>
  <c r="G64" i="3"/>
  <c r="M51" i="3"/>
  <c r="L51" i="3"/>
  <c r="K51" i="3"/>
  <c r="J51" i="3"/>
  <c r="I51" i="3"/>
  <c r="H51" i="3"/>
  <c r="G51" i="3"/>
  <c r="F64" i="3"/>
  <c r="E64" i="3"/>
  <c r="F51" i="3"/>
  <c r="E51" i="3"/>
  <c r="D64" i="3"/>
  <c r="C64" i="3"/>
  <c r="B64" i="3"/>
  <c r="D51" i="3"/>
  <c r="C51" i="3"/>
  <c r="B51" i="3"/>
  <c r="L44" i="2"/>
  <c r="K44" i="2"/>
  <c r="J44" i="2"/>
  <c r="I44" i="2"/>
  <c r="M44" i="2"/>
  <c r="M27" i="2"/>
  <c r="L27" i="2"/>
  <c r="K27" i="2"/>
  <c r="M17" i="2"/>
  <c r="M20" i="2" s="1"/>
  <c r="L17" i="2"/>
  <c r="L20" i="2" s="1"/>
  <c r="K17" i="2"/>
  <c r="M9" i="2"/>
  <c r="M12" i="2" s="1"/>
  <c r="L9" i="2"/>
  <c r="L12" i="2" s="1"/>
  <c r="K9" i="2"/>
  <c r="K12" i="2" s="1"/>
  <c r="J27" i="2"/>
  <c r="I27" i="2"/>
  <c r="J17" i="2"/>
  <c r="J20" i="2" s="1"/>
  <c r="I17" i="2"/>
  <c r="I20" i="2" s="1"/>
  <c r="J9" i="2"/>
  <c r="I9" i="2"/>
  <c r="I12" i="2" s="1"/>
  <c r="H9" i="2"/>
  <c r="H12" i="2" s="1"/>
  <c r="G9" i="2"/>
  <c r="G12" i="2" s="1"/>
  <c r="F9" i="2"/>
  <c r="F12" i="2" s="1"/>
  <c r="E9" i="2"/>
  <c r="E12" i="2" s="1"/>
  <c r="D9" i="2"/>
  <c r="D12" i="2" s="1"/>
  <c r="C9" i="2"/>
  <c r="C12" i="2" s="1"/>
  <c r="B9" i="2"/>
  <c r="B12" i="2" s="1"/>
  <c r="G27" i="2"/>
  <c r="H27" i="2"/>
  <c r="G17" i="2"/>
  <c r="G20" i="2" s="1"/>
  <c r="H17" i="2"/>
  <c r="H20" i="2" s="1"/>
  <c r="F17" i="2"/>
  <c r="F20" i="2" s="1"/>
  <c r="F27" i="2"/>
  <c r="D17" i="2"/>
  <c r="D20" i="2" s="1"/>
  <c r="D27" i="2"/>
  <c r="E27" i="2"/>
  <c r="E17" i="2"/>
  <c r="E20" i="2" s="1"/>
  <c r="B27" i="2"/>
  <c r="C27" i="2"/>
  <c r="B17" i="2"/>
  <c r="B20" i="2" s="1"/>
  <c r="C17" i="2"/>
  <c r="C20" i="2" s="1"/>
  <c r="K61" i="1"/>
  <c r="J61" i="1"/>
  <c r="I61" i="1"/>
  <c r="H61" i="1"/>
  <c r="G61" i="1"/>
  <c r="F61" i="1"/>
  <c r="D61" i="1"/>
  <c r="E61" i="1"/>
  <c r="B61" i="1"/>
  <c r="C61" i="1"/>
  <c r="L37" i="1"/>
  <c r="L47" i="1" s="1"/>
  <c r="K37" i="1"/>
  <c r="K47" i="1" s="1"/>
  <c r="J37" i="1"/>
  <c r="J47" i="1" s="1"/>
  <c r="I37" i="1"/>
  <c r="I47" i="1" s="1"/>
  <c r="H37" i="1"/>
  <c r="H47" i="1" s="1"/>
  <c r="B85" i="7" s="1"/>
  <c r="E39" i="7" s="1"/>
  <c r="G37" i="1"/>
  <c r="G47" i="1" s="1"/>
  <c r="F37" i="1"/>
  <c r="F47" i="1" s="1"/>
  <c r="E37" i="1"/>
  <c r="E47" i="1" s="1"/>
  <c r="F45" i="4" s="1"/>
  <c r="D37" i="1"/>
  <c r="D47" i="1" s="1"/>
  <c r="C37" i="1"/>
  <c r="C47" i="1" s="1"/>
  <c r="B37" i="1"/>
  <c r="B13" i="1"/>
  <c r="C13" i="1"/>
  <c r="D49" i="4" s="1"/>
  <c r="E13" i="1"/>
  <c r="F49" i="4" s="1"/>
  <c r="D13" i="1"/>
  <c r="E49" i="4" s="1"/>
  <c r="F13" i="1"/>
  <c r="G13" i="1"/>
  <c r="H49" i="4" s="1"/>
  <c r="I13" i="1"/>
  <c r="H13" i="1"/>
  <c r="J13" i="1"/>
  <c r="L13" i="1"/>
  <c r="K13" i="1"/>
  <c r="B47" i="1" l="1"/>
  <c r="G49" i="4"/>
  <c r="E45" i="4"/>
  <c r="G45" i="4"/>
  <c r="C49" i="4"/>
  <c r="H45" i="4"/>
  <c r="C85" i="7"/>
  <c r="F39" i="7" s="1"/>
  <c r="D45" i="4"/>
  <c r="E85" i="7"/>
  <c r="H39" i="7" s="1"/>
  <c r="G52" i="4"/>
  <c r="G44" i="4"/>
  <c r="G43" i="4"/>
  <c r="G42" i="4"/>
  <c r="M45" i="4"/>
  <c r="F85" i="7"/>
  <c r="I39" i="7" s="1"/>
  <c r="H52" i="4"/>
  <c r="H44" i="4"/>
  <c r="H43" i="4"/>
  <c r="H42" i="4"/>
  <c r="K45" i="4"/>
  <c r="D85" i="7"/>
  <c r="G39" i="7" s="1"/>
  <c r="D63" i="7"/>
  <c r="P40" i="7" s="1"/>
  <c r="D64" i="7"/>
  <c r="P39" i="7" s="1"/>
  <c r="D89" i="7"/>
  <c r="C63" i="7"/>
  <c r="O40" i="7" s="1"/>
  <c r="C64" i="7"/>
  <c r="O39" i="7" s="1"/>
  <c r="C89" i="7"/>
  <c r="D52" i="4"/>
  <c r="D44" i="4"/>
  <c r="D43" i="4"/>
  <c r="D42" i="4"/>
  <c r="B83" i="7"/>
  <c r="B82" i="7"/>
  <c r="E40" i="7" s="1"/>
  <c r="B92" i="7"/>
  <c r="K5" i="7" s="1"/>
  <c r="B84" i="7"/>
  <c r="F64" i="7"/>
  <c r="R39" i="7" s="1"/>
  <c r="F89" i="7"/>
  <c r="F63" i="7"/>
  <c r="R40" i="7" s="1"/>
  <c r="E82" i="7"/>
  <c r="H40" i="7" s="1"/>
  <c r="E83" i="7"/>
  <c r="E92" i="7"/>
  <c r="N5" i="7" s="1"/>
  <c r="E84" i="7"/>
  <c r="C52" i="4"/>
  <c r="C43" i="4"/>
  <c r="C42" i="4"/>
  <c r="C44" i="4"/>
  <c r="C92" i="7"/>
  <c r="L5" i="7" s="1"/>
  <c r="C84" i="7"/>
  <c r="C82" i="7"/>
  <c r="F40" i="7" s="1"/>
  <c r="C83" i="7"/>
  <c r="E52" i="4"/>
  <c r="E44" i="4"/>
  <c r="E43" i="4"/>
  <c r="E42" i="4"/>
  <c r="B89" i="7"/>
  <c r="B63" i="7"/>
  <c r="N40" i="7" s="1"/>
  <c r="B64" i="7"/>
  <c r="N39" i="7" s="1"/>
  <c r="E64" i="7"/>
  <c r="Q39" i="7" s="1"/>
  <c r="E89" i="7"/>
  <c r="E63" i="7"/>
  <c r="Q40" i="7" s="1"/>
  <c r="F52" i="4"/>
  <c r="F44" i="4"/>
  <c r="F43" i="4"/>
  <c r="F42" i="4"/>
  <c r="D84" i="7"/>
  <c r="D82" i="7"/>
  <c r="G40" i="7" s="1"/>
  <c r="D83" i="7"/>
  <c r="D92" i="7"/>
  <c r="M5" i="7" s="1"/>
  <c r="D24" i="1"/>
  <c r="E27" i="4" s="1"/>
  <c r="E26" i="4"/>
  <c r="E25" i="4"/>
  <c r="L45" i="4"/>
  <c r="L24" i="1"/>
  <c r="M49" i="4"/>
  <c r="M25" i="4"/>
  <c r="M26" i="4"/>
  <c r="L43" i="4"/>
  <c r="L42" i="4"/>
  <c r="L44" i="4"/>
  <c r="J24" i="1"/>
  <c r="K49" i="4"/>
  <c r="K26" i="4"/>
  <c r="K25" i="4"/>
  <c r="E24" i="1"/>
  <c r="F25" i="4"/>
  <c r="F26" i="4"/>
  <c r="H24" i="1"/>
  <c r="I49" i="4"/>
  <c r="I25" i="4"/>
  <c r="I26" i="4"/>
  <c r="C24" i="1"/>
  <c r="D25" i="4"/>
  <c r="D26" i="4"/>
  <c r="I24" i="1"/>
  <c r="J49" i="4"/>
  <c r="J25" i="4"/>
  <c r="J26" i="4"/>
  <c r="B24" i="1"/>
  <c r="C25" i="4"/>
  <c r="C26" i="4"/>
  <c r="I42" i="4"/>
  <c r="I44" i="4"/>
  <c r="I43" i="4"/>
  <c r="G24" i="1"/>
  <c r="H25" i="4"/>
  <c r="H26" i="4"/>
  <c r="I45" i="4"/>
  <c r="J44" i="4"/>
  <c r="J42" i="4"/>
  <c r="J43" i="4"/>
  <c r="K24" i="1"/>
  <c r="L28" i="4" s="1"/>
  <c r="L49" i="4"/>
  <c r="L25" i="4"/>
  <c r="L26" i="4"/>
  <c r="F24" i="1"/>
  <c r="G27" i="4" s="1"/>
  <c r="G25" i="4"/>
  <c r="G26" i="4"/>
  <c r="J45" i="4"/>
  <c r="K44" i="4"/>
  <c r="K42" i="4"/>
  <c r="K43" i="4"/>
  <c r="M31" i="4"/>
  <c r="M32" i="4"/>
  <c r="M35" i="4"/>
  <c r="L35" i="4"/>
  <c r="L31" i="4"/>
  <c r="L32" i="4"/>
  <c r="H28" i="4"/>
  <c r="K38" i="4"/>
  <c r="K39" i="4"/>
  <c r="K37" i="4"/>
  <c r="K34" i="4"/>
  <c r="D28" i="4"/>
  <c r="E28" i="4"/>
  <c r="I32" i="4"/>
  <c r="I31" i="4"/>
  <c r="I35" i="4"/>
  <c r="M39" i="4"/>
  <c r="M38" i="4"/>
  <c r="M34" i="4"/>
  <c r="M37" i="4"/>
  <c r="I38" i="4"/>
  <c r="I39" i="4"/>
  <c r="I34" i="4"/>
  <c r="I37" i="4"/>
  <c r="I27" i="4"/>
  <c r="I28" i="4"/>
  <c r="L38" i="4"/>
  <c r="L39" i="4"/>
  <c r="L37" i="4"/>
  <c r="L34" i="4"/>
  <c r="L27" i="4"/>
  <c r="J35" i="4"/>
  <c r="J31" i="4"/>
  <c r="J32" i="4"/>
  <c r="K20" i="2"/>
  <c r="L21" i="2"/>
  <c r="L9" i="4" s="1"/>
  <c r="M21" i="2"/>
  <c r="M9" i="4" s="1"/>
  <c r="J12" i="2"/>
  <c r="I21" i="2"/>
  <c r="H21" i="2"/>
  <c r="G21" i="2"/>
  <c r="F21" i="2"/>
  <c r="D21" i="2"/>
  <c r="E21" i="2"/>
  <c r="C21" i="2"/>
  <c r="B21" i="2"/>
  <c r="F63" i="1"/>
  <c r="K63" i="1"/>
  <c r="L63" i="1"/>
  <c r="I63" i="1"/>
  <c r="J63" i="1"/>
  <c r="H63" i="1"/>
  <c r="G63" i="1"/>
  <c r="E63" i="1"/>
  <c r="B63" i="1"/>
  <c r="D63" i="1"/>
  <c r="C63" i="1"/>
  <c r="C45" i="4" l="1"/>
  <c r="D27" i="4"/>
  <c r="D53" i="4"/>
  <c r="D46" i="4"/>
  <c r="M46" i="4"/>
  <c r="F65" i="7"/>
  <c r="U10" i="7" s="1"/>
  <c r="F86" i="7"/>
  <c r="O10" i="7" s="1"/>
  <c r="F66" i="7"/>
  <c r="F93" i="7"/>
  <c r="H27" i="4"/>
  <c r="H53" i="4"/>
  <c r="H46" i="4"/>
  <c r="F27" i="4"/>
  <c r="F53" i="4"/>
  <c r="F46" i="4"/>
  <c r="J46" i="4"/>
  <c r="C93" i="7"/>
  <c r="C66" i="7"/>
  <c r="C86" i="7"/>
  <c r="L10" i="7" s="1"/>
  <c r="C65" i="7"/>
  <c r="R10" i="7" s="1"/>
  <c r="C27" i="4"/>
  <c r="C53" i="4"/>
  <c r="C46" i="4"/>
  <c r="K46" i="4"/>
  <c r="D93" i="7"/>
  <c r="D86" i="7"/>
  <c r="M10" i="7" s="1"/>
  <c r="D65" i="7"/>
  <c r="S10" i="7" s="1"/>
  <c r="D66" i="7"/>
  <c r="G53" i="4"/>
  <c r="G46" i="4"/>
  <c r="G28" i="4"/>
  <c r="L46" i="4"/>
  <c r="E86" i="7"/>
  <c r="N10" i="7" s="1"/>
  <c r="E65" i="7"/>
  <c r="T10" i="7" s="1"/>
  <c r="E66" i="7"/>
  <c r="E93" i="7"/>
  <c r="I46" i="4"/>
  <c r="B65" i="7"/>
  <c r="Q10" i="7" s="1"/>
  <c r="B66" i="7"/>
  <c r="B93" i="7"/>
  <c r="B86" i="7"/>
  <c r="K10" i="7" s="1"/>
  <c r="E53" i="4"/>
  <c r="E46" i="4"/>
  <c r="C28" i="4"/>
  <c r="F28" i="4"/>
  <c r="M27" i="4"/>
  <c r="K28" i="4"/>
  <c r="M28" i="4"/>
  <c r="K27" i="4"/>
  <c r="H28" i="2"/>
  <c r="H9" i="4"/>
  <c r="C28" i="2"/>
  <c r="C9" i="4"/>
  <c r="E28" i="2"/>
  <c r="E9" i="4"/>
  <c r="D28" i="2"/>
  <c r="D9" i="4"/>
  <c r="I36" i="4"/>
  <c r="G28" i="2"/>
  <c r="G9" i="4"/>
  <c r="B28" i="2"/>
  <c r="B9" i="4"/>
  <c r="L36" i="4"/>
  <c r="I28" i="2"/>
  <c r="I9" i="4"/>
  <c r="J21" i="2"/>
  <c r="J38" i="4"/>
  <c r="J39" i="4"/>
  <c r="J37" i="4"/>
  <c r="J27" i="4"/>
  <c r="J28" i="4"/>
  <c r="J34" i="4"/>
  <c r="F28" i="2"/>
  <c r="F9" i="4"/>
  <c r="M36" i="4"/>
  <c r="K35" i="4"/>
  <c r="K31" i="4"/>
  <c r="K32" i="4"/>
  <c r="K21" i="2"/>
  <c r="L28" i="2"/>
  <c r="M28" i="2"/>
  <c r="K36" i="4" l="1"/>
  <c r="M47" i="4"/>
  <c r="M10" i="4"/>
  <c r="M14" i="4"/>
  <c r="H33" i="2"/>
  <c r="H14" i="4"/>
  <c r="H10" i="4"/>
  <c r="B33" i="2"/>
  <c r="B14" i="4"/>
  <c r="B10" i="4"/>
  <c r="K28" i="2"/>
  <c r="K9" i="4"/>
  <c r="J36" i="4"/>
  <c r="C33" i="2"/>
  <c r="C14" i="4"/>
  <c r="C10" i="4"/>
  <c r="I33" i="2"/>
  <c r="I47" i="4"/>
  <c r="I14" i="4"/>
  <c r="I10" i="4"/>
  <c r="D33" i="2"/>
  <c r="D10" i="4"/>
  <c r="D14" i="4"/>
  <c r="L47" i="4"/>
  <c r="L10" i="4"/>
  <c r="L14" i="4"/>
  <c r="F33" i="2"/>
  <c r="F10" i="4"/>
  <c r="F14" i="4"/>
  <c r="J28" i="2"/>
  <c r="J9" i="4"/>
  <c r="E33" i="2"/>
  <c r="E10" i="4"/>
  <c r="E14" i="4"/>
  <c r="G33" i="2"/>
  <c r="G10" i="4"/>
  <c r="G14" i="4"/>
  <c r="L33" i="2"/>
  <c r="M33" i="2"/>
  <c r="K33" i="2"/>
  <c r="D35" i="2" l="1"/>
  <c r="D13" i="4"/>
  <c r="K48" i="4"/>
  <c r="K13" i="4"/>
  <c r="H35" i="2"/>
  <c r="H13" i="4"/>
  <c r="J33" i="2"/>
  <c r="J47" i="4"/>
  <c r="J14" i="4"/>
  <c r="J10" i="4"/>
  <c r="L35" i="2"/>
  <c r="L48" i="4"/>
  <c r="L13" i="4"/>
  <c r="G35" i="2"/>
  <c r="G13" i="4"/>
  <c r="I35" i="2"/>
  <c r="I48" i="4"/>
  <c r="I13" i="4"/>
  <c r="F35" i="2"/>
  <c r="F13" i="4"/>
  <c r="E35" i="2"/>
  <c r="E13" i="4"/>
  <c r="C35" i="2"/>
  <c r="C13" i="4"/>
  <c r="K47" i="4"/>
  <c r="K10" i="4"/>
  <c r="K14" i="4"/>
  <c r="M48" i="4"/>
  <c r="M13" i="4"/>
  <c r="B35" i="2"/>
  <c r="B13" i="4"/>
  <c r="K35" i="2"/>
  <c r="M35" i="2"/>
  <c r="F11" i="4" l="1"/>
  <c r="F7" i="3"/>
  <c r="F37" i="3" s="1"/>
  <c r="B11" i="4"/>
  <c r="B7" i="3"/>
  <c r="B37" i="3" s="1"/>
  <c r="G11" i="4"/>
  <c r="G7" i="3"/>
  <c r="G37" i="3" s="1"/>
  <c r="C11" i="4"/>
  <c r="C7" i="3"/>
  <c r="C37" i="3" s="1"/>
  <c r="J35" i="2"/>
  <c r="J48" i="4"/>
  <c r="J13" i="4"/>
  <c r="D11" i="4"/>
  <c r="D7" i="3"/>
  <c r="D37" i="3" s="1"/>
  <c r="M53" i="4"/>
  <c r="M52" i="4"/>
  <c r="M11" i="4"/>
  <c r="M7" i="3"/>
  <c r="M37" i="3" s="1"/>
  <c r="E11" i="4"/>
  <c r="E7" i="3"/>
  <c r="E37" i="3" s="1"/>
  <c r="L52" i="4"/>
  <c r="L53" i="4"/>
  <c r="L11" i="4"/>
  <c r="L7" i="3"/>
  <c r="L37" i="3" s="1"/>
  <c r="H41" i="2"/>
  <c r="H44" i="2" s="1"/>
  <c r="H11" i="4"/>
  <c r="H7" i="3"/>
  <c r="H37" i="3" s="1"/>
  <c r="K53" i="4"/>
  <c r="K52" i="4"/>
  <c r="K11" i="4"/>
  <c r="K7" i="3"/>
  <c r="K37" i="3" s="1"/>
  <c r="I52" i="4"/>
  <c r="I53" i="4"/>
  <c r="I11" i="4"/>
  <c r="I7" i="3"/>
  <c r="I37" i="3" s="1"/>
  <c r="I67" i="3" l="1"/>
  <c r="K67" i="3"/>
  <c r="K70" i="3" s="1"/>
  <c r="L69" i="3" s="1"/>
  <c r="G67" i="3"/>
  <c r="L67" i="3"/>
  <c r="M67" i="3"/>
  <c r="H67" i="3"/>
  <c r="C67" i="3"/>
  <c r="F67" i="3"/>
  <c r="E67" i="3"/>
  <c r="D67" i="3"/>
  <c r="B67" i="3"/>
  <c r="B70" i="3" s="1"/>
  <c r="C69" i="3" s="1"/>
  <c r="C70" i="3" s="1"/>
  <c r="D69" i="3" s="1"/>
  <c r="D70" i="3" s="1"/>
  <c r="E69" i="3" s="1"/>
  <c r="J52" i="4"/>
  <c r="J53" i="4"/>
  <c r="J11" i="4"/>
  <c r="J7" i="3"/>
  <c r="J37" i="3" s="1"/>
  <c r="J67" i="3" l="1"/>
  <c r="E70" i="3"/>
  <c r="F69" i="3" s="1"/>
  <c r="F70" i="3" s="1"/>
  <c r="G69" i="3" s="1"/>
  <c r="G70" i="3" s="1"/>
  <c r="H69" i="3" s="1"/>
  <c r="H70" i="3" s="1"/>
  <c r="I69" i="3" s="1"/>
  <c r="I70" i="3" s="1"/>
  <c r="J69" i="3" s="1"/>
  <c r="J70" i="3" s="1"/>
  <c r="L70" i="3"/>
  <c r="M69" i="3" l="1"/>
  <c r="M70" i="3" l="1"/>
</calcChain>
</file>

<file path=xl/sharedStrings.xml><?xml version="1.0" encoding="utf-8"?>
<sst xmlns="http://schemas.openxmlformats.org/spreadsheetml/2006/main" count="321" uniqueCount="209">
  <si>
    <t>Assets</t>
  </si>
  <si>
    <t>Current assets</t>
  </si>
  <si>
    <t>Cash and cash equivalents</t>
  </si>
  <si>
    <t>—  </t>
  </si>
  <si>
    <t>Restricted cash</t>
  </si>
  <si>
    <t>Accounts receivable</t>
  </si>
  <si>
    <t>Inventory</t>
  </si>
  <si>
    <t>Prepaid expenses and other current assets</t>
  </si>
  <si>
    <t>Total current assets</t>
  </si>
  <si>
    <t>Operating lease vehicles, net</t>
  </si>
  <si>
    <t>Property, plant and equipment, net</t>
  </si>
  <si>
    <t>Other assets</t>
  </si>
  <si>
    <t>Total assets</t>
  </si>
  <si>
    <t>Liabilities and Stockholders’ Equity</t>
  </si>
  <si>
    <t>Current liabilities</t>
  </si>
  <si>
    <t>Accounts payable</t>
  </si>
  <si>
    <t>Accrued liabilities</t>
  </si>
  <si>
    <t>Deferred revenue</t>
  </si>
  <si>
    <t>Capital lease obligations, current portion</t>
  </si>
  <si>
    <t>Reservation payments</t>
  </si>
  <si>
    <t>Total current liabilities</t>
  </si>
  <si>
    <t>Common stock warrant liability</t>
  </si>
  <si>
    <t>Capital lease obligations, less current portion</t>
  </si>
  <si>
    <t>Deferred revenue, less current portion</t>
  </si>
  <si>
    <t>Other long-term liabilities</t>
  </si>
  <si>
    <t>Total liabilities</t>
  </si>
  <si>
    <t>Commitments and contingencies (Note 15)</t>
  </si>
  <si>
    <t>Stockholders’ equity:</t>
  </si>
  <si>
    <t>Preferred stock; $0.001 par value; 221,903,982 shares authorized; no shares issued and outstanding</t>
  </si>
  <si>
    <t>Common stock; $0.001 par value; 2,000,000,000 shares authorized as of December 31, 2011 and 2010, respectively; 104,530,305 and 94,908,370 shares issued and outstanding as of December 31, 2011 and 2010, respectively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</si>
  <si>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</si>
  <si>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</si>
  <si>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</si>
  <si>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</si>
  <si>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</si>
  <si>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Tesla Motors, Inc.</t>
  </si>
  <si>
    <t>Consolidated Balance Sheets</t>
  </si>
  <si>
    <t>(in thousands, except share and per share data)</t>
  </si>
  <si>
    <t>December 31,</t>
  </si>
  <si>
    <t>Consolidated Statements of Operations</t>
  </si>
  <si>
    <t>Revenues</t>
  </si>
  <si>
    <t>Automotive sales</t>
  </si>
  <si>
    <t>Development services</t>
  </si>
  <si>
    <t>Total revenues</t>
  </si>
  <si>
    <t>Cost of revenues</t>
  </si>
  <si>
    <t>Total cost of revenues</t>
  </si>
  <si>
    <t>Gross profit</t>
  </si>
  <si>
    <t>Operating expenses</t>
  </si>
  <si>
    <t>Selling, general and administrative</t>
  </si>
  <si>
    <t>Total operating expenses</t>
  </si>
  <si>
    <t>Interest income</t>
  </si>
  <si>
    <t>Interest expense</t>
  </si>
  <si>
    <t>Other expense, net</t>
  </si>
  <si>
    <t>Loss before income taxes</t>
  </si>
  <si>
    <t>Provision for income taxes</t>
  </si>
  <si>
    <t>Net loss</t>
  </si>
  <si>
    <t>Net loss per share of common stock, basic and diluted</t>
  </si>
  <si>
    <t>Weighted average shares used in computing net loss per share of common stock, basic and diluted</t>
  </si>
  <si>
    <t>Consolidated Statements of Cash Flows</t>
  </si>
  <si>
    <t>(in thousands)</t>
  </si>
  <si>
    <t>Cash Flows From Operating Activities</t>
  </si>
  <si>
    <t>Adjustments to reconcile net loss to net cash used in operating activities:</t>
  </si>
  <si>
    <t>Depreciation and amortization</t>
  </si>
  <si>
    <t>Change in fair value of warrant liabilities</t>
  </si>
  <si>
    <t>Gain on extinguishment of convertible notes and warrants</t>
  </si>
  <si>
    <t>Discounts and premiums on short-term marketable securities</t>
  </si>
  <si>
    <t>Stock-based compensation</t>
  </si>
  <si>
    <t>Excess tax benefits from stock-based compensation</t>
  </si>
  <si>
    <t>Loss on abandonment of fixed assets</t>
  </si>
  <si>
    <t>Inventory write-downs</t>
  </si>
  <si>
    <t>Interest on convertible notes</t>
  </si>
  <si>
    <t>Changes in operating assets and liabilities</t>
  </si>
  <si>
    <t>Inventories and operating lease vehicles</t>
  </si>
  <si>
    <t>Deferred development compensation</t>
  </si>
  <si>
    <t>Net cash used in operating activities</t>
  </si>
  <si>
    <t>Cash Flows From Investing Activities</t>
  </si>
  <si>
    <t>Purchases of marketable securities</t>
  </si>
  <si>
    <t>Maturities of short-term marketable securities</t>
  </si>
  <si>
    <t>Payments related to acquisition of Fremont manufacturing facility and related assets</t>
  </si>
  <si>
    <t>Purchases of property and equipment excluding capital leases</t>
  </si>
  <si>
    <t>Withdrawals out of (transfers into) our dedicated Department of Energy account, net</t>
  </si>
  <si>
    <t>Increase in other restricted cash</t>
  </si>
  <si>
    <t>Net cash used in investing activities</t>
  </si>
  <si>
    <t>Cash Flows From Financing Activities</t>
  </si>
  <si>
    <t>Proceeds from issuance of common stock in public offerings</t>
  </si>
  <si>
    <t>Proceeds from issuance of common stock in private placements</t>
  </si>
  <si>
    <t>Proceeds from issuance of Series F convertible preferred stock, net of issuance costs of $122</t>
  </si>
  <si>
    <t>Proceeds from issuance of Series E convertible preferred stock, net of issuance costs of $556</t>
  </si>
  <si>
    <t>Principal payments on capital leases and other debt</t>
  </si>
  <si>
    <t>Proceeds from long-term debt and other long-term liabilities</t>
  </si>
  <si>
    <t>Proceeds from issuance of convertible notes and warrants</t>
  </si>
  <si>
    <t>Proceeds from exercise of stock options and other stock issuances</t>
  </si>
  <si>
    <t>Deferred common stock and loan facility issuance costs</t>
  </si>
  <si>
    <t>Net cash provided by financing activities</t>
  </si>
  <si>
    <t>Net increase in cash and cash equivalents</t>
  </si>
  <si>
    <t>Cash and cash equivalents at beginning of period</t>
  </si>
  <si>
    <t>Cash and cash equivalents at end of period</t>
  </si>
  <si>
    <t>Supplemental Disclosures</t>
  </si>
  <si>
    <t>Interest paid</t>
  </si>
  <si>
    <t>Income taxes paid</t>
  </si>
  <si>
    <t>Supplemental noncash investing and financing activities</t>
  </si>
  <si>
    <t>Conversion of preferred stock to common stock</t>
  </si>
  <si>
    <t>Issuance of common stock upon net exercise of warrants</t>
  </si>
  <si>
    <t>Issuance of convertible preferred stock warrant</t>
  </si>
  <si>
    <t>Issuance of common stock warrant</t>
  </si>
  <si>
    <t>Conversion of notes payable to Series E convertible preferred stock</t>
  </si>
  <si>
    <t>Exchange of convertible notes payable</t>
  </si>
  <si>
    <t>Exchange of accrued interest for convertible notes payable</t>
  </si>
  <si>
    <t>Acquisition of property and equipment</t>
  </si>
  <si>
    <t>Customer deposits</t>
  </si>
  <si>
    <t>Resale value guarantee</t>
  </si>
  <si>
    <t>December 31,</t>
  </si>
  <si>
    <t>Restricted cash and marketable securities</t>
  </si>
  <si>
    <t>Resale value guarantees</t>
  </si>
  <si>
    <t>—</t>
  </si>
  <si>
    <t>Convertible senior notes (Notes 8)</t>
  </si>
  <si>
    <t>Solar energy systems, leased and to be leased, net</t>
  </si>
  <si>
    <t>Intangible assets, net</t>
  </si>
  <si>
    <t>Goodwill</t>
  </si>
  <si>
    <t>MyPower customer notes receivable, net of current portion</t>
  </si>
  <si>
    <t>Current portion of long-term debt and capital leases</t>
  </si>
  <si>
    <t>Current portion of solar bonds and promissory notes issued to related parties</t>
  </si>
  <si>
    <t>Solar bonds issued to related parties, net of current portion</t>
  </si>
  <si>
    <t>Convertible senior notes issued to related parties</t>
  </si>
  <si>
    <t>Redeemable noncontrolling interests in subsidiaries</t>
  </si>
  <si>
    <t>Equity</t>
  </si>
  <si>
    <t>Noncontrolling interests in subsidiaries</t>
  </si>
  <si>
    <t>Operating lease right-of-use assets</t>
  </si>
  <si>
    <t>Debt and finance leases, net of current portion</t>
  </si>
  <si>
    <t>Automotive leasing</t>
  </si>
  <si>
    <t>Total automotive revenues</t>
  </si>
  <si>
    <t>Energy generation and storage</t>
  </si>
  <si>
    <t>Total automotive cost of revenues</t>
  </si>
  <si>
    <t>Basic</t>
  </si>
  <si>
    <t>Diluted</t>
  </si>
  <si>
    <t>Restructuring and other</t>
  </si>
  <si>
    <t>Income (loss) from operations</t>
  </si>
  <si>
    <t>Less: Buy-out of noncontrolling interest</t>
  </si>
  <si>
    <t>Amortization of discount on convertible debt</t>
  </si>
  <si>
    <t>Write-off of Department of Energy (DOE) loan origination costs</t>
  </si>
  <si>
    <t>Other non-cash operating activities</t>
  </si>
  <si>
    <t>Foreign currency transaction gain</t>
  </si>
  <si>
    <t>Accounts payable and accrued liabilities</t>
  </si>
  <si>
    <t>Business acquisition</t>
  </si>
  <si>
    <t>Loss (gain) related to SolarCity acquisition</t>
  </si>
  <si>
    <t>Operating lease vehicles</t>
  </si>
  <si>
    <t>Purchases of solar energy systems, leased and to be leased</t>
  </si>
  <si>
    <t>Business combinations, net of cash acquired</t>
  </si>
  <si>
    <t>2,145,977</t>
  </si>
  <si>
    <t>Operating cash flow related to repayment of discounted convertible notes</t>
  </si>
  <si>
    <t>Purchase of intangible assets</t>
  </si>
  <si>
    <t>Receipt of government grants</t>
  </si>
  <si>
    <t>in thousands, except share and per share data</t>
  </si>
  <si>
    <t>Net income loss attributable to common stockholders</t>
  </si>
  <si>
    <t>Net income loss used in computing net   income loss per share of common stock</t>
  </si>
  <si>
    <t>Net income loss per share of common stock attributable   to common stockholders 1</t>
  </si>
  <si>
    <t>Net income loss attributable to noncontrolling interests and   redeemable noncontrolling interests in subsidiaries</t>
  </si>
  <si>
    <t>Weighted average shares used in computing net   income loss per share of common stock 1</t>
  </si>
  <si>
    <t>RATIOS</t>
  </si>
  <si>
    <t>Income Statement</t>
  </si>
  <si>
    <t>Gross Profit Ratio</t>
  </si>
  <si>
    <t>Operating Profit Ratio</t>
  </si>
  <si>
    <t>Net Profit Ratio</t>
  </si>
  <si>
    <t>Tax Ratio</t>
  </si>
  <si>
    <t>Interest Coverage Ratio</t>
  </si>
  <si>
    <t>Balance Sheet</t>
  </si>
  <si>
    <t>Quick Ratio</t>
  </si>
  <si>
    <t>Current Ratio</t>
  </si>
  <si>
    <t>Total Asset Turnover Ratio</t>
  </si>
  <si>
    <t>Net Asset Turnover Ratio</t>
  </si>
  <si>
    <t>Inventory Efficiency</t>
  </si>
  <si>
    <t>Inventory Turnover Ratio</t>
  </si>
  <si>
    <t>Inventory Days Ratio</t>
  </si>
  <si>
    <t>Receivables Days Ratio</t>
  </si>
  <si>
    <t>Payables Days Ratio</t>
  </si>
  <si>
    <t>Working Capital Funding Gap</t>
  </si>
  <si>
    <t>PP&amp;E ratio</t>
  </si>
  <si>
    <t>Debt to Equity</t>
  </si>
  <si>
    <t>Debt to Capital</t>
  </si>
  <si>
    <t>Debt to Tangible Net Worth</t>
  </si>
  <si>
    <t>Total Liabilities to Equity</t>
  </si>
  <si>
    <t>Total Assets to Equity</t>
  </si>
  <si>
    <t>Debt to EBITDA</t>
  </si>
  <si>
    <t>Leverage Ratios</t>
  </si>
  <si>
    <t>SG&amp;A</t>
  </si>
  <si>
    <t>R&amp;D</t>
  </si>
  <si>
    <t>Dep. &amp; Amort.</t>
  </si>
  <si>
    <t>Unusual Expenses</t>
  </si>
  <si>
    <t>Other</t>
  </si>
  <si>
    <t>Interest</t>
  </si>
  <si>
    <t>Extraordinary Items</t>
  </si>
  <si>
    <t>Working Capital Turnover</t>
  </si>
  <si>
    <t>Cash Turnover</t>
  </si>
  <si>
    <t>Capital Structure Impact</t>
  </si>
  <si>
    <t>Acid Test</t>
  </si>
  <si>
    <t>Rates of Return</t>
  </si>
  <si>
    <t>Return on Equity</t>
  </si>
  <si>
    <t>Return on Assets</t>
  </si>
  <si>
    <t>Pyramid Analysis</t>
  </si>
  <si>
    <t>Solvency Ratios</t>
  </si>
  <si>
    <t>Liquidity Ratios</t>
  </si>
  <si>
    <t>Total Liabiltiies to Equity</t>
  </si>
  <si>
    <t>5 Years Period to Feed Pyramid</t>
  </si>
  <si>
    <t>PP&amp;E Turnover Ratio</t>
  </si>
  <si>
    <t>Account Payable Ratio</t>
  </si>
  <si>
    <t>Account Receivable Ratio</t>
  </si>
  <si>
    <t>Accounts Receivable Ratio</t>
  </si>
  <si>
    <t>Accounts Payable Ratio</t>
  </si>
  <si>
    <t>Research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</si>
</sst>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\ #,##0.00_);\(\ #,##0.00\)"/>
    <numFmt numFmtId="167" formatCode="\ #,##0_);\(\ #,##0\)"/>
    <numFmt numFmtId="168" formatCode="0.0%"/>
    <numFmt numFmtId="169" formatCode="#,##0.00%;[Red]\(#,##0.00%\)"/>
    <numFmt numFmtId="170" formatCode="_-* #,##0.0_-;\-* #,##0.0_-;_-* &quot;-&quot;??_-;_-@_-"/>
    <numFmt numFmtId="171" formatCode="_-* #,##0.0\ _€_-;\-* #,##0.0\ _€_-;_-* &quot;-&quot;?\ _€_-;_-@_-"/>
    <numFmt numFmtId="172" formatCode="#&quot;A&quot;"/>
    <numFmt numFmtId="173" formatCode="0.00%;[Red]\(0.00%\);\-"/>
    <numFmt numFmtId="174" formatCode="#,##0.00;[Red]\(#,##0.00\);\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24"/>
      <color rgb="FFFFFFFF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73">
    <xf numFmtId="0" fontId="0" fillId="0" borderId="0" xfId="0"/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5" fontId="2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167" fontId="4" fillId="0" borderId="0" xfId="1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10" fontId="2" fillId="0" borderId="0" xfId="2" applyNumberFormat="1" applyFont="1" applyAlignment="1">
      <alignment vertical="center"/>
    </xf>
    <xf numFmtId="169" fontId="2" fillId="0" borderId="0" xfId="2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170" fontId="2" fillId="0" borderId="0" xfId="1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165" fontId="4" fillId="0" borderId="9" xfId="1" applyNumberFormat="1" applyFont="1" applyBorder="1" applyAlignment="1">
      <alignment vertical="center"/>
    </xf>
    <xf numFmtId="165" fontId="3" fillId="0" borderId="9" xfId="1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167" fontId="2" fillId="0" borderId="9" xfId="1" applyNumberFormat="1" applyFont="1" applyBorder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3" applyFont="1" applyFill="1" applyAlignment="1">
      <alignment vertical="center"/>
    </xf>
    <xf numFmtId="172" fontId="7" fillId="2" borderId="0" xfId="3" applyNumberFormat="1" applyFont="1" applyFill="1" applyAlignment="1">
      <alignment vertical="center"/>
    </xf>
    <xf numFmtId="168" fontId="7" fillId="2" borderId="0" xfId="2" applyNumberFormat="1" applyFont="1" applyFill="1" applyBorder="1" applyAlignment="1">
      <alignment vertical="center"/>
    </xf>
    <xf numFmtId="173" fontId="7" fillId="2" borderId="6" xfId="2" applyNumberFormat="1" applyFont="1" applyFill="1" applyBorder="1" applyAlignment="1">
      <alignment horizontal="center" vertical="center"/>
    </xf>
    <xf numFmtId="173" fontId="7" fillId="2" borderId="7" xfId="2" applyNumberFormat="1" applyFont="1" applyFill="1" applyBorder="1" applyAlignment="1">
      <alignment horizontal="center" vertical="center"/>
    </xf>
    <xf numFmtId="173" fontId="7" fillId="2" borderId="8" xfId="2" applyNumberFormat="1" applyFont="1" applyFill="1" applyBorder="1" applyAlignment="1">
      <alignment horizontal="center" vertical="center"/>
    </xf>
    <xf numFmtId="0" fontId="8" fillId="2" borderId="0" xfId="3" applyFont="1" applyFill="1" applyAlignment="1">
      <alignment vertical="center"/>
    </xf>
    <xf numFmtId="174" fontId="7" fillId="2" borderId="6" xfId="3" applyNumberFormat="1" applyFont="1" applyFill="1" applyBorder="1" applyAlignment="1">
      <alignment horizontal="center" vertical="center"/>
    </xf>
    <xf numFmtId="174" fontId="7" fillId="2" borderId="7" xfId="3" applyNumberFormat="1" applyFont="1" applyFill="1" applyBorder="1" applyAlignment="1">
      <alignment horizontal="center" vertical="center"/>
    </xf>
    <xf numFmtId="174" fontId="7" fillId="2" borderId="8" xfId="3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4" xfId="3" applyFont="1" applyFill="1" applyBorder="1" applyAlignment="1">
      <alignment vertical="center"/>
    </xf>
    <xf numFmtId="0" fontId="8" fillId="2" borderId="4" xfId="3" applyFont="1" applyFill="1" applyBorder="1" applyAlignment="1">
      <alignment vertical="center"/>
    </xf>
    <xf numFmtId="0" fontId="8" fillId="2" borderId="6" xfId="3" applyFont="1" applyFill="1" applyBorder="1" applyAlignment="1">
      <alignment vertical="center"/>
    </xf>
    <xf numFmtId="0" fontId="8" fillId="2" borderId="7" xfId="3" applyFont="1" applyFill="1" applyBorder="1" applyAlignment="1">
      <alignment vertical="center"/>
    </xf>
    <xf numFmtId="0" fontId="7" fillId="0" borderId="0" xfId="3" applyFont="1" applyAlignment="1">
      <alignment vertical="center"/>
    </xf>
    <xf numFmtId="1" fontId="8" fillId="2" borderId="4" xfId="2" applyNumberFormat="1" applyFont="1" applyFill="1" applyBorder="1" applyAlignment="1">
      <alignment horizontal="center" vertical="center"/>
    </xf>
    <xf numFmtId="1" fontId="8" fillId="2" borderId="0" xfId="2" applyNumberFormat="1" applyFont="1" applyFill="1" applyAlignment="1">
      <alignment horizontal="center" vertical="center"/>
    </xf>
    <xf numFmtId="1" fontId="8" fillId="2" borderId="5" xfId="2" applyNumberFormat="1" applyFont="1" applyFill="1" applyBorder="1" applyAlignment="1">
      <alignment horizontal="center" vertical="center"/>
    </xf>
    <xf numFmtId="2" fontId="7" fillId="2" borderId="6" xfId="1" applyNumberFormat="1" applyFont="1" applyFill="1" applyBorder="1" applyAlignment="1">
      <alignment horizontal="center" vertical="center"/>
    </xf>
    <xf numFmtId="2" fontId="7" fillId="2" borderId="7" xfId="1" applyNumberFormat="1" applyFont="1" applyFill="1" applyBorder="1" applyAlignment="1">
      <alignment horizontal="center" vertical="center"/>
    </xf>
    <xf numFmtId="2" fontId="7" fillId="2" borderId="8" xfId="1" applyNumberFormat="1" applyFont="1" applyFill="1" applyBorder="1" applyAlignment="1">
      <alignment horizontal="center" vertical="center"/>
    </xf>
    <xf numFmtId="2" fontId="7" fillId="2" borderId="7" xfId="2" applyNumberFormat="1" applyFont="1" applyFill="1" applyBorder="1" applyAlignment="1">
      <alignment horizontal="center" vertical="center"/>
    </xf>
    <xf numFmtId="2" fontId="7" fillId="2" borderId="8" xfId="2" applyNumberFormat="1" applyFont="1" applyFill="1" applyBorder="1" applyAlignment="1">
      <alignment horizontal="center" vertical="center"/>
    </xf>
    <xf numFmtId="3" fontId="7" fillId="2" borderId="6" xfId="2" applyNumberFormat="1" applyFont="1" applyFill="1" applyBorder="1" applyAlignment="1">
      <alignment horizontal="center" vertical="center"/>
    </xf>
    <xf numFmtId="3" fontId="7" fillId="2" borderId="7" xfId="2" applyNumberFormat="1" applyFont="1" applyFill="1" applyBorder="1" applyAlignment="1">
      <alignment horizontal="center" vertical="center"/>
    </xf>
    <xf numFmtId="3" fontId="7" fillId="2" borderId="8" xfId="2" applyNumberFormat="1" applyFont="1" applyFill="1" applyBorder="1" applyAlignment="1">
      <alignment horizontal="center" vertical="center"/>
    </xf>
    <xf numFmtId="173" fontId="7" fillId="2" borderId="0" xfId="2" applyNumberFormat="1" applyFont="1" applyFill="1" applyBorder="1" applyAlignment="1">
      <alignment horizontal="center" vertical="center"/>
    </xf>
    <xf numFmtId="173" fontId="7" fillId="2" borderId="5" xfId="2" applyNumberFormat="1" applyFon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 vertical="center"/>
    </xf>
    <xf numFmtId="2" fontId="7" fillId="2" borderId="5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readingOrder="1"/>
    </xf>
    <xf numFmtId="165" fontId="2" fillId="0" borderId="0" xfId="0" applyNumberFormat="1" applyFont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0" xfId="0" applyFont="1" applyBorder="1" applyAlignment="1">
      <alignment vertical="center"/>
    </xf>
  </cellXfs>
  <cellStyles count="4">
    <cellStyle name="Normal" xfId="0" builtinId="0"/>
    <cellStyle name="Normal_inesbitassignment1Stantec" xfId="3" xr:uid="{BD40C594-AFD6-44A0-AB49-8A2A6B554D4A}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5</xdr:row>
      <xdr:rowOff>0</xdr:rowOff>
    </xdr:from>
    <xdr:to>
      <xdr:col>12</xdr:col>
      <xdr:colOff>337705</xdr:colOff>
      <xdr:row>7</xdr:row>
      <xdr:rowOff>25977</xdr:rowOff>
    </xdr:to>
    <xdr:sp macro="" textlink="">
      <xdr:nvSpPr>
        <xdr:cNvPr id="2" name="Line 19">
          <a:extLst>
            <a:ext uri="{FF2B5EF4-FFF2-40B4-BE49-F238E27FC236}">
              <a16:creationId xmlns:a16="http://schemas.microsoft.com/office/drawing/2014/main" id="{BB6DAEF9-85B9-4948-B39E-55BB8BDAB89B}"/>
            </a:ext>
          </a:extLst>
        </xdr:cNvPr>
        <xdr:cNvSpPr>
          <a:spLocks noChangeShapeType="1"/>
        </xdr:cNvSpPr>
      </xdr:nvSpPr>
      <xdr:spPr bwMode="auto">
        <a:xfrm>
          <a:off x="13563600" y="11391900"/>
          <a:ext cx="4330" cy="416502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19049</xdr:colOff>
      <xdr:row>8</xdr:row>
      <xdr:rowOff>114300</xdr:rowOff>
    </xdr:from>
    <xdr:to>
      <xdr:col>16</xdr:col>
      <xdr:colOff>20953</xdr:colOff>
      <xdr:row>8</xdr:row>
      <xdr:rowOff>114300</xdr:rowOff>
    </xdr:to>
    <xdr:sp macro="" textlink="">
      <xdr:nvSpPr>
        <xdr:cNvPr id="3" name="Line 22">
          <a:extLst>
            <a:ext uri="{FF2B5EF4-FFF2-40B4-BE49-F238E27FC236}">
              <a16:creationId xmlns:a16="http://schemas.microsoft.com/office/drawing/2014/main" id="{E990EF31-1CF3-4590-8E79-5C5E66193D3F}"/>
            </a:ext>
          </a:extLst>
        </xdr:cNvPr>
        <xdr:cNvSpPr>
          <a:spLocks noChangeShapeType="1"/>
        </xdr:cNvSpPr>
      </xdr:nvSpPr>
      <xdr:spPr bwMode="auto">
        <a:xfrm>
          <a:off x="16392524" y="1208722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9</xdr:row>
      <xdr:rowOff>204257</xdr:rowOff>
    </xdr:from>
    <xdr:to>
      <xdr:col>6</xdr:col>
      <xdr:colOff>390525</xdr:colOff>
      <xdr:row>14</xdr:row>
      <xdr:rowOff>204257</xdr:rowOff>
    </xdr:to>
    <xdr:sp macro="" textlink="">
      <xdr:nvSpPr>
        <xdr:cNvPr id="4" name="Line 23">
          <a:extLst>
            <a:ext uri="{FF2B5EF4-FFF2-40B4-BE49-F238E27FC236}">
              <a16:creationId xmlns:a16="http://schemas.microsoft.com/office/drawing/2014/main" id="{5FEE693A-9190-40FC-A3EA-95FB46DC4AF6}"/>
            </a:ext>
          </a:extLst>
        </xdr:cNvPr>
        <xdr:cNvSpPr>
          <a:spLocks noChangeShapeType="1"/>
        </xdr:cNvSpPr>
      </xdr:nvSpPr>
      <xdr:spPr bwMode="auto">
        <a:xfrm>
          <a:off x="7334250" y="12367682"/>
          <a:ext cx="0" cy="9810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12</xdr:row>
      <xdr:rowOff>104775</xdr:rowOff>
    </xdr:from>
    <xdr:to>
      <xdr:col>19</xdr:col>
      <xdr:colOff>19051</xdr:colOff>
      <xdr:row>12</xdr:row>
      <xdr:rowOff>104775</xdr:rowOff>
    </xdr:to>
    <xdr:sp macro="" textlink="">
      <xdr:nvSpPr>
        <xdr:cNvPr id="5" name="Line 25">
          <a:extLst>
            <a:ext uri="{FF2B5EF4-FFF2-40B4-BE49-F238E27FC236}">
              <a16:creationId xmlns:a16="http://schemas.microsoft.com/office/drawing/2014/main" id="{3E19A385-BFB6-455D-9208-19E9E34BD7A1}"/>
            </a:ext>
          </a:extLst>
        </xdr:cNvPr>
        <xdr:cNvSpPr>
          <a:spLocks noChangeShapeType="1"/>
        </xdr:cNvSpPr>
      </xdr:nvSpPr>
      <xdr:spPr bwMode="auto">
        <a:xfrm>
          <a:off x="19516726" y="12858750"/>
          <a:ext cx="10668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1047749</xdr:colOff>
      <xdr:row>12</xdr:row>
      <xdr:rowOff>161925</xdr:rowOff>
    </xdr:from>
    <xdr:to>
      <xdr:col>7</xdr:col>
      <xdr:colOff>0</xdr:colOff>
      <xdr:row>12</xdr:row>
      <xdr:rowOff>161925</xdr:rowOff>
    </xdr:to>
    <xdr:sp macro="" textlink="">
      <xdr:nvSpPr>
        <xdr:cNvPr id="6" name="Line 26">
          <a:extLst>
            <a:ext uri="{FF2B5EF4-FFF2-40B4-BE49-F238E27FC236}">
              <a16:creationId xmlns:a16="http://schemas.microsoft.com/office/drawing/2014/main" id="{366AE009-9A9E-480F-B1A3-6719B1C4A6D7}"/>
            </a:ext>
          </a:extLst>
        </xdr:cNvPr>
        <xdr:cNvSpPr>
          <a:spLocks noChangeShapeType="1"/>
        </xdr:cNvSpPr>
      </xdr:nvSpPr>
      <xdr:spPr bwMode="auto">
        <a:xfrm flipV="1">
          <a:off x="6943724" y="12915900"/>
          <a:ext cx="1047751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8</xdr:row>
      <xdr:rowOff>76199</xdr:rowOff>
    </xdr:from>
    <xdr:to>
      <xdr:col>10</xdr:col>
      <xdr:colOff>0</xdr:colOff>
      <xdr:row>8</xdr:row>
      <xdr:rowOff>76200</xdr:rowOff>
    </xdr:to>
    <xdr:sp macro="" textlink="">
      <xdr:nvSpPr>
        <xdr:cNvPr id="7" name="Line 22">
          <a:extLst>
            <a:ext uri="{FF2B5EF4-FFF2-40B4-BE49-F238E27FC236}">
              <a16:creationId xmlns:a16="http://schemas.microsoft.com/office/drawing/2014/main" id="{232DC26F-C39A-49C4-9FA7-3B3DC894D6AD}"/>
            </a:ext>
          </a:extLst>
        </xdr:cNvPr>
        <xdr:cNvSpPr>
          <a:spLocks noChangeShapeType="1"/>
        </xdr:cNvSpPr>
      </xdr:nvSpPr>
      <xdr:spPr bwMode="auto">
        <a:xfrm>
          <a:off x="10096500" y="12049124"/>
          <a:ext cx="1038225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18</xdr:row>
      <xdr:rowOff>8467</xdr:rowOff>
    </xdr:from>
    <xdr:to>
      <xdr:col>6</xdr:col>
      <xdr:colOff>400050</xdr:colOff>
      <xdr:row>32</xdr:row>
      <xdr:rowOff>104987</xdr:rowOff>
    </xdr:to>
    <xdr:sp macro="" textlink="">
      <xdr:nvSpPr>
        <xdr:cNvPr id="8" name="Line 19">
          <a:extLst>
            <a:ext uri="{FF2B5EF4-FFF2-40B4-BE49-F238E27FC236}">
              <a16:creationId xmlns:a16="http://schemas.microsoft.com/office/drawing/2014/main" id="{323B21FC-7305-49BF-8EA4-492203C3D6BC}"/>
            </a:ext>
          </a:extLst>
        </xdr:cNvPr>
        <xdr:cNvSpPr>
          <a:spLocks noChangeShapeType="1"/>
        </xdr:cNvSpPr>
      </xdr:nvSpPr>
      <xdr:spPr bwMode="auto">
        <a:xfrm>
          <a:off x="7343775" y="13934017"/>
          <a:ext cx="0" cy="284924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10</xdr:row>
      <xdr:rowOff>0</xdr:rowOff>
    </xdr:from>
    <xdr:to>
      <xdr:col>18</xdr:col>
      <xdr:colOff>266700</xdr:colOff>
      <xdr:row>12</xdr:row>
      <xdr:rowOff>104775</xdr:rowOff>
    </xdr:to>
    <xdr:sp macro="" textlink="">
      <xdr:nvSpPr>
        <xdr:cNvPr id="9" name="Line 24">
          <a:extLst>
            <a:ext uri="{FF2B5EF4-FFF2-40B4-BE49-F238E27FC236}">
              <a16:creationId xmlns:a16="http://schemas.microsoft.com/office/drawing/2014/main" id="{22B5AACE-A14D-43FB-BDDF-5C854E426262}"/>
            </a:ext>
          </a:extLst>
        </xdr:cNvPr>
        <xdr:cNvSpPr>
          <a:spLocks noChangeShapeType="1"/>
        </xdr:cNvSpPr>
      </xdr:nvSpPr>
      <xdr:spPr bwMode="auto">
        <a:xfrm>
          <a:off x="19783425" y="12363450"/>
          <a:ext cx="0" cy="4953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16</xdr:row>
      <xdr:rowOff>103716</xdr:rowOff>
    </xdr:from>
    <xdr:to>
      <xdr:col>18</xdr:col>
      <xdr:colOff>257175</xdr:colOff>
      <xdr:row>23</xdr:row>
      <xdr:rowOff>0</xdr:rowOff>
    </xdr:to>
    <xdr:sp macro="" textlink="">
      <xdr:nvSpPr>
        <xdr:cNvPr id="10" name="Line 19">
          <a:extLst>
            <a:ext uri="{FF2B5EF4-FFF2-40B4-BE49-F238E27FC236}">
              <a16:creationId xmlns:a16="http://schemas.microsoft.com/office/drawing/2014/main" id="{EA9B6ADA-220A-4B73-A2B9-B33898A83F3D}"/>
            </a:ext>
          </a:extLst>
        </xdr:cNvPr>
        <xdr:cNvSpPr>
          <a:spLocks noChangeShapeType="1"/>
        </xdr:cNvSpPr>
      </xdr:nvSpPr>
      <xdr:spPr bwMode="auto">
        <a:xfrm>
          <a:off x="19773900" y="13638741"/>
          <a:ext cx="0" cy="126788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16</xdr:row>
      <xdr:rowOff>114300</xdr:rowOff>
    </xdr:from>
    <xdr:to>
      <xdr:col>21</xdr:col>
      <xdr:colOff>295275</xdr:colOff>
      <xdr:row>16</xdr:row>
      <xdr:rowOff>114300</xdr:rowOff>
    </xdr:to>
    <xdr:sp macro="" textlink="">
      <xdr:nvSpPr>
        <xdr:cNvPr id="11" name="Line 25">
          <a:extLst>
            <a:ext uri="{FF2B5EF4-FFF2-40B4-BE49-F238E27FC236}">
              <a16:creationId xmlns:a16="http://schemas.microsoft.com/office/drawing/2014/main" id="{DE6AE644-5D4A-4A16-8EB3-F3B758DF7802}"/>
            </a:ext>
          </a:extLst>
        </xdr:cNvPr>
        <xdr:cNvSpPr>
          <a:spLocks noChangeShapeType="1"/>
        </xdr:cNvSpPr>
      </xdr:nvSpPr>
      <xdr:spPr bwMode="auto">
        <a:xfrm>
          <a:off x="19764375" y="13649325"/>
          <a:ext cx="3190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</xdr:row>
      <xdr:rowOff>9525</xdr:rowOff>
    </xdr:from>
    <xdr:to>
      <xdr:col>21</xdr:col>
      <xdr:colOff>295275</xdr:colOff>
      <xdr:row>16</xdr:row>
      <xdr:rowOff>114300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FB52E126-16BE-4101-AD96-999903AF5B57}"/>
            </a:ext>
          </a:extLst>
        </xdr:cNvPr>
        <xdr:cNvSpPr>
          <a:spLocks noChangeShapeType="1"/>
        </xdr:cNvSpPr>
      </xdr:nvSpPr>
      <xdr:spPr bwMode="auto">
        <a:xfrm>
          <a:off x="22955250" y="13154025"/>
          <a:ext cx="0" cy="4953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20</xdr:row>
      <xdr:rowOff>137582</xdr:rowOff>
    </xdr:from>
    <xdr:to>
      <xdr:col>7</xdr:col>
      <xdr:colOff>5291</xdr:colOff>
      <xdr:row>20</xdr:row>
      <xdr:rowOff>137582</xdr:rowOff>
    </xdr:to>
    <xdr:sp macro="" textlink="">
      <xdr:nvSpPr>
        <xdr:cNvPr id="13" name="Line 26">
          <a:extLst>
            <a:ext uri="{FF2B5EF4-FFF2-40B4-BE49-F238E27FC236}">
              <a16:creationId xmlns:a16="http://schemas.microsoft.com/office/drawing/2014/main" id="{BB4E00A3-E475-4FC2-B71F-A008445A58B4}"/>
            </a:ext>
          </a:extLst>
        </xdr:cNvPr>
        <xdr:cNvSpPr>
          <a:spLocks noChangeShapeType="1"/>
        </xdr:cNvSpPr>
      </xdr:nvSpPr>
      <xdr:spPr bwMode="auto">
        <a:xfrm>
          <a:off x="6954307" y="14453657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1033991</xdr:colOff>
      <xdr:row>24</xdr:row>
      <xdr:rowOff>141816</xdr:rowOff>
    </xdr:from>
    <xdr:to>
      <xdr:col>6</xdr:col>
      <xdr:colOff>1028700</xdr:colOff>
      <xdr:row>24</xdr:row>
      <xdr:rowOff>141816</xdr:rowOff>
    </xdr:to>
    <xdr:sp macro="" textlink="">
      <xdr:nvSpPr>
        <xdr:cNvPr id="14" name="Line 26">
          <a:extLst>
            <a:ext uri="{FF2B5EF4-FFF2-40B4-BE49-F238E27FC236}">
              <a16:creationId xmlns:a16="http://schemas.microsoft.com/office/drawing/2014/main" id="{3C90F9A3-4596-4DAB-8F97-E5DC41ECA393}"/>
            </a:ext>
          </a:extLst>
        </xdr:cNvPr>
        <xdr:cNvSpPr>
          <a:spLocks noChangeShapeType="1"/>
        </xdr:cNvSpPr>
      </xdr:nvSpPr>
      <xdr:spPr bwMode="auto">
        <a:xfrm>
          <a:off x="6929966" y="15238941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1047749</xdr:colOff>
      <xdr:row>38</xdr:row>
      <xdr:rowOff>0</xdr:rowOff>
    </xdr:from>
    <xdr:to>
      <xdr:col>10</xdr:col>
      <xdr:colOff>1903</xdr:colOff>
      <xdr:row>38</xdr:row>
      <xdr:rowOff>0</xdr:rowOff>
    </xdr:to>
    <xdr:sp macro="" textlink="">
      <xdr:nvSpPr>
        <xdr:cNvPr id="15" name="Line 22">
          <a:extLst>
            <a:ext uri="{FF2B5EF4-FFF2-40B4-BE49-F238E27FC236}">
              <a16:creationId xmlns:a16="http://schemas.microsoft.com/office/drawing/2014/main" id="{63524DAD-7644-4AAC-BDA0-27028D84E7BA}"/>
            </a:ext>
          </a:extLst>
        </xdr:cNvPr>
        <xdr:cNvSpPr>
          <a:spLocks noChangeShapeType="1"/>
        </xdr:cNvSpPr>
      </xdr:nvSpPr>
      <xdr:spPr bwMode="auto">
        <a:xfrm>
          <a:off x="10086974" y="1789747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1038224</xdr:colOff>
      <xdr:row>20</xdr:row>
      <xdr:rowOff>142875</xdr:rowOff>
    </xdr:from>
    <xdr:to>
      <xdr:col>12</xdr:col>
      <xdr:colOff>1040128</xdr:colOff>
      <xdr:row>20</xdr:row>
      <xdr:rowOff>142875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2EF51A52-C956-4133-A756-26CE8DFBE7A6}"/>
            </a:ext>
          </a:extLst>
        </xdr:cNvPr>
        <xdr:cNvSpPr>
          <a:spLocks noChangeShapeType="1"/>
        </xdr:cNvSpPr>
      </xdr:nvSpPr>
      <xdr:spPr bwMode="auto">
        <a:xfrm>
          <a:off x="13220699" y="14458950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9524</xdr:colOff>
      <xdr:row>20</xdr:row>
      <xdr:rowOff>85725</xdr:rowOff>
    </xdr:from>
    <xdr:to>
      <xdr:col>19</xdr:col>
      <xdr:colOff>11428</xdr:colOff>
      <xdr:row>20</xdr:row>
      <xdr:rowOff>85725</xdr:rowOff>
    </xdr:to>
    <xdr:sp macro="" textlink="">
      <xdr:nvSpPr>
        <xdr:cNvPr id="17" name="Line 22">
          <a:extLst>
            <a:ext uri="{FF2B5EF4-FFF2-40B4-BE49-F238E27FC236}">
              <a16:creationId xmlns:a16="http://schemas.microsoft.com/office/drawing/2014/main" id="{9E2250D9-4BDF-49CB-9B21-C04A07B2AD30}"/>
            </a:ext>
          </a:extLst>
        </xdr:cNvPr>
        <xdr:cNvSpPr>
          <a:spLocks noChangeShapeType="1"/>
        </xdr:cNvSpPr>
      </xdr:nvSpPr>
      <xdr:spPr bwMode="auto">
        <a:xfrm>
          <a:off x="19526249" y="14401800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1047749</xdr:colOff>
      <xdr:row>12</xdr:row>
      <xdr:rowOff>76200</xdr:rowOff>
    </xdr:from>
    <xdr:to>
      <xdr:col>13</xdr:col>
      <xdr:colOff>1903</xdr:colOff>
      <xdr:row>12</xdr:row>
      <xdr:rowOff>76200</xdr:rowOff>
    </xdr:to>
    <xdr:sp macro="" textlink="">
      <xdr:nvSpPr>
        <xdr:cNvPr id="20" name="Line 22">
          <a:extLst>
            <a:ext uri="{FF2B5EF4-FFF2-40B4-BE49-F238E27FC236}">
              <a16:creationId xmlns:a16="http://schemas.microsoft.com/office/drawing/2014/main" id="{BF05ED80-262C-4365-9B66-FC525E6B9191}"/>
            </a:ext>
          </a:extLst>
        </xdr:cNvPr>
        <xdr:cNvSpPr>
          <a:spLocks noChangeShapeType="1"/>
        </xdr:cNvSpPr>
      </xdr:nvSpPr>
      <xdr:spPr bwMode="auto">
        <a:xfrm>
          <a:off x="13230224" y="1283017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5291</xdr:colOff>
      <xdr:row>28</xdr:row>
      <xdr:rowOff>132291</xdr:rowOff>
    </xdr:from>
    <xdr:to>
      <xdr:col>7</xdr:col>
      <xdr:colOff>0</xdr:colOff>
      <xdr:row>28</xdr:row>
      <xdr:rowOff>132291</xdr:rowOff>
    </xdr:to>
    <xdr:sp macro="" textlink="">
      <xdr:nvSpPr>
        <xdr:cNvPr id="21" name="Line 26">
          <a:extLst>
            <a:ext uri="{FF2B5EF4-FFF2-40B4-BE49-F238E27FC236}">
              <a16:creationId xmlns:a16="http://schemas.microsoft.com/office/drawing/2014/main" id="{1C8A588C-8A56-4286-B5DC-A8264752E3F1}"/>
            </a:ext>
          </a:extLst>
        </xdr:cNvPr>
        <xdr:cNvSpPr>
          <a:spLocks noChangeShapeType="1"/>
        </xdr:cNvSpPr>
      </xdr:nvSpPr>
      <xdr:spPr bwMode="auto">
        <a:xfrm>
          <a:off x="6949016" y="16010466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1033991</xdr:colOff>
      <xdr:row>32</xdr:row>
      <xdr:rowOff>94191</xdr:rowOff>
    </xdr:from>
    <xdr:to>
      <xdr:col>6</xdr:col>
      <xdr:colOff>1028700</xdr:colOff>
      <xdr:row>32</xdr:row>
      <xdr:rowOff>94191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A9FE1205-9A9D-4725-BCD9-F6CF872EB4C9}"/>
            </a:ext>
          </a:extLst>
        </xdr:cNvPr>
        <xdr:cNvSpPr>
          <a:spLocks noChangeShapeType="1"/>
        </xdr:cNvSpPr>
      </xdr:nvSpPr>
      <xdr:spPr bwMode="auto">
        <a:xfrm>
          <a:off x="6929966" y="16772466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A3" sqref="A3"/>
    </sheetView>
  </sheetViews>
  <sheetFormatPr defaultColWidth="15.7109375" defaultRowHeight="15.95" customHeight="1" outlineLevelCol="1" x14ac:dyDescent="0.25"/>
  <cols>
    <col min="1" max="1" width="40.7109375" style="1" customWidth="1"/>
    <col min="2" max="7" width="15.7109375" style="2" customWidth="1" outlineLevel="1"/>
    <col min="8" max="12" width="15.7109375" style="2"/>
    <col min="13" max="16384" width="15.7109375" style="1"/>
  </cols>
  <sheetData>
    <row r="1" spans="1:13" ht="15.95" customHeight="1" x14ac:dyDescent="0.25">
      <c r="A1" s="4" t="s">
        <v>35</v>
      </c>
      <c r="B1" s="1"/>
    </row>
    <row r="2" spans="1:13" ht="15.95" customHeight="1" x14ac:dyDescent="0.25">
      <c r="A2" s="4" t="s">
        <v>36</v>
      </c>
      <c r="B2" s="1"/>
    </row>
    <row r="3" spans="1:13" ht="15.95" customHeight="1" x14ac:dyDescent="0.25">
      <c r="A3" s="4" t="s">
        <v>37</v>
      </c>
      <c r="B3" s="1"/>
    </row>
    <row r="5" spans="1:13" s="3" customFormat="1" ht="15.95" customHeight="1" x14ac:dyDescent="0.25">
      <c r="B5" s="11">
        <v>2010</v>
      </c>
      <c r="C5" s="11">
        <v>2011</v>
      </c>
      <c r="D5" s="11">
        <v>2012</v>
      </c>
      <c r="E5" s="11">
        <v>2013</v>
      </c>
      <c r="F5" s="11">
        <v>2014</v>
      </c>
      <c r="G5" s="11">
        <v>2015</v>
      </c>
      <c r="H5" s="11">
        <v>2016</v>
      </c>
      <c r="I5" s="11">
        <v>2017</v>
      </c>
      <c r="J5" s="11">
        <v>2018</v>
      </c>
      <c r="K5" s="11">
        <v>2019</v>
      </c>
      <c r="L5" s="11">
        <v>2020</v>
      </c>
    </row>
    <row r="6" spans="1:13" ht="15.95" customHeight="1" x14ac:dyDescent="0.25">
      <c r="A6" s="4" t="s">
        <v>0</v>
      </c>
      <c r="B6" s="5"/>
      <c r="C6" s="5"/>
      <c r="D6" s="5"/>
      <c r="E6" s="5"/>
      <c r="F6" s="5"/>
      <c r="G6" s="5"/>
      <c r="K6" s="5"/>
      <c r="L6" s="5"/>
    </row>
    <row r="7" spans="1:13" ht="15.95" customHeight="1" x14ac:dyDescent="0.25">
      <c r="A7" s="4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3" ht="15.95" customHeight="1" x14ac:dyDescent="0.25">
      <c r="A8" s="1" t="s">
        <v>2</v>
      </c>
      <c r="B8" s="5">
        <v>99558</v>
      </c>
      <c r="C8" s="5">
        <v>255266</v>
      </c>
      <c r="D8" s="5">
        <v>201890</v>
      </c>
      <c r="E8" s="5">
        <v>845889</v>
      </c>
      <c r="F8" s="5">
        <v>1905713</v>
      </c>
      <c r="G8" s="5">
        <v>1196908</v>
      </c>
      <c r="H8" s="5">
        <v>3393216</v>
      </c>
      <c r="I8" s="5">
        <v>3367914</v>
      </c>
      <c r="J8" s="5">
        <v>3686000</v>
      </c>
      <c r="K8" s="5">
        <v>6268000</v>
      </c>
      <c r="L8" s="5">
        <v>19384000</v>
      </c>
    </row>
    <row r="9" spans="1:13" ht="15.95" customHeight="1" x14ac:dyDescent="0.25">
      <c r="A9" s="1" t="s">
        <v>112</v>
      </c>
      <c r="B9" s="5">
        <v>73597</v>
      </c>
      <c r="C9" s="5">
        <v>48537</v>
      </c>
      <c r="D9" s="5">
        <v>19094</v>
      </c>
      <c r="E9" s="5">
        <v>3012</v>
      </c>
      <c r="F9" s="5">
        <v>17947</v>
      </c>
      <c r="G9" s="5">
        <v>22628</v>
      </c>
      <c r="H9" s="5">
        <v>105519</v>
      </c>
      <c r="I9" s="5">
        <v>155323</v>
      </c>
      <c r="J9" s="5">
        <v>193000</v>
      </c>
      <c r="K9" s="5">
        <v>0</v>
      </c>
      <c r="L9" s="5">
        <v>0</v>
      </c>
    </row>
    <row r="10" spans="1:13" ht="15.95" customHeight="1" x14ac:dyDescent="0.25">
      <c r="A10" s="1" t="s">
        <v>5</v>
      </c>
      <c r="B10" s="5">
        <v>6710</v>
      </c>
      <c r="C10" s="5">
        <v>9539</v>
      </c>
      <c r="D10" s="5">
        <v>26842</v>
      </c>
      <c r="E10" s="5">
        <v>49109</v>
      </c>
      <c r="F10" s="5">
        <v>226604</v>
      </c>
      <c r="G10" s="5">
        <v>168965</v>
      </c>
      <c r="H10" s="5">
        <v>499142</v>
      </c>
      <c r="I10" s="5">
        <v>515381</v>
      </c>
      <c r="J10" s="5">
        <v>949000</v>
      </c>
      <c r="K10" s="5">
        <v>1324000</v>
      </c>
      <c r="L10" s="5">
        <v>1886000</v>
      </c>
      <c r="M10" s="70"/>
    </row>
    <row r="11" spans="1:13" ht="15.95" customHeight="1" x14ac:dyDescent="0.25">
      <c r="A11" s="1" t="s">
        <v>6</v>
      </c>
      <c r="B11" s="5">
        <v>45182</v>
      </c>
      <c r="C11" s="5">
        <v>50082</v>
      </c>
      <c r="D11" s="5">
        <v>268504</v>
      </c>
      <c r="E11" s="5">
        <v>340355</v>
      </c>
      <c r="F11" s="5">
        <v>953675</v>
      </c>
      <c r="G11" s="5">
        <v>1277838</v>
      </c>
      <c r="H11" s="5">
        <v>2067454</v>
      </c>
      <c r="I11" s="5">
        <v>2263537</v>
      </c>
      <c r="J11" s="5">
        <v>3113000</v>
      </c>
      <c r="K11" s="5">
        <v>3552000</v>
      </c>
      <c r="L11" s="5">
        <v>4101000</v>
      </c>
    </row>
    <row r="12" spans="1:13" ht="15.95" customHeight="1" x14ac:dyDescent="0.25">
      <c r="A12" s="1" t="s">
        <v>7</v>
      </c>
      <c r="B12" s="5">
        <v>10839</v>
      </c>
      <c r="C12" s="5">
        <v>9414</v>
      </c>
      <c r="D12" s="5">
        <v>8438</v>
      </c>
      <c r="E12" s="5">
        <v>27574</v>
      </c>
      <c r="F12" s="5">
        <v>76134</v>
      </c>
      <c r="G12" s="5">
        <v>125229</v>
      </c>
      <c r="H12" s="5">
        <v>194465</v>
      </c>
      <c r="I12" s="5">
        <v>268365</v>
      </c>
      <c r="J12" s="5">
        <v>366000</v>
      </c>
      <c r="K12" s="5">
        <v>959000</v>
      </c>
      <c r="L12" s="5">
        <v>1346000</v>
      </c>
    </row>
    <row r="13" spans="1:13" s="8" customFormat="1" ht="15.95" customHeight="1" x14ac:dyDescent="0.25">
      <c r="A13" s="8" t="s">
        <v>8</v>
      </c>
      <c r="B13" s="9">
        <f>SUM(B8:B12)</f>
        <v>235886</v>
      </c>
      <c r="C13" s="9">
        <f t="shared" ref="C13" si="0">SUM(C8:C12)</f>
        <v>372838</v>
      </c>
      <c r="D13" s="9">
        <f t="shared" ref="D13:E13" si="1">SUM(D8:D12)</f>
        <v>524768</v>
      </c>
      <c r="E13" s="9">
        <f t="shared" si="1"/>
        <v>1265939</v>
      </c>
      <c r="F13" s="9">
        <f>SUM(F8:F12)</f>
        <v>3180073</v>
      </c>
      <c r="G13" s="9">
        <f>SUM(G8:G12)</f>
        <v>2791568</v>
      </c>
      <c r="H13" s="9">
        <f t="shared" ref="H13:I13" si="2">SUM(H8:H12)</f>
        <v>6259796</v>
      </c>
      <c r="I13" s="9">
        <f t="shared" si="2"/>
        <v>6570520</v>
      </c>
      <c r="J13" s="9">
        <f>SUM(J8:J12)</f>
        <v>8307000</v>
      </c>
      <c r="K13" s="9">
        <f>SUM(K8:K12)</f>
        <v>12103000</v>
      </c>
      <c r="L13" s="9">
        <f>SUM(L8:L12)</f>
        <v>26717000</v>
      </c>
    </row>
    <row r="14" spans="1:13" ht="15.95" customHeight="1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3" ht="15.95" customHeight="1" x14ac:dyDescent="0.25">
      <c r="A15" s="1" t="s">
        <v>9</v>
      </c>
      <c r="B15" s="5">
        <v>7963</v>
      </c>
      <c r="C15" s="5">
        <v>11757</v>
      </c>
      <c r="D15" s="5">
        <v>10071</v>
      </c>
      <c r="E15" s="5">
        <v>382425</v>
      </c>
      <c r="F15" s="5">
        <v>766744</v>
      </c>
      <c r="G15" s="5">
        <v>1791403</v>
      </c>
      <c r="H15" s="5">
        <v>3134080</v>
      </c>
      <c r="I15" s="5">
        <v>4116604</v>
      </c>
      <c r="J15" s="5">
        <v>2090000</v>
      </c>
      <c r="K15" s="5">
        <v>2447000</v>
      </c>
      <c r="L15" s="5">
        <v>3091000</v>
      </c>
    </row>
    <row r="16" spans="1:13" ht="15.95" customHeight="1" x14ac:dyDescent="0.25">
      <c r="A16" s="1" t="s">
        <v>10</v>
      </c>
      <c r="B16" s="5">
        <v>114636</v>
      </c>
      <c r="C16" s="5">
        <v>298414</v>
      </c>
      <c r="D16" s="5">
        <v>552229</v>
      </c>
      <c r="E16" s="5">
        <v>738494</v>
      </c>
      <c r="F16" s="5">
        <v>1829267</v>
      </c>
      <c r="G16" s="5">
        <v>3403334</v>
      </c>
      <c r="H16" s="5">
        <v>5982957</v>
      </c>
      <c r="I16" s="5">
        <v>10027522</v>
      </c>
      <c r="J16" s="5">
        <v>11330000</v>
      </c>
      <c r="K16" s="5">
        <v>10396000</v>
      </c>
      <c r="L16" s="5">
        <v>12747000</v>
      </c>
    </row>
    <row r="17" spans="1:12" ht="15.95" customHeight="1" x14ac:dyDescent="0.25">
      <c r="A17" s="1" t="s">
        <v>116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5919880</v>
      </c>
      <c r="I17" s="5">
        <v>6347490</v>
      </c>
      <c r="J17" s="5">
        <v>6271000</v>
      </c>
      <c r="K17" s="5">
        <v>6138000</v>
      </c>
      <c r="L17" s="5">
        <v>5979000</v>
      </c>
    </row>
    <row r="18" spans="1:12" ht="15.95" customHeight="1" x14ac:dyDescent="0.25">
      <c r="A18" s="1" t="s">
        <v>127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1218000</v>
      </c>
      <c r="L18" s="5">
        <v>1558000</v>
      </c>
    </row>
    <row r="19" spans="1:12" ht="15.95" customHeight="1" x14ac:dyDescent="0.25">
      <c r="A19" s="1" t="s">
        <v>117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376145</v>
      </c>
      <c r="I19" s="5">
        <v>361502</v>
      </c>
      <c r="J19" s="5">
        <v>282000</v>
      </c>
      <c r="K19" s="5">
        <v>339000</v>
      </c>
      <c r="L19" s="5">
        <v>313000</v>
      </c>
    </row>
    <row r="20" spans="1:12" ht="15.95" customHeight="1" x14ac:dyDescent="0.25">
      <c r="A20" s="1" t="s">
        <v>118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60237</v>
      </c>
      <c r="J20" s="5">
        <v>68000</v>
      </c>
      <c r="K20" s="5">
        <v>198000</v>
      </c>
      <c r="L20" s="5">
        <v>207000</v>
      </c>
    </row>
    <row r="21" spans="1:12" ht="15.95" customHeight="1" x14ac:dyDescent="0.25">
      <c r="A21" s="1" t="s">
        <v>119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506302</v>
      </c>
      <c r="I21" s="5">
        <v>456652</v>
      </c>
      <c r="J21" s="5">
        <v>422000</v>
      </c>
      <c r="K21" s="5">
        <v>0</v>
      </c>
      <c r="L21" s="5">
        <v>0</v>
      </c>
    </row>
    <row r="22" spans="1:12" ht="15.95" customHeight="1" x14ac:dyDescent="0.25">
      <c r="A22" s="1" t="s">
        <v>4</v>
      </c>
      <c r="B22" s="5">
        <v>4867</v>
      </c>
      <c r="C22" s="5">
        <v>8068</v>
      </c>
      <c r="D22" s="5">
        <v>5159</v>
      </c>
      <c r="E22" s="5">
        <v>6435</v>
      </c>
      <c r="F22" s="5">
        <v>11374</v>
      </c>
      <c r="G22" s="5">
        <v>31522</v>
      </c>
      <c r="H22" s="5">
        <v>268165</v>
      </c>
      <c r="I22" s="5">
        <v>441722</v>
      </c>
      <c r="J22" s="5">
        <v>398000</v>
      </c>
      <c r="K22" s="5">
        <v>0</v>
      </c>
      <c r="L22" s="5">
        <v>0</v>
      </c>
    </row>
    <row r="23" spans="1:12" ht="15.95" customHeight="1" x14ac:dyDescent="0.25">
      <c r="A23" s="1" t="s">
        <v>11</v>
      </c>
      <c r="B23" s="5">
        <v>22730</v>
      </c>
      <c r="C23" s="5">
        <v>22371</v>
      </c>
      <c r="D23" s="5">
        <v>21963</v>
      </c>
      <c r="E23" s="5">
        <v>23637</v>
      </c>
      <c r="F23" s="5">
        <v>43209</v>
      </c>
      <c r="G23" s="5">
        <v>74633</v>
      </c>
      <c r="H23" s="5">
        <v>216751</v>
      </c>
      <c r="I23" s="5">
        <v>273123</v>
      </c>
      <c r="J23" s="5">
        <v>572000</v>
      </c>
      <c r="K23" s="5">
        <v>1470000</v>
      </c>
      <c r="L23" s="5">
        <v>1536000</v>
      </c>
    </row>
    <row r="24" spans="1:12" s="8" customFormat="1" ht="15.95" customHeight="1" x14ac:dyDescent="0.25">
      <c r="A24" s="8" t="s">
        <v>12</v>
      </c>
      <c r="B24" s="9">
        <f t="shared" ref="B24:L24" si="3">+SUM(B15:B23)+B13</f>
        <v>386082</v>
      </c>
      <c r="C24" s="9">
        <f t="shared" si="3"/>
        <v>713448</v>
      </c>
      <c r="D24" s="9">
        <f t="shared" si="3"/>
        <v>1114190</v>
      </c>
      <c r="E24" s="9">
        <f t="shared" si="3"/>
        <v>2416930</v>
      </c>
      <c r="F24" s="9">
        <f t="shared" si="3"/>
        <v>5830667</v>
      </c>
      <c r="G24" s="9">
        <f t="shared" si="3"/>
        <v>8092460</v>
      </c>
      <c r="H24" s="9">
        <f t="shared" si="3"/>
        <v>22664076</v>
      </c>
      <c r="I24" s="9">
        <f t="shared" si="3"/>
        <v>28655372</v>
      </c>
      <c r="J24" s="9">
        <f t="shared" si="3"/>
        <v>29740000</v>
      </c>
      <c r="K24" s="9">
        <f t="shared" si="3"/>
        <v>34309000</v>
      </c>
      <c r="L24" s="9">
        <f t="shared" si="3"/>
        <v>52148000</v>
      </c>
    </row>
    <row r="25" spans="1:12" ht="15.9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.95" customHeight="1" x14ac:dyDescent="0.25">
      <c r="A26" s="4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.95" customHeight="1" x14ac:dyDescent="0.25">
      <c r="A27" s="4" t="s">
        <v>14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.95" customHeight="1" x14ac:dyDescent="0.25">
      <c r="A28" s="1" t="s">
        <v>15</v>
      </c>
      <c r="B28" s="5">
        <v>28951</v>
      </c>
      <c r="C28" s="5">
        <v>56141</v>
      </c>
      <c r="D28" s="5">
        <v>303382</v>
      </c>
      <c r="E28" s="5">
        <v>0</v>
      </c>
      <c r="F28" s="5">
        <v>777946</v>
      </c>
      <c r="G28" s="5">
        <v>916148</v>
      </c>
      <c r="H28" s="5">
        <v>1860341</v>
      </c>
      <c r="I28" s="5">
        <v>2390250</v>
      </c>
      <c r="J28" s="5">
        <v>3405000</v>
      </c>
      <c r="K28" s="5">
        <v>3771000</v>
      </c>
      <c r="L28" s="5">
        <v>6051000</v>
      </c>
    </row>
    <row r="29" spans="1:12" ht="15.95" customHeight="1" x14ac:dyDescent="0.25">
      <c r="A29" s="1" t="s">
        <v>16</v>
      </c>
      <c r="B29" s="5">
        <v>20945</v>
      </c>
      <c r="C29" s="5">
        <v>32109</v>
      </c>
      <c r="D29" s="5">
        <v>39798</v>
      </c>
      <c r="E29" s="5">
        <v>303969</v>
      </c>
      <c r="F29" s="5">
        <v>268883</v>
      </c>
      <c r="G29" s="5">
        <v>422798</v>
      </c>
      <c r="H29" s="5">
        <v>1210028</v>
      </c>
      <c r="I29" s="5">
        <v>1731366</v>
      </c>
      <c r="J29" s="5">
        <v>2094000</v>
      </c>
      <c r="K29" s="5">
        <v>3222000</v>
      </c>
      <c r="L29" s="5">
        <v>3855000</v>
      </c>
    </row>
    <row r="30" spans="1:12" ht="15.95" customHeight="1" x14ac:dyDescent="0.25">
      <c r="A30" s="1" t="s">
        <v>17</v>
      </c>
      <c r="B30" s="5">
        <v>4635</v>
      </c>
      <c r="C30" s="5">
        <v>2345</v>
      </c>
      <c r="D30" s="5">
        <v>1905</v>
      </c>
      <c r="E30" s="5">
        <v>108252</v>
      </c>
      <c r="F30" s="5">
        <v>191651</v>
      </c>
      <c r="G30" s="5">
        <v>423961</v>
      </c>
      <c r="H30" s="5">
        <v>763126</v>
      </c>
      <c r="I30" s="5">
        <v>1015253</v>
      </c>
      <c r="J30" s="5">
        <v>630000</v>
      </c>
      <c r="K30" s="5">
        <v>1163000</v>
      </c>
      <c r="L30" s="5">
        <v>1458000</v>
      </c>
    </row>
    <row r="31" spans="1:12" ht="15.95" customHeight="1" x14ac:dyDescent="0.25">
      <c r="A31" s="1" t="s">
        <v>109</v>
      </c>
      <c r="B31" s="5">
        <v>0</v>
      </c>
      <c r="C31" s="5">
        <v>0</v>
      </c>
      <c r="D31" s="5">
        <v>138817</v>
      </c>
      <c r="E31" s="5">
        <v>7722</v>
      </c>
      <c r="F31" s="5">
        <v>257587</v>
      </c>
      <c r="G31" s="5">
        <v>283370</v>
      </c>
      <c r="H31" s="5">
        <v>663859</v>
      </c>
      <c r="I31" s="5">
        <v>853919</v>
      </c>
      <c r="J31" s="5">
        <v>793000</v>
      </c>
      <c r="K31" s="5">
        <v>726000</v>
      </c>
      <c r="L31" s="5">
        <v>752000</v>
      </c>
    </row>
    <row r="32" spans="1:12" ht="15.95" customHeight="1" x14ac:dyDescent="0.25">
      <c r="A32" s="1" t="s">
        <v>18</v>
      </c>
      <c r="B32" s="5">
        <v>279</v>
      </c>
      <c r="C32" s="5">
        <v>1067</v>
      </c>
      <c r="D32" s="5">
        <v>4365</v>
      </c>
      <c r="E32" s="5">
        <v>91882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</row>
    <row r="33" spans="1:12" ht="15.95" customHeight="1" x14ac:dyDescent="0.25">
      <c r="A33" s="1" t="s">
        <v>113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136831</v>
      </c>
      <c r="H33" s="5">
        <v>179504</v>
      </c>
      <c r="I33" s="5">
        <v>787333</v>
      </c>
      <c r="J33" s="5">
        <v>503000</v>
      </c>
      <c r="K33" s="5">
        <v>0</v>
      </c>
      <c r="L33" s="5">
        <v>0</v>
      </c>
    </row>
    <row r="34" spans="1:12" ht="15.95" customHeight="1" x14ac:dyDescent="0.25">
      <c r="A34" s="1" t="s">
        <v>19</v>
      </c>
      <c r="B34" s="5">
        <v>30755</v>
      </c>
      <c r="C34" s="5">
        <v>91761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12" ht="15.95" customHeight="1" x14ac:dyDescent="0.25">
      <c r="A35" s="1" t="s">
        <v>120</v>
      </c>
      <c r="B35" s="5"/>
      <c r="C35" s="5">
        <v>7916</v>
      </c>
      <c r="D35" s="5">
        <v>50841</v>
      </c>
      <c r="E35" s="5">
        <v>182</v>
      </c>
      <c r="F35" s="5">
        <v>611099</v>
      </c>
      <c r="G35" s="5">
        <v>633166</v>
      </c>
      <c r="H35" s="5">
        <v>984211</v>
      </c>
      <c r="I35" s="5">
        <v>796549</v>
      </c>
      <c r="J35" s="5">
        <v>2568000</v>
      </c>
      <c r="K35" s="5">
        <v>1785000</v>
      </c>
      <c r="L35" s="5">
        <v>2132000</v>
      </c>
    </row>
    <row r="36" spans="1:12" s="6" customFormat="1" ht="15.95" customHeight="1" x14ac:dyDescent="0.25">
      <c r="A36" s="1" t="s">
        <v>121</v>
      </c>
      <c r="B36" s="5">
        <v>0</v>
      </c>
      <c r="C36" s="5">
        <v>0</v>
      </c>
      <c r="D36" s="5"/>
      <c r="E36" s="5">
        <v>163153</v>
      </c>
      <c r="F36" s="5"/>
      <c r="G36" s="5"/>
      <c r="H36" s="5">
        <v>165936</v>
      </c>
      <c r="I36" s="5">
        <v>100000</v>
      </c>
      <c r="J36" s="5">
        <v>0</v>
      </c>
      <c r="K36" s="5">
        <v>0</v>
      </c>
      <c r="L36" s="5">
        <v>0</v>
      </c>
    </row>
    <row r="37" spans="1:12" s="10" customFormat="1" ht="15.95" customHeight="1" x14ac:dyDescent="0.25">
      <c r="A37" s="8" t="s">
        <v>20</v>
      </c>
      <c r="B37" s="9">
        <f t="shared" ref="B37:J37" si="4">+SUM(B26:B36)</f>
        <v>85565</v>
      </c>
      <c r="C37" s="9">
        <f t="shared" si="4"/>
        <v>191339</v>
      </c>
      <c r="D37" s="9">
        <f t="shared" si="4"/>
        <v>539108</v>
      </c>
      <c r="E37" s="9">
        <f t="shared" si="4"/>
        <v>675160</v>
      </c>
      <c r="F37" s="9">
        <f t="shared" si="4"/>
        <v>2107166</v>
      </c>
      <c r="G37" s="9">
        <f t="shared" si="4"/>
        <v>2816274</v>
      </c>
      <c r="H37" s="9">
        <f t="shared" si="4"/>
        <v>5827005</v>
      </c>
      <c r="I37" s="9">
        <f t="shared" si="4"/>
        <v>7674670</v>
      </c>
      <c r="J37" s="9">
        <f t="shared" si="4"/>
        <v>9993000</v>
      </c>
      <c r="K37" s="9">
        <f t="shared" ref="K37:L37" si="5">+SUM(K26:K36)</f>
        <v>10667000</v>
      </c>
      <c r="L37" s="9">
        <f t="shared" si="5"/>
        <v>14248000</v>
      </c>
    </row>
    <row r="38" spans="1:12" ht="15.95" customHeight="1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5.95" customHeight="1" x14ac:dyDescent="0.25">
      <c r="A39" s="1" t="s">
        <v>21</v>
      </c>
      <c r="B39" s="5">
        <v>6088</v>
      </c>
      <c r="C39" s="5">
        <v>8838</v>
      </c>
      <c r="D39" s="5">
        <v>10692</v>
      </c>
      <c r="E39" s="5">
        <v>0</v>
      </c>
      <c r="F39" s="5"/>
      <c r="G39" s="5"/>
      <c r="H39" s="7"/>
      <c r="I39" s="7"/>
      <c r="J39" s="7"/>
      <c r="K39" s="7">
        <v>0</v>
      </c>
      <c r="L39" s="7">
        <v>0</v>
      </c>
    </row>
    <row r="40" spans="1:12" ht="15.95" customHeight="1" x14ac:dyDescent="0.25">
      <c r="A40" s="1" t="s">
        <v>128</v>
      </c>
      <c r="B40" s="5">
        <v>71828</v>
      </c>
      <c r="C40" s="5">
        <v>268335</v>
      </c>
      <c r="D40" s="5">
        <v>401495</v>
      </c>
      <c r="E40" s="5">
        <v>236299</v>
      </c>
      <c r="F40" s="5">
        <v>1818785</v>
      </c>
      <c r="G40" s="5">
        <v>2040375</v>
      </c>
      <c r="H40" s="5">
        <v>5860049</v>
      </c>
      <c r="I40" s="5">
        <v>9415700</v>
      </c>
      <c r="J40" s="5">
        <v>9404000</v>
      </c>
      <c r="K40" s="5">
        <v>11634000</v>
      </c>
      <c r="L40" s="5">
        <v>9556000</v>
      </c>
    </row>
    <row r="41" spans="1:12" ht="15.95" customHeight="1" x14ac:dyDescent="0.25">
      <c r="A41" s="1" t="s">
        <v>22</v>
      </c>
      <c r="B41" s="5">
        <v>496</v>
      </c>
      <c r="C41" s="5">
        <v>2830</v>
      </c>
      <c r="D41" s="5">
        <v>9965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</row>
    <row r="42" spans="1:12" ht="15.95" customHeight="1" x14ac:dyDescent="0.25">
      <c r="A42" s="1" t="s">
        <v>23</v>
      </c>
      <c r="B42" s="5">
        <v>2783</v>
      </c>
      <c r="C42" s="5">
        <v>3146</v>
      </c>
      <c r="D42" s="5">
        <v>3060</v>
      </c>
      <c r="E42" s="5">
        <v>12855</v>
      </c>
      <c r="F42" s="5">
        <v>292271</v>
      </c>
      <c r="G42" s="5">
        <v>446105</v>
      </c>
      <c r="H42" s="5">
        <v>851790</v>
      </c>
      <c r="I42" s="5">
        <v>1177799</v>
      </c>
      <c r="J42" s="5">
        <v>991000</v>
      </c>
      <c r="K42" s="5">
        <v>1207000</v>
      </c>
      <c r="L42" s="5">
        <v>1284000</v>
      </c>
    </row>
    <row r="43" spans="1:12" ht="15.95" customHeight="1" x14ac:dyDescent="0.25">
      <c r="A43" s="1" t="s">
        <v>123</v>
      </c>
      <c r="B43" s="5">
        <v>0</v>
      </c>
      <c r="C43" s="5">
        <v>0</v>
      </c>
      <c r="D43" s="5">
        <v>0</v>
      </c>
      <c r="E43" s="5">
        <v>181180</v>
      </c>
      <c r="F43" s="5"/>
      <c r="G43" s="5"/>
      <c r="H43" s="5">
        <v>10287</v>
      </c>
      <c r="I43" s="5">
        <v>2519</v>
      </c>
      <c r="J43" s="5">
        <v>0</v>
      </c>
      <c r="K43" s="5">
        <v>0</v>
      </c>
      <c r="L43" s="5">
        <v>0</v>
      </c>
    </row>
    <row r="44" spans="1:12" ht="15.95" customHeight="1" x14ac:dyDescent="0.25">
      <c r="A44" s="1" t="s">
        <v>110</v>
      </c>
      <c r="B44" s="5">
        <v>0</v>
      </c>
      <c r="C44" s="5">
        <v>0</v>
      </c>
      <c r="D44" s="5">
        <v>0</v>
      </c>
      <c r="E44" s="5">
        <v>586119</v>
      </c>
      <c r="F44" s="5">
        <v>487879</v>
      </c>
      <c r="G44" s="5">
        <v>1293741</v>
      </c>
      <c r="H44" s="5">
        <v>2210423</v>
      </c>
      <c r="I44" s="5">
        <v>2309222</v>
      </c>
      <c r="J44" s="5">
        <v>329000</v>
      </c>
      <c r="K44" s="5">
        <v>0</v>
      </c>
      <c r="L44" s="5">
        <v>0</v>
      </c>
    </row>
    <row r="45" spans="1:12" ht="15.95" customHeight="1" x14ac:dyDescent="0.25">
      <c r="A45" s="1" t="s">
        <v>24</v>
      </c>
      <c r="B45" s="5">
        <v>12274</v>
      </c>
      <c r="C45" s="5">
        <v>14915</v>
      </c>
      <c r="D45" s="5">
        <v>25170</v>
      </c>
      <c r="E45" s="5">
        <v>58197</v>
      </c>
      <c r="F45" s="5">
        <v>154660</v>
      </c>
      <c r="G45" s="5">
        <v>364976</v>
      </c>
      <c r="H45" s="5">
        <v>1891449</v>
      </c>
      <c r="I45" s="5">
        <v>2442970</v>
      </c>
      <c r="J45" s="5">
        <v>2710000</v>
      </c>
      <c r="K45" s="5">
        <v>2691000</v>
      </c>
      <c r="L45" s="5">
        <v>3330000</v>
      </c>
    </row>
    <row r="46" spans="1:12" ht="15.95" customHeight="1" x14ac:dyDescent="0.25">
      <c r="A46" s="1" t="s">
        <v>122</v>
      </c>
      <c r="B46" s="5"/>
      <c r="C46" s="5"/>
      <c r="D46" s="5">
        <v>0</v>
      </c>
      <c r="E46" s="5">
        <v>0</v>
      </c>
      <c r="F46" s="5"/>
      <c r="G46" s="5"/>
      <c r="H46" s="5">
        <v>99164</v>
      </c>
      <c r="I46" s="5">
        <v>100</v>
      </c>
      <c r="J46" s="5"/>
      <c r="K46" s="5">
        <v>0</v>
      </c>
      <c r="L46" s="5">
        <v>0</v>
      </c>
    </row>
    <row r="47" spans="1:12" s="8" customFormat="1" ht="15.95" customHeight="1" x14ac:dyDescent="0.25">
      <c r="A47" s="8" t="s">
        <v>25</v>
      </c>
      <c r="B47" s="9">
        <f t="shared" ref="B47:G47" si="6">+SUM(B37:B45)</f>
        <v>179034</v>
      </c>
      <c r="C47" s="9">
        <f t="shared" si="6"/>
        <v>489403</v>
      </c>
      <c r="D47" s="9">
        <f t="shared" si="6"/>
        <v>989490</v>
      </c>
      <c r="E47" s="9">
        <f t="shared" si="6"/>
        <v>1749810</v>
      </c>
      <c r="F47" s="9">
        <f t="shared" si="6"/>
        <v>4860761</v>
      </c>
      <c r="G47" s="9">
        <f t="shared" si="6"/>
        <v>6961471</v>
      </c>
      <c r="H47" s="9">
        <f>+SUM(H37:H46)</f>
        <v>16750167</v>
      </c>
      <c r="I47" s="9">
        <f>+SUM(I37:I46)</f>
        <v>23022980</v>
      </c>
      <c r="J47" s="9">
        <f>+SUM(J37:J46)</f>
        <v>23427000</v>
      </c>
      <c r="K47" s="9">
        <f>+SUM(K37:K46)</f>
        <v>26199000</v>
      </c>
      <c r="L47" s="9">
        <f>+SUM(L37:L46)</f>
        <v>28418000</v>
      </c>
    </row>
    <row r="48" spans="1:12" ht="15.95" customHeight="1" x14ac:dyDescent="0.25">
      <c r="B48" s="5"/>
      <c r="C48" s="5"/>
      <c r="D48" s="5"/>
      <c r="E48" s="5"/>
      <c r="F48" s="5"/>
      <c r="G48" s="5"/>
      <c r="H48" s="7"/>
      <c r="I48" s="7"/>
      <c r="J48" s="7"/>
      <c r="K48" s="7"/>
      <c r="L48" s="7"/>
    </row>
    <row r="49" spans="1:13" ht="15.95" customHeight="1" x14ac:dyDescent="0.25">
      <c r="A49" s="1" t="s">
        <v>26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  <row r="50" spans="1:13" ht="15.95" customHeight="1" x14ac:dyDescent="0.25">
      <c r="A50" s="1" t="s">
        <v>124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367039</v>
      </c>
      <c r="I50" s="5">
        <v>397734</v>
      </c>
      <c r="J50" s="5">
        <v>556000</v>
      </c>
      <c r="K50" s="5">
        <v>643000</v>
      </c>
      <c r="L50" s="5">
        <v>604000</v>
      </c>
    </row>
    <row r="51" spans="1:13" ht="15.95" customHeight="1" x14ac:dyDescent="0.25">
      <c r="A51" s="1" t="s">
        <v>115</v>
      </c>
      <c r="B51" s="5">
        <v>0</v>
      </c>
      <c r="C51" s="5">
        <v>0</v>
      </c>
      <c r="D51" s="5">
        <v>0</v>
      </c>
      <c r="E51" s="5">
        <v>0</v>
      </c>
      <c r="F51" s="5">
        <v>58196</v>
      </c>
      <c r="G51" s="5">
        <v>42045</v>
      </c>
      <c r="H51" s="5">
        <v>8784</v>
      </c>
      <c r="I51" s="5">
        <v>70</v>
      </c>
      <c r="J51" s="5">
        <v>0</v>
      </c>
      <c r="K51" s="5">
        <v>0</v>
      </c>
      <c r="L51" s="5">
        <v>51000</v>
      </c>
    </row>
    <row r="52" spans="1:13" ht="15.95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3" ht="15.95" customHeight="1" x14ac:dyDescent="0.25">
      <c r="A53" s="4" t="s">
        <v>125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3" ht="15.95" customHeight="1" x14ac:dyDescent="0.25">
      <c r="A54" s="4" t="s">
        <v>27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3" ht="15.95" customHeight="1" x14ac:dyDescent="0.25">
      <c r="A55" s="1" t="s">
        <v>28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13" ht="15.95" customHeight="1" x14ac:dyDescent="0.25">
      <c r="A56" s="1" t="s">
        <v>29</v>
      </c>
      <c r="B56" s="5">
        <v>95</v>
      </c>
      <c r="C56" s="5">
        <v>104</v>
      </c>
      <c r="D56" s="5">
        <v>115</v>
      </c>
      <c r="E56" s="5">
        <v>123</v>
      </c>
      <c r="F56" s="5">
        <v>126</v>
      </c>
      <c r="G56" s="5">
        <v>131</v>
      </c>
      <c r="H56" s="5">
        <v>161</v>
      </c>
      <c r="I56" s="5">
        <v>169</v>
      </c>
      <c r="J56" s="5">
        <v>0</v>
      </c>
      <c r="K56" s="5">
        <v>1000</v>
      </c>
      <c r="L56" s="5">
        <v>1000</v>
      </c>
    </row>
    <row r="57" spans="1:13" ht="15.95" customHeight="1" x14ac:dyDescent="0.25">
      <c r="B57" s="5"/>
      <c r="C57" s="5"/>
      <c r="D57" s="5"/>
      <c r="E57" s="5"/>
      <c r="F57" s="5"/>
      <c r="H57" s="5"/>
      <c r="I57" s="5"/>
      <c r="J57" s="5"/>
      <c r="K57" s="5"/>
      <c r="L57" s="5"/>
    </row>
    <row r="58" spans="1:13" ht="15.95" customHeight="1" x14ac:dyDescent="0.25">
      <c r="A58" s="1" t="s">
        <v>30</v>
      </c>
      <c r="B58" s="5">
        <v>621935</v>
      </c>
      <c r="C58" s="5">
        <v>893336</v>
      </c>
      <c r="D58" s="5">
        <v>1190191</v>
      </c>
      <c r="E58" s="5">
        <v>1806617</v>
      </c>
      <c r="F58" s="5">
        <v>2345266</v>
      </c>
      <c r="G58" s="5">
        <v>3414692</v>
      </c>
      <c r="H58" s="5">
        <v>7773727</v>
      </c>
      <c r="I58" s="5">
        <v>9178024</v>
      </c>
      <c r="J58" s="5">
        <v>10249000</v>
      </c>
      <c r="K58" s="5">
        <v>12737000</v>
      </c>
      <c r="L58" s="5">
        <v>27260000</v>
      </c>
    </row>
    <row r="59" spans="1:13" ht="15.95" customHeight="1" x14ac:dyDescent="0.25">
      <c r="A59" s="1" t="s">
        <v>31</v>
      </c>
      <c r="B59" s="5"/>
      <c r="C59" s="5">
        <v>-3</v>
      </c>
      <c r="F59" s="5">
        <v>-22</v>
      </c>
      <c r="G59" s="5">
        <v>-3556</v>
      </c>
      <c r="H59" s="5">
        <v>-23740</v>
      </c>
      <c r="I59" s="5">
        <v>33348</v>
      </c>
      <c r="J59" s="5">
        <v>-8000</v>
      </c>
      <c r="K59" s="5">
        <v>-36000</v>
      </c>
      <c r="L59" s="5">
        <v>363000</v>
      </c>
    </row>
    <row r="60" spans="1:13" ht="15.95" customHeight="1" x14ac:dyDescent="0.25">
      <c r="A60" s="1" t="s">
        <v>32</v>
      </c>
      <c r="B60" s="5">
        <v>-414982</v>
      </c>
      <c r="C60" s="5">
        <v>-669392</v>
      </c>
      <c r="D60" s="5">
        <v>-1065606</v>
      </c>
      <c r="E60" s="5">
        <v>-1139620</v>
      </c>
      <c r="F60" s="5">
        <v>-1433660</v>
      </c>
      <c r="G60" s="5">
        <v>-2322323</v>
      </c>
      <c r="H60" s="5">
        <v>-2997237</v>
      </c>
      <c r="I60" s="5">
        <v>-4974299</v>
      </c>
      <c r="J60" s="5">
        <v>-5318000</v>
      </c>
      <c r="K60" s="5">
        <v>-6083000</v>
      </c>
      <c r="L60" s="5">
        <v>-5399000</v>
      </c>
    </row>
    <row r="61" spans="1:13" s="8" customFormat="1" ht="15.95" customHeight="1" x14ac:dyDescent="0.25">
      <c r="A61" s="8" t="s">
        <v>33</v>
      </c>
      <c r="B61" s="9">
        <f>+SUM(B55:B60)</f>
        <v>207048</v>
      </c>
      <c r="C61" s="9">
        <f>+SUM(C55:C60)</f>
        <v>224045</v>
      </c>
      <c r="D61" s="9">
        <f>+SUM(D55:D60)</f>
        <v>124700</v>
      </c>
      <c r="E61" s="9">
        <f>+SUM(E55:E60)</f>
        <v>667120</v>
      </c>
      <c r="F61" s="9">
        <f>+SUM(F55:F60)</f>
        <v>911710</v>
      </c>
      <c r="G61" s="9">
        <f>+SUM(G55:G60)</f>
        <v>1088944</v>
      </c>
      <c r="H61" s="9">
        <f>+SUM(H55:H60)</f>
        <v>4752911</v>
      </c>
      <c r="I61" s="9">
        <f>+SUM(I55:I60)</f>
        <v>4237242</v>
      </c>
      <c r="J61" s="9">
        <f>+SUM(J55:J60)</f>
        <v>4923000</v>
      </c>
      <c r="K61" s="9">
        <f>+SUM(K55:K60)</f>
        <v>6619000</v>
      </c>
      <c r="L61" s="9">
        <f>+SUM(L55:L60)</f>
        <v>22225000</v>
      </c>
    </row>
    <row r="62" spans="1:13" ht="15.95" customHeight="1" x14ac:dyDescent="0.25">
      <c r="A62" s="1" t="s">
        <v>126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785175</v>
      </c>
      <c r="I62" s="5">
        <v>997346</v>
      </c>
      <c r="J62" s="5">
        <v>834000</v>
      </c>
      <c r="K62" s="5">
        <v>849000</v>
      </c>
      <c r="L62" s="5">
        <v>850000</v>
      </c>
    </row>
    <row r="63" spans="1:13" s="8" customFormat="1" ht="15.95" customHeight="1" x14ac:dyDescent="0.25">
      <c r="A63" s="8" t="s">
        <v>34</v>
      </c>
      <c r="B63" s="15">
        <f>+B61+B47</f>
        <v>386082</v>
      </c>
      <c r="C63" s="15">
        <f>+C61+C47</f>
        <v>713448</v>
      </c>
      <c r="D63" s="15">
        <f>+D61+D47</f>
        <v>1114190</v>
      </c>
      <c r="E63" s="15">
        <f>+E61+E47</f>
        <v>2416930</v>
      </c>
      <c r="F63" s="15">
        <f>+F61+F47+F51</f>
        <v>5830667</v>
      </c>
      <c r="G63" s="15">
        <f>+G61+G47+G51</f>
        <v>8092460</v>
      </c>
      <c r="H63" s="15">
        <f>+H61+H47+H51+H50+H62</f>
        <v>22664076</v>
      </c>
      <c r="I63" s="15">
        <f>+I61+I47+I51+I50+I62</f>
        <v>28655372</v>
      </c>
      <c r="J63" s="15">
        <f>+J61+J47+J51+J50+J62</f>
        <v>29740000</v>
      </c>
      <c r="K63" s="15">
        <f>+K61+K47+K51+K50+K62</f>
        <v>34310000</v>
      </c>
      <c r="L63" s="15">
        <f>+L61+L47+L51+L50+L62</f>
        <v>52148000</v>
      </c>
      <c r="M63" s="15"/>
    </row>
    <row r="64" spans="1:13" ht="15.95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4:12" ht="15.95" customHeight="1" x14ac:dyDescent="0.25">
      <c r="D65" s="5"/>
      <c r="E65" s="5"/>
      <c r="F65" s="5"/>
      <c r="G65" s="5"/>
      <c r="H65" s="5"/>
      <c r="I65" s="5"/>
      <c r="J65" s="5"/>
      <c r="K65" s="5"/>
      <c r="L65" s="5"/>
    </row>
    <row r="66" spans="4:12" ht="15.95" customHeight="1" x14ac:dyDescent="0.25">
      <c r="D66" s="5"/>
      <c r="E66" s="5"/>
      <c r="F66" s="5"/>
      <c r="G66" s="5"/>
      <c r="K66" s="5"/>
      <c r="L66" s="5"/>
    </row>
    <row r="67" spans="4:12" ht="15.95" customHeight="1" x14ac:dyDescent="0.25">
      <c r="F67" s="5"/>
      <c r="G67" s="5"/>
    </row>
    <row r="68" spans="4:12" ht="15.95" customHeight="1" x14ac:dyDescent="0.25">
      <c r="F68" s="5"/>
      <c r="G6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1EB9-6E77-48CA-9D7D-5C7277E9620B}">
  <dimension ref="A1:M50"/>
  <sheetViews>
    <sheetView zoomScaleNormal="100" workbookViewId="0">
      <pane xSplit="1" ySplit="5" topLeftCell="B30" activePane="bottomRight" state="frozen"/>
      <selection pane="topRight" activeCell="B1" sqref="B1"/>
      <selection pane="bottomLeft" activeCell="A8" sqref="A8"/>
      <selection pane="bottomRight" activeCell="A50" sqref="A50:XFD50"/>
    </sheetView>
  </sheetViews>
  <sheetFormatPr defaultColWidth="15.7109375" defaultRowHeight="15.95" customHeight="1" outlineLevelCol="1" x14ac:dyDescent="0.25"/>
  <cols>
    <col min="1" max="1" width="32.5703125" style="1" customWidth="1"/>
    <col min="2" max="2" width="16.5703125" style="5" customWidth="1" outlineLevel="1"/>
    <col min="3" max="8" width="15.7109375" style="5" customWidth="1" outlineLevel="1"/>
    <col min="9" max="13" width="15.7109375" style="5"/>
    <col min="14" max="16384" width="15.7109375" style="1"/>
  </cols>
  <sheetData>
    <row r="1" spans="1:13" ht="15.95" customHeight="1" x14ac:dyDescent="0.25">
      <c r="A1" s="8" t="s">
        <v>35</v>
      </c>
    </row>
    <row r="2" spans="1:13" ht="15.95" customHeight="1" x14ac:dyDescent="0.25">
      <c r="A2" s="8" t="s">
        <v>39</v>
      </c>
    </row>
    <row r="3" spans="1:13" ht="15.95" customHeight="1" x14ac:dyDescent="0.25">
      <c r="A3" s="8" t="s">
        <v>152</v>
      </c>
    </row>
    <row r="5" spans="1:13" s="30" customFormat="1" ht="15.95" customHeight="1" x14ac:dyDescent="0.25">
      <c r="B5" s="11">
        <v>2009</v>
      </c>
      <c r="C5" s="11">
        <v>2010</v>
      </c>
      <c r="D5" s="11">
        <v>2011</v>
      </c>
      <c r="E5" s="11">
        <v>2012</v>
      </c>
      <c r="F5" s="11">
        <v>2013</v>
      </c>
      <c r="G5" s="11">
        <v>2014</v>
      </c>
      <c r="H5" s="11">
        <v>2015</v>
      </c>
      <c r="I5" s="11">
        <v>2016</v>
      </c>
      <c r="J5" s="11">
        <v>2017</v>
      </c>
      <c r="K5" s="11">
        <v>2018</v>
      </c>
      <c r="L5" s="11">
        <v>2019</v>
      </c>
      <c r="M5" s="11">
        <v>2020</v>
      </c>
    </row>
    <row r="6" spans="1:13" s="6" customFormat="1" ht="15.95" customHeight="1" x14ac:dyDescent="0.25">
      <c r="A6" s="6" t="s">
        <v>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.95" customHeight="1" x14ac:dyDescent="0.25">
      <c r="A7" s="1" t="s">
        <v>41</v>
      </c>
      <c r="B7" s="5">
        <v>111943</v>
      </c>
      <c r="C7" s="5">
        <v>97078</v>
      </c>
      <c r="D7" s="5">
        <v>148568</v>
      </c>
      <c r="E7" s="5">
        <v>385699</v>
      </c>
      <c r="F7" s="5">
        <v>1997786</v>
      </c>
      <c r="G7" s="5">
        <v>3007012</v>
      </c>
      <c r="H7" s="5">
        <v>3431587</v>
      </c>
      <c r="I7" s="5">
        <v>5589007</v>
      </c>
      <c r="J7" s="5">
        <v>8534752</v>
      </c>
      <c r="K7" s="5">
        <v>17632000</v>
      </c>
      <c r="L7" s="5">
        <v>19952000</v>
      </c>
      <c r="M7" s="5">
        <v>26184000</v>
      </c>
    </row>
    <row r="8" spans="1:13" ht="15.95" customHeight="1" x14ac:dyDescent="0.25">
      <c r="A8" s="1" t="s">
        <v>129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309386</v>
      </c>
      <c r="I8" s="5">
        <v>761759</v>
      </c>
      <c r="J8" s="5">
        <v>1106548</v>
      </c>
      <c r="K8" s="5">
        <v>883000</v>
      </c>
      <c r="L8" s="5">
        <v>869000</v>
      </c>
      <c r="M8" s="5">
        <v>1052000</v>
      </c>
    </row>
    <row r="9" spans="1:13" s="6" customFormat="1" ht="15.95" customHeight="1" x14ac:dyDescent="0.25">
      <c r="A9" s="6" t="s">
        <v>130</v>
      </c>
      <c r="B9" s="7">
        <f>+SUM(B7:B8)</f>
        <v>111943</v>
      </c>
      <c r="C9" s="7">
        <f t="shared" ref="C9:H9" si="0">+SUM(C7:C8)</f>
        <v>97078</v>
      </c>
      <c r="D9" s="7">
        <f t="shared" si="0"/>
        <v>148568</v>
      </c>
      <c r="E9" s="7">
        <f t="shared" si="0"/>
        <v>385699</v>
      </c>
      <c r="F9" s="7">
        <f t="shared" si="0"/>
        <v>1997786</v>
      </c>
      <c r="G9" s="7">
        <f t="shared" si="0"/>
        <v>3007012</v>
      </c>
      <c r="H9" s="7">
        <f t="shared" si="0"/>
        <v>3740973</v>
      </c>
      <c r="I9" s="7">
        <f t="shared" ref="I9" si="1">+SUM(I7:I8)</f>
        <v>6350766</v>
      </c>
      <c r="J9" s="7">
        <f t="shared" ref="J9" si="2">+SUM(J7:J8)</f>
        <v>9641300</v>
      </c>
      <c r="K9" s="7">
        <f t="shared" ref="K9" si="3">+SUM(K7:K8)</f>
        <v>18515000</v>
      </c>
      <c r="L9" s="7">
        <f t="shared" ref="L9" si="4">+SUM(L7:L8)</f>
        <v>20821000</v>
      </c>
      <c r="M9" s="7">
        <f t="shared" ref="M9" si="5">+SUM(M7:M8)</f>
        <v>27236000</v>
      </c>
    </row>
    <row r="10" spans="1:13" ht="15.95" customHeight="1" x14ac:dyDescent="0.25">
      <c r="A10" s="1" t="s">
        <v>131</v>
      </c>
      <c r="B10" s="7">
        <v>0</v>
      </c>
      <c r="C10" s="7">
        <v>0</v>
      </c>
      <c r="D10" s="7">
        <v>0</v>
      </c>
      <c r="E10" s="7"/>
      <c r="F10" s="7"/>
      <c r="G10" s="7"/>
      <c r="H10" s="7">
        <v>14477</v>
      </c>
      <c r="I10" s="5">
        <v>181394</v>
      </c>
      <c r="J10" s="5">
        <v>1116266</v>
      </c>
      <c r="K10" s="5">
        <v>1555000</v>
      </c>
      <c r="L10" s="5">
        <v>1531000</v>
      </c>
      <c r="M10" s="5">
        <v>1994000</v>
      </c>
    </row>
    <row r="11" spans="1:13" ht="15.95" customHeight="1" x14ac:dyDescent="0.25">
      <c r="A11" s="1" t="s">
        <v>42</v>
      </c>
      <c r="B11" s="5">
        <v>0</v>
      </c>
      <c r="C11" s="5">
        <v>19666</v>
      </c>
      <c r="D11" s="5">
        <v>55674</v>
      </c>
      <c r="E11" s="5">
        <v>27557</v>
      </c>
      <c r="F11" s="5">
        <v>15710</v>
      </c>
      <c r="G11" s="5">
        <v>191344</v>
      </c>
      <c r="H11" s="5">
        <v>290575</v>
      </c>
      <c r="I11" s="5">
        <v>467972</v>
      </c>
      <c r="J11" s="5">
        <v>1001185</v>
      </c>
      <c r="K11" s="5">
        <v>1391000</v>
      </c>
      <c r="L11" s="5">
        <v>2226000</v>
      </c>
      <c r="M11" s="5">
        <v>2306000</v>
      </c>
    </row>
    <row r="12" spans="1:13" s="8" customFormat="1" ht="15.95" customHeight="1" x14ac:dyDescent="0.25">
      <c r="A12" s="8" t="s">
        <v>43</v>
      </c>
      <c r="B12" s="9">
        <f>+SUM(B9:B11)</f>
        <v>111943</v>
      </c>
      <c r="C12" s="9">
        <f t="shared" ref="C12:F12" si="6">+SUM(C9:C11)</f>
        <v>116744</v>
      </c>
      <c r="D12" s="9">
        <f t="shared" si="6"/>
        <v>204242</v>
      </c>
      <c r="E12" s="9">
        <f t="shared" si="6"/>
        <v>413256</v>
      </c>
      <c r="F12" s="9">
        <f t="shared" si="6"/>
        <v>2013496</v>
      </c>
      <c r="G12" s="9">
        <f t="shared" ref="G12:H12" si="7">+SUM(G9:G11)</f>
        <v>3198356</v>
      </c>
      <c r="H12" s="9">
        <f t="shared" si="7"/>
        <v>4046025</v>
      </c>
      <c r="I12" s="9">
        <f t="shared" ref="I12" si="8">+SUM(I9:I11)</f>
        <v>7000132</v>
      </c>
      <c r="J12" s="9">
        <f t="shared" ref="J12" si="9">+SUM(J9:J11)</f>
        <v>11758751</v>
      </c>
      <c r="K12" s="9">
        <f t="shared" ref="K12" si="10">+SUM(K9:K11)</f>
        <v>21461000</v>
      </c>
      <c r="L12" s="9">
        <f t="shared" ref="L12" si="11">+SUM(L9:L11)</f>
        <v>24578000</v>
      </c>
      <c r="M12" s="9">
        <f t="shared" ref="M12" si="12">+SUM(M9:M11)</f>
        <v>31536000</v>
      </c>
    </row>
    <row r="14" spans="1:13" ht="15.95" customHeight="1" x14ac:dyDescent="0.25">
      <c r="A14" s="6" t="s">
        <v>44</v>
      </c>
    </row>
    <row r="15" spans="1:13" ht="15.95" customHeight="1" x14ac:dyDescent="0.25">
      <c r="A15" s="1" t="s">
        <v>41</v>
      </c>
      <c r="B15" s="5">
        <v>102408</v>
      </c>
      <c r="C15" s="5">
        <v>79982</v>
      </c>
      <c r="D15" s="5">
        <v>115482</v>
      </c>
      <c r="E15" s="5">
        <v>371658</v>
      </c>
      <c r="F15" s="5">
        <v>1543878</v>
      </c>
      <c r="G15" s="5">
        <v>2145749</v>
      </c>
      <c r="H15" s="5">
        <v>2639926</v>
      </c>
      <c r="I15" s="5">
        <v>4268087</v>
      </c>
      <c r="J15" s="5">
        <v>6724480</v>
      </c>
      <c r="K15" s="5">
        <v>13686000</v>
      </c>
      <c r="L15" s="5">
        <v>15939000</v>
      </c>
      <c r="M15" s="5">
        <v>19696000</v>
      </c>
    </row>
    <row r="16" spans="1:13" ht="15.95" customHeight="1" x14ac:dyDescent="0.25">
      <c r="A16" s="1" t="s">
        <v>129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183376</v>
      </c>
      <c r="I16" s="5">
        <v>481994</v>
      </c>
      <c r="J16" s="5">
        <v>708224</v>
      </c>
      <c r="K16" s="5">
        <v>488000</v>
      </c>
      <c r="L16" s="5">
        <v>459000</v>
      </c>
      <c r="M16" s="5">
        <v>563000</v>
      </c>
    </row>
    <row r="17" spans="1:13" s="6" customFormat="1" ht="15.95" customHeight="1" x14ac:dyDescent="0.25">
      <c r="A17" s="6" t="s">
        <v>132</v>
      </c>
      <c r="B17" s="7">
        <f>+SUM(B15:B16)</f>
        <v>102408</v>
      </c>
      <c r="C17" s="7">
        <f t="shared" ref="C17" si="13">+SUM(C15:C16)</f>
        <v>79982</v>
      </c>
      <c r="D17" s="7">
        <f>+SUM(D15:D16)</f>
        <v>115482</v>
      </c>
      <c r="E17" s="7">
        <f>+SUM(E15:E16)</f>
        <v>371658</v>
      </c>
      <c r="F17" s="7">
        <f t="shared" ref="F17" si="14">+SUM(F15:F16)</f>
        <v>1543878</v>
      </c>
      <c r="G17" s="7">
        <f t="shared" ref="G17" si="15">+SUM(G15:G16)</f>
        <v>2145749</v>
      </c>
      <c r="H17" s="7">
        <f t="shared" ref="H17" si="16">+SUM(H15:H16)</f>
        <v>2823302</v>
      </c>
      <c r="I17" s="7">
        <f t="shared" ref="I17" si="17">+SUM(I15:I16)</f>
        <v>4750081</v>
      </c>
      <c r="J17" s="7">
        <f t="shared" ref="J17" si="18">+SUM(J15:J16)</f>
        <v>7432704</v>
      </c>
      <c r="K17" s="7">
        <f t="shared" ref="K17" si="19">+SUM(K15:K16)</f>
        <v>14174000</v>
      </c>
      <c r="L17" s="7">
        <f t="shared" ref="L17" si="20">+SUM(L15:L16)</f>
        <v>16398000</v>
      </c>
      <c r="M17" s="7">
        <f t="shared" ref="M17" si="21">+SUM(M15:M16)</f>
        <v>20259000</v>
      </c>
    </row>
    <row r="18" spans="1:13" ht="15.95" customHeight="1" x14ac:dyDescent="0.25">
      <c r="A18" s="1" t="s">
        <v>131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12287</v>
      </c>
      <c r="I18" s="5">
        <v>178332</v>
      </c>
      <c r="J18" s="5">
        <v>874538</v>
      </c>
      <c r="K18" s="5">
        <v>1365000</v>
      </c>
      <c r="L18" s="5">
        <v>1341000</v>
      </c>
      <c r="M18" s="5">
        <v>1976000</v>
      </c>
    </row>
    <row r="19" spans="1:13" ht="15.95" customHeight="1" x14ac:dyDescent="0.25">
      <c r="A19" s="1" t="s">
        <v>42</v>
      </c>
      <c r="B19" s="5">
        <v>0</v>
      </c>
      <c r="C19" s="5">
        <v>6031</v>
      </c>
      <c r="D19" s="5">
        <v>27165</v>
      </c>
      <c r="E19" s="5">
        <v>11531</v>
      </c>
      <c r="F19" s="5">
        <v>13356</v>
      </c>
      <c r="G19" s="5">
        <v>170936</v>
      </c>
      <c r="H19" s="5">
        <v>286933</v>
      </c>
      <c r="I19" s="5">
        <v>472462</v>
      </c>
      <c r="J19" s="5">
        <v>1229022</v>
      </c>
      <c r="K19" s="5">
        <v>1880000</v>
      </c>
      <c r="L19" s="5">
        <v>2770000</v>
      </c>
      <c r="M19" s="5">
        <v>2671000</v>
      </c>
    </row>
    <row r="20" spans="1:13" s="8" customFormat="1" ht="15.95" customHeight="1" x14ac:dyDescent="0.25">
      <c r="A20" s="23" t="s">
        <v>45</v>
      </c>
      <c r="B20" s="24">
        <f>+SUM(B17:B19)</f>
        <v>102408</v>
      </c>
      <c r="C20" s="24">
        <f>+SUM(C17:C19)</f>
        <v>86013</v>
      </c>
      <c r="D20" s="24">
        <f>+SUM(D17:D19)</f>
        <v>142647</v>
      </c>
      <c r="E20" s="24">
        <f>+SUM(E17:E19)</f>
        <v>383189</v>
      </c>
      <c r="F20" s="24">
        <f t="shared" ref="F20" si="22">+SUM(F17:F19)</f>
        <v>1557234</v>
      </c>
      <c r="G20" s="24">
        <f t="shared" ref="G20" si="23">+SUM(G17:G19)</f>
        <v>2316685</v>
      </c>
      <c r="H20" s="24">
        <f t="shared" ref="H20" si="24">+SUM(H17:H19)</f>
        <v>3122522</v>
      </c>
      <c r="I20" s="24">
        <f t="shared" ref="I20" si="25">+SUM(I17:I19)</f>
        <v>5400875</v>
      </c>
      <c r="J20" s="24">
        <f t="shared" ref="J20" si="26">+SUM(J17:J19)</f>
        <v>9536264</v>
      </c>
      <c r="K20" s="24">
        <f t="shared" ref="K20" si="27">+SUM(K17:K19)</f>
        <v>17419000</v>
      </c>
      <c r="L20" s="24">
        <f t="shared" ref="L20" si="28">+SUM(L17:L19)</f>
        <v>20509000</v>
      </c>
      <c r="M20" s="24">
        <f t="shared" ref="M20" si="29">+SUM(M17:M19)</f>
        <v>24906000</v>
      </c>
    </row>
    <row r="21" spans="1:13" s="8" customFormat="1" ht="15.95" customHeight="1" x14ac:dyDescent="0.25">
      <c r="A21" s="8" t="s">
        <v>46</v>
      </c>
      <c r="B21" s="9">
        <f>+B12-B20</f>
        <v>9535</v>
      </c>
      <c r="C21" s="9">
        <f>+C12-C20</f>
        <v>30731</v>
      </c>
      <c r="D21" s="9">
        <f>+D12-D20</f>
        <v>61595</v>
      </c>
      <c r="E21" s="9">
        <f>+E12-E20</f>
        <v>30067</v>
      </c>
      <c r="F21" s="9">
        <f t="shared" ref="F21" si="30">+F12-F20</f>
        <v>456262</v>
      </c>
      <c r="G21" s="9">
        <f t="shared" ref="G21" si="31">+G12-G20</f>
        <v>881671</v>
      </c>
      <c r="H21" s="9">
        <f t="shared" ref="H21" si="32">+H12-H20</f>
        <v>923503</v>
      </c>
      <c r="I21" s="9">
        <f t="shared" ref="I21" si="33">+I12-I20</f>
        <v>1599257</v>
      </c>
      <c r="J21" s="9">
        <f t="shared" ref="J21" si="34">+J12-J20</f>
        <v>2222487</v>
      </c>
      <c r="K21" s="9">
        <f t="shared" ref="K21" si="35">+K12-K20</f>
        <v>4042000</v>
      </c>
      <c r="L21" s="9">
        <f t="shared" ref="L21" si="36">+L12-L20</f>
        <v>4069000</v>
      </c>
      <c r="M21" s="9">
        <f t="shared" ref="M21" si="37">+M12-M20</f>
        <v>6630000</v>
      </c>
    </row>
    <row r="23" spans="1:13" s="6" customFormat="1" ht="15.95" customHeight="1" x14ac:dyDescent="0.25">
      <c r="A23" s="6" t="s">
        <v>47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95" customHeight="1" x14ac:dyDescent="0.25">
      <c r="A24" s="1" t="s">
        <v>208</v>
      </c>
      <c r="B24" s="5">
        <v>19282</v>
      </c>
      <c r="C24" s="5">
        <v>92996</v>
      </c>
      <c r="D24" s="5">
        <v>208981</v>
      </c>
      <c r="E24" s="5">
        <v>273978</v>
      </c>
      <c r="F24" s="5">
        <v>231976</v>
      </c>
      <c r="G24" s="5">
        <v>464700</v>
      </c>
      <c r="H24" s="5">
        <v>717900</v>
      </c>
      <c r="I24" s="5">
        <v>834408</v>
      </c>
      <c r="J24" s="5">
        <v>1378073</v>
      </c>
      <c r="K24" s="5">
        <v>1460000</v>
      </c>
      <c r="L24" s="5">
        <v>1343000</v>
      </c>
      <c r="M24" s="5">
        <v>1491000</v>
      </c>
    </row>
    <row r="25" spans="1:13" ht="15.95" customHeight="1" x14ac:dyDescent="0.25">
      <c r="A25" s="1" t="s">
        <v>48</v>
      </c>
      <c r="B25" s="5">
        <v>42150</v>
      </c>
      <c r="C25" s="5">
        <v>84573</v>
      </c>
      <c r="D25" s="5">
        <v>104102</v>
      </c>
      <c r="E25" s="5">
        <v>150372</v>
      </c>
      <c r="F25" s="5">
        <v>285569</v>
      </c>
      <c r="G25" s="5">
        <v>603660</v>
      </c>
      <c r="H25" s="5">
        <v>922232</v>
      </c>
      <c r="I25" s="5">
        <v>1432189</v>
      </c>
      <c r="J25" s="5">
        <v>2476500</v>
      </c>
      <c r="K25" s="5">
        <v>2835000</v>
      </c>
      <c r="L25" s="5">
        <v>2646000</v>
      </c>
      <c r="M25" s="5">
        <v>3145000</v>
      </c>
    </row>
    <row r="26" spans="1:13" ht="15.95" customHeight="1" x14ac:dyDescent="0.25">
      <c r="A26" s="1" t="s">
        <v>135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135000</v>
      </c>
      <c r="L26" s="5">
        <v>149000</v>
      </c>
      <c r="M26" s="5">
        <v>0</v>
      </c>
    </row>
    <row r="27" spans="1:13" s="10" customFormat="1" ht="15.95" customHeight="1" x14ac:dyDescent="0.25">
      <c r="A27" s="23" t="s">
        <v>49</v>
      </c>
      <c r="B27" s="25">
        <f>+SUM(B24:B26)</f>
        <v>61432</v>
      </c>
      <c r="C27" s="25">
        <f t="shared" ref="C27" si="38">+SUM(C24:C26)</f>
        <v>177569</v>
      </c>
      <c r="D27" s="25">
        <f>+SUM(D24:D26)</f>
        <v>313083</v>
      </c>
      <c r="E27" s="25">
        <f t="shared" ref="E27" si="39">+SUM(E24:E26)</f>
        <v>424350</v>
      </c>
      <c r="F27" s="25">
        <f t="shared" ref="F27" si="40">+SUM(F24:F26)</f>
        <v>517545</v>
      </c>
      <c r="G27" s="25">
        <f t="shared" ref="G27" si="41">+SUM(G24:G26)</f>
        <v>1068360</v>
      </c>
      <c r="H27" s="25">
        <f t="shared" ref="H27" si="42">+SUM(H24:H26)</f>
        <v>1640132</v>
      </c>
      <c r="I27" s="25">
        <f t="shared" ref="I27" si="43">+SUM(I24:I26)</f>
        <v>2266597</v>
      </c>
      <c r="J27" s="25">
        <f t="shared" ref="J27" si="44">+SUM(J24:J26)</f>
        <v>3854573</v>
      </c>
      <c r="K27" s="25">
        <f t="shared" ref="K27" si="45">+SUM(K24:K26)</f>
        <v>4430000</v>
      </c>
      <c r="L27" s="25">
        <f t="shared" ref="L27" si="46">+SUM(L24:L26)</f>
        <v>4138000</v>
      </c>
      <c r="M27" s="25">
        <f t="shared" ref="M27" si="47">+SUM(M24:M26)</f>
        <v>4636000</v>
      </c>
    </row>
    <row r="28" spans="1:13" s="8" customFormat="1" ht="15.95" customHeight="1" x14ac:dyDescent="0.25">
      <c r="A28" s="8" t="s">
        <v>136</v>
      </c>
      <c r="B28" s="15">
        <f>+B21-B27</f>
        <v>-51897</v>
      </c>
      <c r="C28" s="15">
        <f t="shared" ref="C28" si="48">+C21-C27</f>
        <v>-146838</v>
      </c>
      <c r="D28" s="15">
        <f>+D21-D27</f>
        <v>-251488</v>
      </c>
      <c r="E28" s="15">
        <f t="shared" ref="E28" si="49">+E21-E27</f>
        <v>-394283</v>
      </c>
      <c r="F28" s="15">
        <f t="shared" ref="F28" si="50">+F21-F27</f>
        <v>-61283</v>
      </c>
      <c r="G28" s="15">
        <f t="shared" ref="G28" si="51">+G21-G27</f>
        <v>-186689</v>
      </c>
      <c r="H28" s="15">
        <f t="shared" ref="H28" si="52">+H21-H27</f>
        <v>-716629</v>
      </c>
      <c r="I28" s="15">
        <f t="shared" ref="I28" si="53">+I21-I27</f>
        <v>-667340</v>
      </c>
      <c r="J28" s="15">
        <f t="shared" ref="J28" si="54">+J21-J27</f>
        <v>-1632086</v>
      </c>
      <c r="K28" s="15">
        <f t="shared" ref="K28" si="55">+K21-K27</f>
        <v>-388000</v>
      </c>
      <c r="L28" s="15">
        <f t="shared" ref="L28" si="56">+L21-L27</f>
        <v>-69000</v>
      </c>
      <c r="M28" s="15">
        <f t="shared" ref="M28" si="57">+M21-M27</f>
        <v>1994000</v>
      </c>
    </row>
    <row r="29" spans="1:13" s="6" customFormat="1" ht="15.9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5.95" customHeight="1" x14ac:dyDescent="0.25">
      <c r="A30" s="1" t="s">
        <v>50</v>
      </c>
      <c r="B30" s="14">
        <v>159</v>
      </c>
      <c r="C30" s="14">
        <v>258</v>
      </c>
      <c r="D30" s="14">
        <v>255</v>
      </c>
      <c r="E30" s="14">
        <v>288</v>
      </c>
      <c r="F30" s="14">
        <v>189</v>
      </c>
      <c r="G30" s="14">
        <v>1126</v>
      </c>
      <c r="H30" s="14">
        <v>1508</v>
      </c>
      <c r="I30" s="14">
        <v>8530</v>
      </c>
      <c r="J30" s="14">
        <v>19686</v>
      </c>
      <c r="K30" s="14">
        <v>24000</v>
      </c>
      <c r="L30" s="14">
        <v>44000</v>
      </c>
      <c r="M30" s="14">
        <v>30000</v>
      </c>
    </row>
    <row r="31" spans="1:13" ht="15.95" customHeight="1" x14ac:dyDescent="0.25">
      <c r="A31" s="1" t="s">
        <v>51</v>
      </c>
      <c r="B31" s="14">
        <v>-2531</v>
      </c>
      <c r="C31" s="14">
        <v>-992</v>
      </c>
      <c r="D31" s="14">
        <v>-43</v>
      </c>
      <c r="E31" s="14">
        <v>-254</v>
      </c>
      <c r="F31" s="14">
        <v>-32934</v>
      </c>
      <c r="G31" s="14">
        <v>-100886</v>
      </c>
      <c r="H31" s="14">
        <v>-118851</v>
      </c>
      <c r="I31" s="14">
        <v>-198810</v>
      </c>
      <c r="J31" s="14">
        <v>-471259</v>
      </c>
      <c r="K31" s="14">
        <v>-663000</v>
      </c>
      <c r="L31" s="14">
        <v>-685000</v>
      </c>
      <c r="M31" s="14">
        <v>-748000</v>
      </c>
    </row>
    <row r="32" spans="1:13" ht="15.95" customHeight="1" x14ac:dyDescent="0.25">
      <c r="A32" s="1" t="s">
        <v>52</v>
      </c>
      <c r="B32" s="14">
        <v>-1445</v>
      </c>
      <c r="C32" s="14">
        <v>-6583</v>
      </c>
      <c r="D32" s="14">
        <v>-2646</v>
      </c>
      <c r="E32" s="14">
        <v>-1828</v>
      </c>
      <c r="F32" s="14">
        <v>22602</v>
      </c>
      <c r="G32" s="14">
        <v>1813</v>
      </c>
      <c r="H32" s="14">
        <v>-41652</v>
      </c>
      <c r="I32" s="14">
        <v>111272</v>
      </c>
      <c r="J32" s="14">
        <v>-125373</v>
      </c>
      <c r="K32" s="14">
        <v>22000</v>
      </c>
      <c r="L32" s="14">
        <v>45000</v>
      </c>
      <c r="M32" s="14">
        <v>-122000</v>
      </c>
    </row>
    <row r="33" spans="1:13" s="6" customFormat="1" ht="15.95" customHeight="1" x14ac:dyDescent="0.25">
      <c r="A33" s="6" t="s">
        <v>53</v>
      </c>
      <c r="B33" s="15">
        <f>+SUM(B28:B32)</f>
        <v>-55714</v>
      </c>
      <c r="C33" s="15">
        <f>+SUM(C28:C32)</f>
        <v>-154155</v>
      </c>
      <c r="D33" s="15">
        <f>+SUM(D28:D32)</f>
        <v>-253922</v>
      </c>
      <c r="E33" s="15">
        <f>+SUM(E28:E32)</f>
        <v>-396077</v>
      </c>
      <c r="F33" s="15">
        <f t="shared" ref="F33" si="58">+SUM(F28:F32)</f>
        <v>-71426</v>
      </c>
      <c r="G33" s="15">
        <f t="shared" ref="G33" si="59">+SUM(G28:G32)</f>
        <v>-284636</v>
      </c>
      <c r="H33" s="15">
        <f t="shared" ref="H33" si="60">+SUM(H28:H32)</f>
        <v>-875624</v>
      </c>
      <c r="I33" s="15">
        <f t="shared" ref="I33" si="61">+SUM(I28:I32)</f>
        <v>-746348</v>
      </c>
      <c r="J33" s="15">
        <f t="shared" ref="J33" si="62">+SUM(J28:J32)</f>
        <v>-2209032</v>
      </c>
      <c r="K33" s="15">
        <f t="shared" ref="K33" si="63">+SUM(K28:K32)</f>
        <v>-1005000</v>
      </c>
      <c r="L33" s="15">
        <f t="shared" ref="L33" si="64">+SUM(L28:L32)</f>
        <v>-665000</v>
      </c>
      <c r="M33" s="15">
        <f t="shared" ref="M33" si="65">+SUM(M28:M32)</f>
        <v>1154000</v>
      </c>
    </row>
    <row r="34" spans="1:13" ht="15.95" customHeight="1" x14ac:dyDescent="0.25">
      <c r="A34" s="26" t="s">
        <v>54</v>
      </c>
      <c r="B34" s="27">
        <v>26</v>
      </c>
      <c r="C34" s="27">
        <v>173</v>
      </c>
      <c r="D34" s="27">
        <v>489</v>
      </c>
      <c r="E34" s="27">
        <v>136</v>
      </c>
      <c r="F34" s="27">
        <v>2588</v>
      </c>
      <c r="G34" s="27">
        <v>9404</v>
      </c>
      <c r="H34" s="27">
        <v>13039</v>
      </c>
      <c r="I34" s="27">
        <v>26698</v>
      </c>
      <c r="J34" s="27">
        <v>31546</v>
      </c>
      <c r="K34" s="27">
        <v>58000</v>
      </c>
      <c r="L34" s="27">
        <v>110000</v>
      </c>
      <c r="M34" s="27">
        <v>292000</v>
      </c>
    </row>
    <row r="35" spans="1:13" s="8" customFormat="1" ht="15.95" customHeight="1" x14ac:dyDescent="0.25">
      <c r="A35" s="8" t="s">
        <v>55</v>
      </c>
      <c r="B35" s="15">
        <f>+B33-B34</f>
        <v>-55740</v>
      </c>
      <c r="C35" s="15">
        <f>+C33-C34</f>
        <v>-154328</v>
      </c>
      <c r="D35" s="15">
        <f>+D33-D34</f>
        <v>-254411</v>
      </c>
      <c r="E35" s="15">
        <f>+E33-E34</f>
        <v>-396213</v>
      </c>
      <c r="F35" s="15">
        <f t="shared" ref="F35" si="66">+F33-F34</f>
        <v>-74014</v>
      </c>
      <c r="G35" s="15">
        <f t="shared" ref="G35" si="67">+G33-G34</f>
        <v>-294040</v>
      </c>
      <c r="H35" s="15">
        <f t="shared" ref="H35" si="68">+H33-H34</f>
        <v>-888663</v>
      </c>
      <c r="I35" s="15">
        <f t="shared" ref="I35" si="69">+I33-I34</f>
        <v>-773046</v>
      </c>
      <c r="J35" s="15">
        <f t="shared" ref="J35" si="70">+J33-J34</f>
        <v>-2240578</v>
      </c>
      <c r="K35" s="15">
        <f t="shared" ref="K35" si="71">+K33-K34</f>
        <v>-1063000</v>
      </c>
      <c r="L35" s="15">
        <f t="shared" ref="L35" si="72">+L33-L34</f>
        <v>-775000</v>
      </c>
      <c r="M35" s="15">
        <f t="shared" ref="M35" si="73">+M33-M34</f>
        <v>862000</v>
      </c>
    </row>
    <row r="36" spans="1:13" s="6" customFormat="1" ht="15.95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5.95" customHeight="1" x14ac:dyDescent="0.25">
      <c r="A37" s="1" t="s">
        <v>56</v>
      </c>
      <c r="B37" s="13">
        <v>-7.94</v>
      </c>
      <c r="C37" s="13">
        <v>-3.04</v>
      </c>
      <c r="D37" s="13">
        <v>-2.5299999999999998</v>
      </c>
      <c r="E37" s="13">
        <v>-3.69</v>
      </c>
      <c r="F37" s="13">
        <v>-0.62</v>
      </c>
      <c r="G37" s="13">
        <v>-2.36</v>
      </c>
      <c r="H37" s="13">
        <v>-6.93</v>
      </c>
      <c r="I37" s="13">
        <v>-4.68</v>
      </c>
      <c r="J37" s="13">
        <v>-11.83</v>
      </c>
      <c r="K37" s="13">
        <v>-5.72</v>
      </c>
      <c r="L37" s="13">
        <v>-4.92</v>
      </c>
      <c r="M37" s="13"/>
    </row>
    <row r="38" spans="1:13" ht="15.95" customHeight="1" x14ac:dyDescent="0.25">
      <c r="A38" s="1" t="s">
        <v>57</v>
      </c>
      <c r="B38" s="5">
        <v>7021963</v>
      </c>
      <c r="C38" s="5">
        <v>50718302</v>
      </c>
      <c r="D38" s="5">
        <v>100388815</v>
      </c>
      <c r="E38" s="5">
        <v>107349188</v>
      </c>
      <c r="F38" s="5">
        <v>119421414</v>
      </c>
      <c r="G38" s="5">
        <v>124539000</v>
      </c>
      <c r="H38" s="5">
        <v>128202000</v>
      </c>
      <c r="I38" s="5">
        <v>144212000</v>
      </c>
      <c r="J38" s="5">
        <v>165758000</v>
      </c>
      <c r="K38" s="5">
        <v>171000000</v>
      </c>
      <c r="L38" s="5">
        <v>177000000</v>
      </c>
      <c r="M38" s="7"/>
    </row>
    <row r="39" spans="1:13" ht="15.95" customHeight="1" x14ac:dyDescent="0.25">
      <c r="B39" s="12"/>
      <c r="I39" s="7"/>
      <c r="J39" s="7"/>
      <c r="K39" s="7"/>
      <c r="L39" s="7"/>
      <c r="M39" s="7"/>
    </row>
    <row r="40" spans="1:13" ht="15.95" customHeight="1" x14ac:dyDescent="0.25">
      <c r="A40" s="1" t="s">
        <v>156</v>
      </c>
      <c r="H40" s="5">
        <v>0</v>
      </c>
      <c r="I40" s="14">
        <v>-98132</v>
      </c>
      <c r="J40" s="14">
        <v>-279178</v>
      </c>
      <c r="K40" s="14">
        <v>-87000</v>
      </c>
      <c r="L40" s="14">
        <v>87000</v>
      </c>
      <c r="M40" s="14">
        <v>141000</v>
      </c>
    </row>
    <row r="41" spans="1:13" ht="15.95" customHeight="1" x14ac:dyDescent="0.25">
      <c r="A41" s="1" t="s">
        <v>153</v>
      </c>
      <c r="H41" s="14">
        <f>+H35</f>
        <v>-888663</v>
      </c>
      <c r="I41" s="14">
        <v>-674914</v>
      </c>
      <c r="J41" s="14">
        <v>-1961400</v>
      </c>
      <c r="K41" s="14">
        <v>-976000</v>
      </c>
      <c r="L41" s="14">
        <v>-862000</v>
      </c>
      <c r="M41" s="14">
        <v>721000</v>
      </c>
    </row>
    <row r="42" spans="1:13" ht="15.95" customHeight="1" x14ac:dyDescent="0.25">
      <c r="H42" s="14"/>
    </row>
    <row r="43" spans="1:13" ht="15.95" customHeight="1" x14ac:dyDescent="0.25">
      <c r="A43" s="1" t="s">
        <v>137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14">
        <v>-31000</v>
      </c>
    </row>
    <row r="44" spans="1:13" ht="15.95" customHeight="1" x14ac:dyDescent="0.25">
      <c r="A44" s="1" t="s">
        <v>154</v>
      </c>
      <c r="H44" s="14">
        <f t="shared" ref="H44:L44" si="74">+SUM(H41:H43)</f>
        <v>-888663</v>
      </c>
      <c r="I44" s="14">
        <f t="shared" si="74"/>
        <v>-674914</v>
      </c>
      <c r="J44" s="14">
        <f t="shared" si="74"/>
        <v>-1961400</v>
      </c>
      <c r="K44" s="14">
        <f t="shared" si="74"/>
        <v>-976000</v>
      </c>
      <c r="L44" s="14">
        <f t="shared" si="74"/>
        <v>-862000</v>
      </c>
      <c r="M44" s="14">
        <f>+SUM(M41:M43)</f>
        <v>690000</v>
      </c>
    </row>
    <row r="45" spans="1:13" ht="15.95" customHeight="1" x14ac:dyDescent="0.25">
      <c r="A45" s="1" t="s">
        <v>155</v>
      </c>
    </row>
    <row r="46" spans="1:13" ht="15.95" customHeight="1" x14ac:dyDescent="0.25">
      <c r="A46" s="1" t="s">
        <v>133</v>
      </c>
      <c r="H46" s="13">
        <v>-6.93</v>
      </c>
      <c r="I46" s="13">
        <v>-4.68</v>
      </c>
      <c r="J46" s="13">
        <v>-11.83</v>
      </c>
      <c r="K46" s="13">
        <v>-5.72</v>
      </c>
      <c r="L46" s="13">
        <v>-4.92</v>
      </c>
      <c r="M46" s="13">
        <v>0.74</v>
      </c>
    </row>
    <row r="47" spans="1:13" ht="15.95" customHeight="1" x14ac:dyDescent="0.25">
      <c r="A47" s="1" t="s">
        <v>134</v>
      </c>
      <c r="H47" s="13">
        <v>-6.93</v>
      </c>
      <c r="I47" s="13">
        <v>-4.68</v>
      </c>
      <c r="J47" s="13">
        <v>-11.83</v>
      </c>
      <c r="K47" s="13">
        <v>-5.72</v>
      </c>
      <c r="L47" s="13">
        <v>-4.92</v>
      </c>
      <c r="M47" s="13">
        <v>0.64</v>
      </c>
    </row>
    <row r="48" spans="1:13" ht="15.95" customHeight="1" x14ac:dyDescent="0.25">
      <c r="A48" s="1" t="s">
        <v>157</v>
      </c>
    </row>
    <row r="49" spans="1:13" ht="15.95" customHeight="1" x14ac:dyDescent="0.25">
      <c r="A49" s="1" t="s">
        <v>133</v>
      </c>
      <c r="H49" s="5">
        <v>128202000</v>
      </c>
      <c r="I49" s="5">
        <v>144212000</v>
      </c>
      <c r="J49" s="5">
        <v>165758000</v>
      </c>
      <c r="K49" s="5">
        <v>171000000</v>
      </c>
      <c r="L49" s="5">
        <v>177000000</v>
      </c>
      <c r="M49" s="5">
        <v>933000000</v>
      </c>
    </row>
    <row r="50" spans="1:13" ht="15.95" customHeight="1" x14ac:dyDescent="0.25">
      <c r="A50" s="1" t="s">
        <v>134</v>
      </c>
      <c r="H50" s="5">
        <v>128202000</v>
      </c>
      <c r="I50" s="5">
        <v>144212000</v>
      </c>
      <c r="J50" s="5">
        <v>165758000</v>
      </c>
      <c r="K50" s="5">
        <v>171000000</v>
      </c>
      <c r="L50" s="5">
        <v>177000000</v>
      </c>
      <c r="M50" s="5">
        <v>1083000000</v>
      </c>
    </row>
  </sheetData>
  <pageMargins left="0.7" right="0.7" top="0.75" bottom="0.75" header="0.3" footer="0.3"/>
  <ignoredErrors>
    <ignoredError sqref="I44: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F769-4A7F-4E0C-845A-BCDD874B6CEE}">
  <dimension ref="A1:M86"/>
  <sheetViews>
    <sheetView zoomScale="85" zoomScaleNormal="85" workbookViewId="0">
      <pane xSplit="1" ySplit="5" topLeftCell="B54" activePane="bottomRight" state="frozen"/>
      <selection pane="topRight" activeCell="B1" sqref="B1"/>
      <selection pane="bottomLeft" activeCell="A8" sqref="A8"/>
      <selection pane="bottomRight" activeCell="C50" sqref="C50"/>
    </sheetView>
  </sheetViews>
  <sheetFormatPr defaultColWidth="15.7109375" defaultRowHeight="15" outlineLevelCol="1" x14ac:dyDescent="0.25"/>
  <cols>
    <col min="1" max="1" width="54.28515625" style="1" customWidth="1"/>
    <col min="2" max="8" width="15.7109375" style="5" customWidth="1" outlineLevel="1"/>
    <col min="9" max="13" width="15.7109375" style="5"/>
    <col min="14" max="16384" width="15.7109375" style="1"/>
  </cols>
  <sheetData>
    <row r="1" spans="1:13" x14ac:dyDescent="0.25">
      <c r="A1" s="1" t="s">
        <v>35</v>
      </c>
      <c r="B1" s="5" t="s">
        <v>35</v>
      </c>
    </row>
    <row r="2" spans="1:13" x14ac:dyDescent="0.25">
      <c r="A2" s="1" t="s">
        <v>58</v>
      </c>
      <c r="B2" s="5" t="s">
        <v>58</v>
      </c>
    </row>
    <row r="3" spans="1:13" x14ac:dyDescent="0.25">
      <c r="A3" s="1" t="s">
        <v>59</v>
      </c>
      <c r="B3" s="5" t="s">
        <v>59</v>
      </c>
    </row>
    <row r="5" spans="1:13" s="17" customFormat="1" ht="15.75" x14ac:dyDescent="0.25">
      <c r="B5" s="29">
        <v>2009</v>
      </c>
      <c r="C5" s="29">
        <v>2010</v>
      </c>
      <c r="D5" s="29">
        <v>2011</v>
      </c>
      <c r="E5" s="29">
        <v>2012</v>
      </c>
      <c r="F5" s="29">
        <v>2013</v>
      </c>
      <c r="G5" s="29">
        <v>2014</v>
      </c>
      <c r="H5" s="29">
        <v>2015</v>
      </c>
      <c r="I5" s="29">
        <v>2016</v>
      </c>
      <c r="J5" s="29">
        <v>2017</v>
      </c>
      <c r="K5" s="29">
        <v>2018</v>
      </c>
      <c r="L5" s="29">
        <v>2019</v>
      </c>
      <c r="M5" s="29">
        <v>2020</v>
      </c>
    </row>
    <row r="6" spans="1:13" s="8" customFormat="1" ht="19.5" thickBot="1" x14ac:dyDescent="0.3">
      <c r="A6" s="71" t="s">
        <v>60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1" t="s">
        <v>55</v>
      </c>
      <c r="B7" s="14">
        <f>+'Income Statement'!B35</f>
        <v>-55740</v>
      </c>
      <c r="C7" s="14">
        <f>+'Income Statement'!C35</f>
        <v>-154328</v>
      </c>
      <c r="D7" s="14">
        <f>+'Income Statement'!D35</f>
        <v>-254411</v>
      </c>
      <c r="E7" s="14">
        <f>+'Income Statement'!E35</f>
        <v>-396213</v>
      </c>
      <c r="F7" s="14">
        <f>+'Income Statement'!F35</f>
        <v>-74014</v>
      </c>
      <c r="G7" s="14">
        <f>+'Income Statement'!G35</f>
        <v>-294040</v>
      </c>
      <c r="H7" s="14">
        <f>+'Income Statement'!H35</f>
        <v>-888663</v>
      </c>
      <c r="I7" s="14">
        <f>+'Income Statement'!I35</f>
        <v>-773046</v>
      </c>
      <c r="J7" s="14">
        <f>+'Income Statement'!J35</f>
        <v>-2240578</v>
      </c>
      <c r="K7" s="14">
        <f>+'Income Statement'!K35</f>
        <v>-1063000</v>
      </c>
      <c r="L7" s="14">
        <f>+'Income Statement'!L35</f>
        <v>-775000</v>
      </c>
      <c r="M7" s="14">
        <f>+'Income Statement'!M35</f>
        <v>862000</v>
      </c>
    </row>
    <row r="8" spans="1:13" s="6" customFormat="1" x14ac:dyDescent="0.25">
      <c r="A8" s="6" t="s">
        <v>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1" t="s">
        <v>62</v>
      </c>
      <c r="B9" s="14">
        <v>6940</v>
      </c>
      <c r="C9" s="14">
        <v>10623</v>
      </c>
      <c r="D9" s="14">
        <v>16919</v>
      </c>
      <c r="E9" s="14">
        <v>28825</v>
      </c>
      <c r="F9" s="14">
        <v>106083</v>
      </c>
      <c r="G9" s="14">
        <v>231931</v>
      </c>
      <c r="H9" s="14">
        <v>422590</v>
      </c>
      <c r="I9" s="14">
        <v>947099</v>
      </c>
      <c r="J9" s="14">
        <v>1636003</v>
      </c>
      <c r="K9" s="14">
        <v>1901000</v>
      </c>
      <c r="L9" s="14">
        <v>2154000</v>
      </c>
      <c r="M9" s="14">
        <v>2322000</v>
      </c>
    </row>
    <row r="10" spans="1:13" x14ac:dyDescent="0.25">
      <c r="A10" s="1" t="s">
        <v>66</v>
      </c>
      <c r="B10" s="14">
        <v>1434</v>
      </c>
      <c r="C10" s="14">
        <v>21156</v>
      </c>
      <c r="D10" s="14">
        <v>29419</v>
      </c>
      <c r="E10" s="14">
        <v>50145</v>
      </c>
      <c r="F10" s="14">
        <v>80737</v>
      </c>
      <c r="G10" s="14">
        <v>156496</v>
      </c>
      <c r="H10" s="14">
        <v>197999</v>
      </c>
      <c r="I10" s="14">
        <v>334225</v>
      </c>
      <c r="J10" s="14">
        <v>466760</v>
      </c>
      <c r="K10" s="14">
        <v>749000</v>
      </c>
      <c r="L10" s="14">
        <v>898000</v>
      </c>
      <c r="M10" s="14">
        <v>1734000</v>
      </c>
    </row>
    <row r="11" spans="1:13" x14ac:dyDescent="0.25">
      <c r="A11" s="1" t="s">
        <v>138</v>
      </c>
      <c r="B11" s="14"/>
      <c r="C11" s="14"/>
      <c r="D11" s="14"/>
      <c r="E11" s="14"/>
      <c r="F11" s="14">
        <v>9143</v>
      </c>
      <c r="G11" s="14">
        <v>69734</v>
      </c>
      <c r="H11" s="14">
        <v>72063</v>
      </c>
      <c r="I11" s="14">
        <v>94690</v>
      </c>
      <c r="J11" s="14">
        <v>91037</v>
      </c>
      <c r="K11" s="14">
        <v>159000</v>
      </c>
      <c r="L11" s="14">
        <v>188000</v>
      </c>
      <c r="M11" s="14">
        <v>180000</v>
      </c>
    </row>
    <row r="12" spans="1:13" x14ac:dyDescent="0.25">
      <c r="A12" s="1" t="s">
        <v>69</v>
      </c>
      <c r="B12" s="14">
        <v>1353</v>
      </c>
      <c r="C12" s="14">
        <v>951</v>
      </c>
      <c r="D12" s="14">
        <v>1828</v>
      </c>
      <c r="E12" s="14">
        <v>4929</v>
      </c>
      <c r="F12" s="14">
        <v>8918</v>
      </c>
      <c r="G12" s="14">
        <v>15609</v>
      </c>
      <c r="H12" s="14">
        <v>44940</v>
      </c>
      <c r="I12" s="14">
        <v>65519.999999999993</v>
      </c>
      <c r="J12" s="14">
        <v>131665</v>
      </c>
      <c r="K12" s="14">
        <v>85000</v>
      </c>
      <c r="L12" s="14">
        <v>193000</v>
      </c>
      <c r="M12" s="14">
        <v>202000</v>
      </c>
    </row>
    <row r="13" spans="1:13" x14ac:dyDescent="0.25">
      <c r="A13" s="1" t="s">
        <v>63</v>
      </c>
      <c r="B13" s="14">
        <v>1128</v>
      </c>
      <c r="C13" s="14">
        <v>5022</v>
      </c>
      <c r="D13" s="14">
        <v>2750</v>
      </c>
      <c r="E13" s="14">
        <v>1854</v>
      </c>
      <c r="F13" s="14">
        <v>-10692</v>
      </c>
      <c r="G13" s="14"/>
      <c r="H13" s="14"/>
      <c r="I13" s="14"/>
      <c r="J13" s="14"/>
      <c r="K13" s="14">
        <v>0</v>
      </c>
      <c r="L13" s="14">
        <v>0</v>
      </c>
      <c r="M13" s="14">
        <v>0</v>
      </c>
    </row>
    <row r="14" spans="1:13" x14ac:dyDescent="0.25">
      <c r="A14" s="1" t="s">
        <v>139</v>
      </c>
      <c r="B14" s="14"/>
      <c r="C14" s="14"/>
      <c r="D14" s="14"/>
      <c r="E14" s="14"/>
      <c r="F14" s="14">
        <v>5558</v>
      </c>
      <c r="G14" s="14"/>
      <c r="H14" s="14"/>
      <c r="I14" s="14">
        <v>34633</v>
      </c>
      <c r="J14" s="14">
        <v>105770</v>
      </c>
      <c r="K14" s="14">
        <v>162000</v>
      </c>
      <c r="L14" s="14">
        <v>146000</v>
      </c>
      <c r="M14" s="14">
        <v>117000</v>
      </c>
    </row>
    <row r="15" spans="1:13" x14ac:dyDescent="0.25">
      <c r="A15" s="1" t="s">
        <v>68</v>
      </c>
      <c r="B15" s="14">
        <v>385</v>
      </c>
      <c r="C15" s="14">
        <v>8</v>
      </c>
      <c r="D15" s="14">
        <v>345</v>
      </c>
      <c r="E15" s="14"/>
      <c r="F15" s="14"/>
      <c r="G15" s="14">
        <v>14178</v>
      </c>
      <c r="H15" s="14">
        <v>37723</v>
      </c>
      <c r="I15" s="14"/>
      <c r="J15" s="14"/>
      <c r="K15" s="14">
        <v>0</v>
      </c>
      <c r="L15" s="14">
        <v>0</v>
      </c>
      <c r="M15" s="14">
        <v>0</v>
      </c>
    </row>
    <row r="16" spans="1:13" x14ac:dyDescent="0.25">
      <c r="A16" s="1" t="s">
        <v>141</v>
      </c>
      <c r="B16" s="14"/>
      <c r="C16" s="14"/>
      <c r="D16" s="14"/>
      <c r="E16" s="14"/>
      <c r="F16" s="14">
        <v>3655</v>
      </c>
      <c r="G16" s="14">
        <v>-1891</v>
      </c>
      <c r="H16" s="14">
        <v>55765</v>
      </c>
      <c r="I16" s="14">
        <v>-29183</v>
      </c>
      <c r="J16" s="14">
        <v>52309</v>
      </c>
      <c r="K16" s="14">
        <v>-2000</v>
      </c>
      <c r="L16" s="14">
        <v>-48000</v>
      </c>
      <c r="M16" s="14">
        <v>114000</v>
      </c>
    </row>
    <row r="17" spans="1:13" x14ac:dyDescent="0.25">
      <c r="A17" s="1" t="s">
        <v>140</v>
      </c>
      <c r="B17" s="14"/>
      <c r="C17" s="14"/>
      <c r="D17" s="14"/>
      <c r="E17" s="14">
        <v>1560</v>
      </c>
      <c r="F17" s="14">
        <v>3611</v>
      </c>
      <c r="G17" s="14">
        <v>7471</v>
      </c>
      <c r="H17" s="14">
        <v>26373</v>
      </c>
      <c r="I17" s="14">
        <v>-15179</v>
      </c>
      <c r="J17" s="14">
        <v>135237</v>
      </c>
      <c r="K17" s="14">
        <v>49000</v>
      </c>
      <c r="L17" s="14">
        <v>186000</v>
      </c>
      <c r="M17" s="14">
        <v>228000</v>
      </c>
    </row>
    <row r="18" spans="1:13" x14ac:dyDescent="0.25">
      <c r="A18" s="1" t="s">
        <v>64</v>
      </c>
      <c r="B18" s="14">
        <v>-1468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" t="s">
        <v>65</v>
      </c>
      <c r="B19" s="14"/>
      <c r="C19" s="14"/>
      <c r="D19" s="14">
        <v>-112</v>
      </c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" t="s">
        <v>67</v>
      </c>
      <c r="B20" s="14"/>
      <c r="C20" s="14">
        <v>-74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" t="s">
        <v>70</v>
      </c>
      <c r="B21" s="14">
        <v>2686</v>
      </c>
      <c r="C21" s="14"/>
      <c r="D21" s="14"/>
      <c r="E21" s="14"/>
      <c r="F21" s="14"/>
      <c r="G21" s="14"/>
      <c r="H21" s="14"/>
      <c r="I21" s="14">
        <v>-88727</v>
      </c>
      <c r="J21" s="14">
        <v>57746</v>
      </c>
      <c r="K21" s="14"/>
      <c r="L21" s="14"/>
      <c r="M21" s="14"/>
    </row>
    <row r="22" spans="1:13" x14ac:dyDescent="0.25">
      <c r="A22" s="1" t="s">
        <v>144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" t="s">
        <v>149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>
        <v>-188000</v>
      </c>
      <c r="M23" s="14"/>
    </row>
    <row r="24" spans="1:13" x14ac:dyDescent="0.25">
      <c r="A24" s="6" t="s">
        <v>71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" t="s">
        <v>5</v>
      </c>
      <c r="B25" s="14">
        <v>-168</v>
      </c>
      <c r="C25" s="14">
        <v>-3222</v>
      </c>
      <c r="D25" s="14">
        <v>-2829</v>
      </c>
      <c r="E25" s="14">
        <v>-17303</v>
      </c>
      <c r="F25" s="14">
        <v>-21917</v>
      </c>
      <c r="G25" s="14">
        <v>-183658</v>
      </c>
      <c r="H25" s="14">
        <v>46267</v>
      </c>
      <c r="I25" s="14">
        <v>-216565</v>
      </c>
      <c r="J25" s="14">
        <v>-24635</v>
      </c>
      <c r="K25" s="14">
        <v>-497000</v>
      </c>
      <c r="L25" s="14">
        <v>-367000</v>
      </c>
      <c r="M25" s="14">
        <v>-652000</v>
      </c>
    </row>
    <row r="26" spans="1:13" x14ac:dyDescent="0.25">
      <c r="A26" s="1" t="s">
        <v>72</v>
      </c>
      <c r="B26" s="14">
        <v>-7925</v>
      </c>
      <c r="C26" s="14">
        <v>-28513</v>
      </c>
      <c r="D26" s="14">
        <v>-13638</v>
      </c>
      <c r="E26" s="14">
        <v>-194726</v>
      </c>
      <c r="F26" s="14">
        <v>-463270</v>
      </c>
      <c r="G26" s="14">
        <v>-1050264</v>
      </c>
      <c r="H26" s="14">
        <v>-1573860</v>
      </c>
      <c r="I26" s="14">
        <v>-632867</v>
      </c>
      <c r="J26" s="14">
        <v>-178850</v>
      </c>
      <c r="K26" s="14">
        <v>-1023000</v>
      </c>
      <c r="L26" s="14">
        <v>-429000</v>
      </c>
      <c r="M26" s="14">
        <v>-422000</v>
      </c>
    </row>
    <row r="27" spans="1:13" x14ac:dyDescent="0.25">
      <c r="A27" s="1" t="s">
        <v>145</v>
      </c>
      <c r="B27" s="14"/>
      <c r="C27" s="14"/>
      <c r="D27" s="14"/>
      <c r="E27" s="14"/>
      <c r="F27" s="14"/>
      <c r="G27" s="14"/>
      <c r="H27" s="14"/>
      <c r="I27" s="14">
        <v>-1832836</v>
      </c>
      <c r="J27" s="14">
        <v>-1522573</v>
      </c>
      <c r="K27" s="14">
        <v>-215000</v>
      </c>
      <c r="L27" s="14">
        <v>-764000</v>
      </c>
      <c r="M27" s="14">
        <v>-1072000</v>
      </c>
    </row>
    <row r="28" spans="1:13" x14ac:dyDescent="0.25">
      <c r="A28" s="1" t="s">
        <v>7</v>
      </c>
      <c r="B28" s="14">
        <v>-2042</v>
      </c>
      <c r="C28" s="14">
        <v>-4977</v>
      </c>
      <c r="D28" s="14">
        <v>-248</v>
      </c>
      <c r="E28" s="14">
        <v>1121</v>
      </c>
      <c r="F28" s="14">
        <v>-17466</v>
      </c>
      <c r="G28" s="14">
        <v>-60637</v>
      </c>
      <c r="H28" s="14">
        <v>-29595</v>
      </c>
      <c r="I28" s="14">
        <v>56806</v>
      </c>
      <c r="J28" s="14">
        <v>-72084</v>
      </c>
      <c r="K28" s="14">
        <v>-82000</v>
      </c>
      <c r="L28" s="14">
        <v>-288000</v>
      </c>
      <c r="M28" s="14">
        <v>-251000</v>
      </c>
    </row>
    <row r="29" spans="1:13" x14ac:dyDescent="0.25">
      <c r="A29" s="1" t="s">
        <v>11</v>
      </c>
      <c r="B29" s="14">
        <v>-445</v>
      </c>
      <c r="C29" s="14">
        <v>-463</v>
      </c>
      <c r="D29" s="14">
        <v>-288</v>
      </c>
      <c r="E29" s="14">
        <v>-482</v>
      </c>
      <c r="F29" s="14">
        <v>-342</v>
      </c>
      <c r="G29" s="14">
        <v>-4493</v>
      </c>
      <c r="H29" s="14">
        <v>-24362</v>
      </c>
      <c r="I29" s="14">
        <v>-49353</v>
      </c>
      <c r="J29" s="14">
        <v>-15453</v>
      </c>
      <c r="K29" s="14">
        <v>-207000</v>
      </c>
      <c r="L29" s="14">
        <v>115000</v>
      </c>
      <c r="M29" s="14">
        <v>-344000</v>
      </c>
    </row>
    <row r="30" spans="1:13" x14ac:dyDescent="0.25">
      <c r="A30" s="1" t="s">
        <v>142</v>
      </c>
      <c r="B30" s="14">
        <v>902</v>
      </c>
      <c r="C30" s="14">
        <v>-212</v>
      </c>
      <c r="D30" s="14">
        <v>31859</v>
      </c>
      <c r="E30" s="14">
        <v>187821</v>
      </c>
      <c r="F30" s="14">
        <v>-243</v>
      </c>
      <c r="G30" s="14">
        <v>414856</v>
      </c>
      <c r="H30" s="14">
        <v>263345</v>
      </c>
      <c r="I30" s="14">
        <v>750640</v>
      </c>
      <c r="J30" s="14">
        <v>388206</v>
      </c>
      <c r="K30" s="14">
        <v>1797000</v>
      </c>
      <c r="L30" s="14">
        <v>646000</v>
      </c>
      <c r="M30" s="14">
        <v>2102000</v>
      </c>
    </row>
    <row r="31" spans="1:13" x14ac:dyDescent="0.25">
      <c r="A31" s="1" t="s">
        <v>16</v>
      </c>
      <c r="B31" s="14">
        <v>3387</v>
      </c>
      <c r="C31" s="14">
        <v>13345</v>
      </c>
      <c r="D31" s="14">
        <v>12321</v>
      </c>
      <c r="E31" s="14">
        <v>9603</v>
      </c>
      <c r="F31" s="14">
        <v>66567</v>
      </c>
      <c r="G31" s="14"/>
      <c r="H31" s="14"/>
      <c r="I31" s="14">
        <v>0</v>
      </c>
      <c r="J31" s="14">
        <v>0</v>
      </c>
      <c r="K31" s="14"/>
      <c r="L31" s="14"/>
      <c r="M31" s="14"/>
    </row>
    <row r="32" spans="1:13" x14ac:dyDescent="0.25">
      <c r="A32" s="1" t="s">
        <v>73</v>
      </c>
      <c r="B32" s="14">
        <v>-10017</v>
      </c>
      <c r="C32" s="14">
        <v>-156</v>
      </c>
      <c r="D32" s="14"/>
      <c r="E32" s="14"/>
      <c r="F32" s="14"/>
      <c r="G32" s="14"/>
      <c r="H32" s="14"/>
      <c r="I32" s="14">
        <v>0</v>
      </c>
      <c r="J32" s="14">
        <v>0</v>
      </c>
      <c r="K32" s="14"/>
      <c r="L32" s="14"/>
      <c r="M32" s="14"/>
    </row>
    <row r="33" spans="1:13" x14ac:dyDescent="0.25">
      <c r="A33" s="1" t="s">
        <v>17</v>
      </c>
      <c r="B33" s="14">
        <v>-1456</v>
      </c>
      <c r="C33" s="14">
        <v>4801</v>
      </c>
      <c r="D33" s="14">
        <v>-1927</v>
      </c>
      <c r="E33" s="14">
        <v>-526</v>
      </c>
      <c r="F33" s="14">
        <v>268153</v>
      </c>
      <c r="G33" s="14">
        <v>209681</v>
      </c>
      <c r="H33" s="14">
        <v>322203</v>
      </c>
      <c r="I33" s="14">
        <v>382962</v>
      </c>
      <c r="J33" s="14">
        <v>468902</v>
      </c>
      <c r="K33" s="14">
        <v>406000</v>
      </c>
      <c r="L33" s="14">
        <v>801000</v>
      </c>
      <c r="M33" s="14">
        <v>321000</v>
      </c>
    </row>
    <row r="34" spans="1:13" x14ac:dyDescent="0.25">
      <c r="A34" s="1" t="s">
        <v>109</v>
      </c>
      <c r="B34" s="14">
        <v>-21971</v>
      </c>
      <c r="C34" s="14">
        <v>4707</v>
      </c>
      <c r="D34" s="14">
        <v>61006</v>
      </c>
      <c r="E34" s="14">
        <v>47056</v>
      </c>
      <c r="F34" s="14">
        <v>24243</v>
      </c>
      <c r="G34" s="14">
        <v>106230</v>
      </c>
      <c r="H34" s="14">
        <v>36721</v>
      </c>
      <c r="I34" s="14">
        <v>388361</v>
      </c>
      <c r="J34" s="14">
        <v>170027</v>
      </c>
      <c r="K34" s="14">
        <v>-96000</v>
      </c>
      <c r="L34" s="14">
        <v>-58000</v>
      </c>
      <c r="M34" s="14">
        <v>7000</v>
      </c>
    </row>
    <row r="35" spans="1:13" x14ac:dyDescent="0.25">
      <c r="A35" s="1" t="s">
        <v>110</v>
      </c>
      <c r="B35" s="14"/>
      <c r="C35" s="14"/>
      <c r="D35" s="14"/>
      <c r="E35" s="14"/>
      <c r="F35" s="14">
        <v>236299</v>
      </c>
      <c r="G35" s="14">
        <v>249492</v>
      </c>
      <c r="H35" s="14">
        <v>442295</v>
      </c>
      <c r="I35" s="14">
        <v>326934</v>
      </c>
      <c r="J35" s="14">
        <v>208718</v>
      </c>
      <c r="K35" s="14">
        <v>-25000</v>
      </c>
      <c r="L35" s="14">
        <v>-5000</v>
      </c>
      <c r="M35" s="14">
        <v>495000</v>
      </c>
    </row>
    <row r="36" spans="1:13" x14ac:dyDescent="0.25">
      <c r="A36" s="26" t="s">
        <v>24</v>
      </c>
      <c r="B36" s="28">
        <v>2192</v>
      </c>
      <c r="C36" s="28">
        <v>3515</v>
      </c>
      <c r="D36" s="28">
        <v>2641</v>
      </c>
      <c r="E36" s="28">
        <v>10255</v>
      </c>
      <c r="F36" s="28">
        <v>32971</v>
      </c>
      <c r="G36" s="28">
        <v>61968</v>
      </c>
      <c r="H36" s="28">
        <v>23697</v>
      </c>
      <c r="I36" s="28">
        <v>132057</v>
      </c>
      <c r="J36" s="28">
        <v>81139</v>
      </c>
      <c r="K36" s="28"/>
      <c r="L36" s="28"/>
      <c r="M36" s="28"/>
    </row>
    <row r="37" spans="1:13" s="6" customFormat="1" x14ac:dyDescent="0.25">
      <c r="A37" s="6" t="s">
        <v>74</v>
      </c>
      <c r="B37" s="16">
        <f>+SUM(B7:B36)</f>
        <v>-80825</v>
      </c>
      <c r="C37" s="16">
        <f t="shared" ref="C37:F37" si="0">+SUM(C7:C36)</f>
        <v>-127817</v>
      </c>
      <c r="D37" s="16">
        <f t="shared" si="0"/>
        <v>-114365</v>
      </c>
      <c r="E37" s="16">
        <f t="shared" si="0"/>
        <v>-266081</v>
      </c>
      <c r="F37" s="16">
        <f t="shared" si="0"/>
        <v>257994</v>
      </c>
      <c r="G37" s="16">
        <f t="shared" ref="G37" si="1">+SUM(G7:G36)</f>
        <v>-57337</v>
      </c>
      <c r="H37" s="16">
        <f t="shared" ref="H37" si="2">+SUM(H7:H36)</f>
        <v>-524499</v>
      </c>
      <c r="I37" s="16">
        <f t="shared" ref="I37" si="3">+SUM(I7:I36)</f>
        <v>-123829</v>
      </c>
      <c r="J37" s="16">
        <f t="shared" ref="J37" si="4">+SUM(J7:J36)</f>
        <v>-60654</v>
      </c>
      <c r="K37" s="16">
        <f t="shared" ref="K37" si="5">+SUM(K7:K36)</f>
        <v>2098000</v>
      </c>
      <c r="L37" s="16">
        <f t="shared" ref="L37" si="6">+SUM(L7:L36)</f>
        <v>2405000</v>
      </c>
      <c r="M37" s="16">
        <f>+SUM(M7:M36)</f>
        <v>5943000</v>
      </c>
    </row>
    <row r="38" spans="1:13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9.5" thickBot="1" x14ac:dyDescent="0.3">
      <c r="A39" s="71" t="s">
        <v>75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1" t="s">
        <v>79</v>
      </c>
      <c r="B40" s="14">
        <v>-11884</v>
      </c>
      <c r="C40" s="14">
        <v>-40203</v>
      </c>
      <c r="D40" s="14">
        <v>-197896</v>
      </c>
      <c r="E40" s="14">
        <v>-239228</v>
      </c>
      <c r="F40" s="14">
        <v>-264224</v>
      </c>
      <c r="G40" s="14">
        <v>-969885</v>
      </c>
      <c r="H40" s="14">
        <v>-1634850</v>
      </c>
      <c r="I40" s="14">
        <v>-1280802</v>
      </c>
      <c r="J40" s="14">
        <v>-3414814</v>
      </c>
      <c r="K40" s="14">
        <v>-2101000</v>
      </c>
      <c r="L40" s="14">
        <v>-1327000</v>
      </c>
      <c r="M40" s="14">
        <v>-3157000</v>
      </c>
    </row>
    <row r="41" spans="1:13" x14ac:dyDescent="0.25">
      <c r="A41" s="1" t="s">
        <v>80</v>
      </c>
      <c r="B41" s="14"/>
      <c r="C41" s="14">
        <v>-73597</v>
      </c>
      <c r="D41" s="14">
        <v>50121</v>
      </c>
      <c r="E41" s="14">
        <v>8620</v>
      </c>
      <c r="F41" s="14">
        <v>14752</v>
      </c>
      <c r="G41" s="14"/>
      <c r="H41" s="14"/>
      <c r="I41" s="14"/>
      <c r="J41" s="14"/>
      <c r="K41" s="14"/>
      <c r="L41" s="14"/>
      <c r="M41" s="14"/>
    </row>
    <row r="42" spans="1:13" x14ac:dyDescent="0.25">
      <c r="A42" s="1" t="s">
        <v>76</v>
      </c>
      <c r="B42" s="14"/>
      <c r="C42" s="14"/>
      <c r="D42" s="14">
        <v>-64952</v>
      </c>
      <c r="E42" s="14">
        <v>-14992</v>
      </c>
      <c r="F42" s="14"/>
      <c r="G42" s="14">
        <v>-205841</v>
      </c>
      <c r="H42" s="14"/>
      <c r="I42" s="14"/>
      <c r="J42" s="14"/>
      <c r="K42" s="14"/>
      <c r="L42" s="14"/>
      <c r="M42" s="14"/>
    </row>
    <row r="43" spans="1:13" x14ac:dyDescent="0.25">
      <c r="A43" s="1" t="s">
        <v>77</v>
      </c>
      <c r="B43" s="14"/>
      <c r="C43" s="14"/>
      <c r="D43" s="14">
        <v>40000</v>
      </c>
      <c r="E43" s="14">
        <v>40000</v>
      </c>
      <c r="F43" s="14"/>
      <c r="G43" s="14">
        <v>189131</v>
      </c>
      <c r="H43" s="14"/>
      <c r="I43" s="14">
        <v>16667</v>
      </c>
      <c r="J43" s="14"/>
      <c r="K43" s="14"/>
      <c r="L43" s="14"/>
      <c r="M43" s="14"/>
    </row>
    <row r="44" spans="1:13" x14ac:dyDescent="0.25">
      <c r="A44" s="1" t="s">
        <v>78</v>
      </c>
      <c r="B44" s="14"/>
      <c r="C44" s="14">
        <v>-65210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1" t="s">
        <v>81</v>
      </c>
      <c r="B45" s="14">
        <v>-2360</v>
      </c>
      <c r="C45" s="14">
        <v>-1287</v>
      </c>
      <c r="D45" s="14">
        <v>-3201</v>
      </c>
      <c r="E45" s="14">
        <v>-1330</v>
      </c>
      <c r="F45" s="14">
        <v>55</v>
      </c>
      <c r="G45" s="14">
        <v>-3849</v>
      </c>
      <c r="H45" s="14">
        <v>-26441</v>
      </c>
      <c r="I45" s="14"/>
      <c r="J45" s="14"/>
      <c r="K45" s="14"/>
      <c r="L45" s="14"/>
      <c r="M45" s="14"/>
    </row>
    <row r="46" spans="1:13" x14ac:dyDescent="0.25">
      <c r="A46" s="1" t="s">
        <v>143</v>
      </c>
      <c r="B46" s="14"/>
      <c r="C46" s="14"/>
      <c r="D46" s="14"/>
      <c r="E46" s="14"/>
      <c r="F46" s="14"/>
      <c r="G46" s="14"/>
      <c r="H46" s="14">
        <v>-12260</v>
      </c>
      <c r="I46" s="14"/>
      <c r="J46" s="14"/>
      <c r="K46" s="14"/>
      <c r="L46" s="14"/>
      <c r="M46" s="14"/>
    </row>
    <row r="47" spans="1:13" x14ac:dyDescent="0.25">
      <c r="A47" s="1" t="s">
        <v>146</v>
      </c>
      <c r="B47" s="14"/>
      <c r="C47" s="14"/>
      <c r="D47" s="14"/>
      <c r="E47" s="14"/>
      <c r="F47" s="14"/>
      <c r="G47" s="14"/>
      <c r="H47" s="14"/>
      <c r="I47" s="14">
        <v>-159669</v>
      </c>
      <c r="J47" s="14">
        <v>-666540</v>
      </c>
      <c r="K47" s="14">
        <v>-218000</v>
      </c>
      <c r="L47" s="14">
        <v>-105000</v>
      </c>
      <c r="M47" s="14">
        <v>-75000</v>
      </c>
    </row>
    <row r="48" spans="1:13" x14ac:dyDescent="0.25">
      <c r="A48" s="1" t="s">
        <v>147</v>
      </c>
      <c r="B48" s="14"/>
      <c r="C48" s="14"/>
      <c r="D48" s="14"/>
      <c r="E48" s="14"/>
      <c r="F48" s="14"/>
      <c r="G48" s="14"/>
      <c r="H48" s="14"/>
      <c r="I48" s="14">
        <v>342719</v>
      </c>
      <c r="J48" s="14">
        <v>-114523</v>
      </c>
      <c r="K48" s="14">
        <v>-18000</v>
      </c>
      <c r="L48" s="14">
        <v>-45000</v>
      </c>
      <c r="M48" s="14">
        <v>-13000</v>
      </c>
    </row>
    <row r="49" spans="1:13" x14ac:dyDescent="0.25">
      <c r="A49" s="1" t="s">
        <v>151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46000</v>
      </c>
      <c r="M49" s="14">
        <v>123000</v>
      </c>
    </row>
    <row r="50" spans="1:13" x14ac:dyDescent="0.25">
      <c r="A50" s="26" t="s">
        <v>150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>
        <v>-5000</v>
      </c>
      <c r="M50" s="28">
        <v>-10000</v>
      </c>
    </row>
    <row r="51" spans="1:13" s="6" customFormat="1" x14ac:dyDescent="0.25">
      <c r="A51" s="6" t="s">
        <v>82</v>
      </c>
      <c r="B51" s="16">
        <f>+SUM(B40:B50)</f>
        <v>-14244</v>
      </c>
      <c r="C51" s="16">
        <f t="shared" ref="C51:D51" si="7">+SUM(C40:C50)</f>
        <v>-180297</v>
      </c>
      <c r="D51" s="16">
        <f t="shared" si="7"/>
        <v>-175928</v>
      </c>
      <c r="E51" s="16">
        <f t="shared" ref="E51" si="8">+SUM(E40:E50)</f>
        <v>-206930</v>
      </c>
      <c r="F51" s="16">
        <f t="shared" ref="F51" si="9">+SUM(F40:F50)</f>
        <v>-249417</v>
      </c>
      <c r="G51" s="16">
        <f t="shared" ref="G51" si="10">+SUM(G40:G50)</f>
        <v>-990444</v>
      </c>
      <c r="H51" s="16">
        <f t="shared" ref="H51" si="11">+SUM(H40:H50)</f>
        <v>-1673551</v>
      </c>
      <c r="I51" s="16">
        <f t="shared" ref="I51" si="12">+SUM(I40:I50)</f>
        <v>-1081085</v>
      </c>
      <c r="J51" s="16">
        <f t="shared" ref="J51" si="13">+SUM(J40:J50)</f>
        <v>-4195877</v>
      </c>
      <c r="K51" s="16">
        <f t="shared" ref="K51" si="14">+SUM(K40:K50)</f>
        <v>-2337000</v>
      </c>
      <c r="L51" s="16">
        <f t="shared" ref="L51" si="15">+SUM(L40:L50)</f>
        <v>-1436000</v>
      </c>
      <c r="M51" s="16">
        <f t="shared" ref="M51" si="16">+SUM(M40:M50)</f>
        <v>-3132000</v>
      </c>
    </row>
    <row r="52" spans="1:13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s="8" customFormat="1" ht="19.5" thickBot="1" x14ac:dyDescent="0.3">
      <c r="A53" s="71" t="s">
        <v>83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" t="s">
        <v>84</v>
      </c>
      <c r="B54" s="14"/>
      <c r="C54" s="14">
        <v>188842</v>
      </c>
      <c r="D54" s="14">
        <v>172410</v>
      </c>
      <c r="E54" s="14"/>
      <c r="F54" s="14">
        <v>660000</v>
      </c>
      <c r="G54" s="14">
        <v>2300000</v>
      </c>
      <c r="H54" s="14">
        <v>318972</v>
      </c>
      <c r="I54" s="14">
        <v>1701734</v>
      </c>
      <c r="J54" s="14">
        <v>400175</v>
      </c>
      <c r="K54" s="14"/>
      <c r="L54" s="14">
        <v>848000</v>
      </c>
      <c r="M54" s="14">
        <v>12269000</v>
      </c>
    </row>
    <row r="55" spans="1:13" x14ac:dyDescent="0.25">
      <c r="A55" s="1" t="s">
        <v>85</v>
      </c>
      <c r="B55" s="14"/>
      <c r="C55" s="14">
        <v>80000</v>
      </c>
      <c r="D55" s="14">
        <v>59058</v>
      </c>
      <c r="E55" s="14">
        <v>221496</v>
      </c>
      <c r="F55" s="14">
        <v>360000</v>
      </c>
      <c r="G55" s="14"/>
      <c r="H55" s="14">
        <v>730000</v>
      </c>
      <c r="I55" s="14">
        <v>2852964</v>
      </c>
      <c r="J55" s="14">
        <v>7138055</v>
      </c>
      <c r="K55" s="14">
        <v>6176000</v>
      </c>
      <c r="L55" s="14">
        <v>10669000</v>
      </c>
      <c r="M55" s="14">
        <v>9713000</v>
      </c>
    </row>
    <row r="56" spans="1:13" x14ac:dyDescent="0.25">
      <c r="A56" s="1" t="s">
        <v>86</v>
      </c>
      <c r="B56" s="14">
        <v>82378</v>
      </c>
      <c r="C56" s="14"/>
      <c r="D56" s="14"/>
      <c r="E56" s="14"/>
      <c r="F56" s="14">
        <v>120318</v>
      </c>
      <c r="G56" s="14">
        <v>389160</v>
      </c>
      <c r="H56" s="14"/>
      <c r="I56" s="14">
        <v>-1857594</v>
      </c>
      <c r="J56" s="14">
        <v>-3995484</v>
      </c>
      <c r="K56" s="14">
        <v>-5247000</v>
      </c>
      <c r="L56" s="14">
        <v>-9161000</v>
      </c>
      <c r="M56" s="14">
        <v>-11623000</v>
      </c>
    </row>
    <row r="57" spans="1:13" x14ac:dyDescent="0.25">
      <c r="A57" s="1" t="s">
        <v>87</v>
      </c>
      <c r="B57" s="14">
        <v>49444</v>
      </c>
      <c r="C57" s="14"/>
      <c r="D57" s="14"/>
      <c r="E57" s="14">
        <v>24885</v>
      </c>
      <c r="F57" s="14">
        <v>95307</v>
      </c>
      <c r="G57" s="14">
        <v>100455</v>
      </c>
      <c r="H57" s="14">
        <v>106611</v>
      </c>
      <c r="I57" s="14"/>
      <c r="J57" s="14">
        <v>-165000</v>
      </c>
      <c r="K57" s="14">
        <v>-100000</v>
      </c>
      <c r="L57" s="14"/>
      <c r="M57" s="14"/>
    </row>
    <row r="58" spans="1:13" x14ac:dyDescent="0.25">
      <c r="A58" s="1" t="s">
        <v>88</v>
      </c>
      <c r="B58" s="14">
        <v>-322</v>
      </c>
      <c r="C58" s="14">
        <v>-315</v>
      </c>
      <c r="D58" s="14">
        <v>-416</v>
      </c>
      <c r="E58" s="14"/>
      <c r="F58" s="14">
        <v>55000</v>
      </c>
      <c r="G58" s="14"/>
      <c r="H58" s="14">
        <v>20000</v>
      </c>
      <c r="I58" s="14">
        <v>769709</v>
      </c>
      <c r="J58" s="14">
        <v>511321</v>
      </c>
      <c r="K58" s="14">
        <v>-559000</v>
      </c>
      <c r="L58" s="14">
        <v>-389000</v>
      </c>
      <c r="M58" s="14">
        <v>-240000</v>
      </c>
    </row>
    <row r="59" spans="1:13" x14ac:dyDescent="0.25">
      <c r="A59" s="1" t="s">
        <v>89</v>
      </c>
      <c r="B59" s="14"/>
      <c r="C59" s="14">
        <v>71828</v>
      </c>
      <c r="D59" s="14">
        <v>204423</v>
      </c>
      <c r="E59" s="14">
        <v>-12710</v>
      </c>
      <c r="F59" s="14">
        <v>-452337</v>
      </c>
      <c r="G59" s="14"/>
      <c r="H59" s="14"/>
      <c r="I59" s="14">
        <v>163817</v>
      </c>
      <c r="J59" s="14">
        <v>259116</v>
      </c>
      <c r="K59" s="14">
        <v>296000</v>
      </c>
      <c r="L59" s="14">
        <v>263000</v>
      </c>
      <c r="M59" s="14">
        <v>417000</v>
      </c>
    </row>
    <row r="60" spans="1:13" x14ac:dyDescent="0.25">
      <c r="A60" s="1" t="s">
        <v>90</v>
      </c>
      <c r="B60" s="14">
        <v>25468</v>
      </c>
      <c r="C60" s="14"/>
      <c r="D60" s="14"/>
      <c r="E60" s="14"/>
      <c r="F60" s="14">
        <v>-177540</v>
      </c>
      <c r="G60" s="14">
        <v>-603428</v>
      </c>
      <c r="H60" s="14"/>
      <c r="I60" s="14">
        <v>-46889</v>
      </c>
      <c r="J60" s="14">
        <v>-103304</v>
      </c>
      <c r="K60" s="14">
        <v>-181000</v>
      </c>
      <c r="L60" s="14">
        <v>-321000</v>
      </c>
      <c r="M60" s="14">
        <v>-338000</v>
      </c>
    </row>
    <row r="61" spans="1:13" x14ac:dyDescent="0.25">
      <c r="A61" s="1" t="s">
        <v>91</v>
      </c>
      <c r="B61" s="14">
        <v>497</v>
      </c>
      <c r="C61" s="14">
        <v>1350</v>
      </c>
      <c r="D61" s="14">
        <v>10525</v>
      </c>
      <c r="E61" s="14"/>
      <c r="F61" s="14">
        <v>-16901</v>
      </c>
      <c r="G61" s="14">
        <v>-35149</v>
      </c>
      <c r="H61" s="14">
        <v>-17025</v>
      </c>
      <c r="I61" s="14">
        <v>-20042</v>
      </c>
      <c r="J61" s="14">
        <v>-63111</v>
      </c>
      <c r="K61" s="14">
        <v>-15000</v>
      </c>
      <c r="L61" s="14">
        <v>-37000</v>
      </c>
      <c r="M61" s="14">
        <v>-6000</v>
      </c>
    </row>
    <row r="62" spans="1:13" x14ac:dyDescent="0.25">
      <c r="A62" s="1" t="s">
        <v>67</v>
      </c>
      <c r="B62" s="14"/>
      <c r="C62" s="14">
        <v>74</v>
      </c>
      <c r="D62" s="14"/>
      <c r="E62" s="14">
        <v>-2832</v>
      </c>
      <c r="F62" s="14">
        <v>-8425</v>
      </c>
      <c r="G62" s="14">
        <v>-11179</v>
      </c>
      <c r="H62" s="14">
        <v>-203780</v>
      </c>
      <c r="I62" s="14"/>
      <c r="J62" s="14">
        <v>-204102</v>
      </c>
      <c r="K62" s="14"/>
      <c r="L62" s="14">
        <v>-476000</v>
      </c>
      <c r="M62" s="14"/>
    </row>
    <row r="63" spans="1:13" x14ac:dyDescent="0.25">
      <c r="A63" s="26" t="s">
        <v>92</v>
      </c>
      <c r="B63" s="28">
        <v>-2046</v>
      </c>
      <c r="C63" s="28">
        <v>-3734</v>
      </c>
      <c r="D63" s="28" t="s">
        <v>3</v>
      </c>
      <c r="E63" s="28">
        <v>188796</v>
      </c>
      <c r="F63" s="28"/>
      <c r="G63" s="28">
        <v>3271</v>
      </c>
      <c r="H63" s="28">
        <v>568745</v>
      </c>
      <c r="I63" s="28"/>
      <c r="J63" s="28">
        <v>287213</v>
      </c>
      <c r="K63" s="28"/>
      <c r="L63" s="28">
        <v>174000</v>
      </c>
      <c r="M63" s="28"/>
    </row>
    <row r="64" spans="1:13" s="6" customFormat="1" x14ac:dyDescent="0.25">
      <c r="A64" s="6" t="s">
        <v>93</v>
      </c>
      <c r="B64" s="16">
        <f>+SUM(B54:B63)</f>
        <v>155419</v>
      </c>
      <c r="C64" s="16">
        <f>+SUM(C54:C63)</f>
        <v>338045</v>
      </c>
      <c r="D64" s="16">
        <f>+SUM(D54:D63)</f>
        <v>446000</v>
      </c>
      <c r="E64" s="16">
        <f>+SUM(E54:E63)</f>
        <v>419635</v>
      </c>
      <c r="F64" s="16">
        <f>+SUM(F54:F63)</f>
        <v>635422</v>
      </c>
      <c r="G64" s="16">
        <f>+SUM(G54:G63)</f>
        <v>2143130</v>
      </c>
      <c r="H64" s="16">
        <f>+SUM(H54:H63)</f>
        <v>1523523</v>
      </c>
      <c r="I64" s="16">
        <v>3743976</v>
      </c>
      <c r="J64" s="16">
        <v>4414864</v>
      </c>
      <c r="K64" s="16">
        <v>574000</v>
      </c>
      <c r="L64" s="16">
        <v>1529000</v>
      </c>
      <c r="M64" s="16">
        <v>9973000</v>
      </c>
    </row>
    <row r="65" spans="1:13" x14ac:dyDescent="0.25">
      <c r="A65" s="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5">
      <c r="A66" s="26"/>
      <c r="B66" s="28"/>
      <c r="C66" s="28"/>
      <c r="D66" s="28"/>
      <c r="E66" s="28"/>
      <c r="F66" s="28"/>
      <c r="G66" s="28">
        <v>-35525</v>
      </c>
      <c r="H66" s="28">
        <v>-34278</v>
      </c>
      <c r="I66" s="28">
        <v>-6553</v>
      </c>
      <c r="J66" s="28">
        <v>39726</v>
      </c>
      <c r="K66" s="28">
        <v>-23000</v>
      </c>
      <c r="L66" s="28">
        <v>8000</v>
      </c>
      <c r="M66" s="28">
        <v>334000</v>
      </c>
    </row>
    <row r="67" spans="1:13" s="8" customFormat="1" ht="19.5" thickBot="1" x14ac:dyDescent="0.3">
      <c r="A67" s="72" t="s">
        <v>94</v>
      </c>
      <c r="B67" s="16">
        <f>+B64+B51+B37</f>
        <v>60350</v>
      </c>
      <c r="C67" s="16">
        <f>+C64+C51+C37</f>
        <v>29931</v>
      </c>
      <c r="D67" s="16">
        <f>+D64+D51+D37</f>
        <v>155707</v>
      </c>
      <c r="E67" s="16">
        <f>+E64+E51+E37</f>
        <v>-53376</v>
      </c>
      <c r="F67" s="16">
        <f>+F64+F51+F37</f>
        <v>643999</v>
      </c>
      <c r="G67" s="16">
        <f>+G64+G51+G37+G66</f>
        <v>1059824</v>
      </c>
      <c r="H67" s="16">
        <f>+H64+H51+H37+H66</f>
        <v>-708805</v>
      </c>
      <c r="I67" s="16">
        <f>+I64+I51+I37+I66</f>
        <v>2532509</v>
      </c>
      <c r="J67" s="16">
        <f>+J64+J51+J37+J66</f>
        <v>198059</v>
      </c>
      <c r="K67" s="16">
        <f>+K64+K51+K37+K66</f>
        <v>312000</v>
      </c>
      <c r="L67" s="16">
        <f>+L64+L51+L37+L66</f>
        <v>2506000</v>
      </c>
      <c r="M67" s="16">
        <f>+M64+M51+M37+M66</f>
        <v>13118000</v>
      </c>
    </row>
    <row r="68" spans="1:13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5">
      <c r="A69" s="1" t="s">
        <v>95</v>
      </c>
      <c r="B69" s="14">
        <v>9277</v>
      </c>
      <c r="C69" s="14">
        <f t="shared" ref="C69:J69" si="17">+B70</f>
        <v>69627</v>
      </c>
      <c r="D69" s="14">
        <f t="shared" si="17"/>
        <v>99558</v>
      </c>
      <c r="E69" s="14">
        <f t="shared" si="17"/>
        <v>255265</v>
      </c>
      <c r="F69" s="14">
        <f t="shared" si="17"/>
        <v>201889</v>
      </c>
      <c r="G69" s="14">
        <f t="shared" si="17"/>
        <v>845888</v>
      </c>
      <c r="H69" s="14">
        <f t="shared" si="17"/>
        <v>1905712</v>
      </c>
      <c r="I69" s="14">
        <f t="shared" si="17"/>
        <v>1196907</v>
      </c>
      <c r="J69" s="14">
        <f t="shared" si="17"/>
        <v>3729416</v>
      </c>
      <c r="K69" s="14">
        <v>3965000</v>
      </c>
      <c r="L69" s="14">
        <f t="shared" ref="L69:M69" si="18">+K70</f>
        <v>4277000</v>
      </c>
      <c r="M69" s="14">
        <f t="shared" si="18"/>
        <v>6783000</v>
      </c>
    </row>
    <row r="70" spans="1:13" x14ac:dyDescent="0.25">
      <c r="A70" s="1" t="s">
        <v>96</v>
      </c>
      <c r="B70" s="14">
        <f t="shared" ref="B70:K70" si="19">+B69+B67</f>
        <v>69627</v>
      </c>
      <c r="C70" s="14">
        <f t="shared" si="19"/>
        <v>99558</v>
      </c>
      <c r="D70" s="14">
        <f t="shared" si="19"/>
        <v>255265</v>
      </c>
      <c r="E70" s="14">
        <f t="shared" si="19"/>
        <v>201889</v>
      </c>
      <c r="F70" s="14">
        <f t="shared" si="19"/>
        <v>845888</v>
      </c>
      <c r="G70" s="14">
        <f t="shared" si="19"/>
        <v>1905712</v>
      </c>
      <c r="H70" s="14">
        <f t="shared" si="19"/>
        <v>1196907</v>
      </c>
      <c r="I70" s="14">
        <f t="shared" si="19"/>
        <v>3729416</v>
      </c>
      <c r="J70" s="14">
        <f t="shared" si="19"/>
        <v>3927475</v>
      </c>
      <c r="K70" s="14">
        <f t="shared" si="19"/>
        <v>4277000</v>
      </c>
      <c r="L70" s="14">
        <f t="shared" ref="L70:M70" si="20">+L69+L67</f>
        <v>6783000</v>
      </c>
      <c r="M70" s="14">
        <f t="shared" si="20"/>
        <v>19901000</v>
      </c>
    </row>
    <row r="71" spans="1:13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s="6" customFormat="1" x14ac:dyDescent="0.25">
      <c r="A72" s="6" t="s">
        <v>97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5">
      <c r="A73" s="1" t="s">
        <v>98</v>
      </c>
      <c r="B73" s="14">
        <v>70</v>
      </c>
      <c r="C73" s="14">
        <v>1.1379999999999999</v>
      </c>
      <c r="D73" s="14">
        <v>3.472</v>
      </c>
      <c r="E73" s="14">
        <v>6938</v>
      </c>
      <c r="F73" s="14">
        <v>9041</v>
      </c>
      <c r="G73" s="14">
        <v>20539</v>
      </c>
      <c r="H73" s="14">
        <v>32060</v>
      </c>
      <c r="I73" s="14" t="s">
        <v>148</v>
      </c>
      <c r="J73" s="14">
        <v>10.528</v>
      </c>
      <c r="K73" s="14" t="s">
        <v>114</v>
      </c>
      <c r="L73" s="14">
        <v>207</v>
      </c>
      <c r="M73" s="14" t="s">
        <v>114</v>
      </c>
    </row>
    <row r="74" spans="1:13" ht="14.25" customHeight="1" x14ac:dyDescent="0.25">
      <c r="A74" s="1" t="s">
        <v>99</v>
      </c>
      <c r="B74" s="14">
        <v>171</v>
      </c>
      <c r="C74" s="14">
        <v>9</v>
      </c>
      <c r="D74" s="14">
        <v>282</v>
      </c>
      <c r="E74" s="14">
        <v>117</v>
      </c>
      <c r="F74" s="14">
        <v>257</v>
      </c>
      <c r="G74" s="14">
        <v>3120</v>
      </c>
      <c r="H74" s="14">
        <v>9461</v>
      </c>
      <c r="I74" s="14">
        <v>663.77099999999996</v>
      </c>
      <c r="J74" s="14">
        <v>914.10799999999995</v>
      </c>
      <c r="K74" s="14">
        <v>249</v>
      </c>
      <c r="L74" s="14">
        <v>562</v>
      </c>
      <c r="M74" s="14">
        <v>1.0880000000000001</v>
      </c>
    </row>
    <row r="75" spans="1:13" ht="14.25" customHeight="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5">
      <c r="A76" s="1" t="s">
        <v>100</v>
      </c>
      <c r="B76" s="14"/>
      <c r="C76" s="14"/>
      <c r="D76" s="14"/>
      <c r="E76" s="14"/>
      <c r="F76" s="14"/>
      <c r="G76" s="14"/>
      <c r="H76" s="14"/>
      <c r="I76" s="14">
        <v>307.87900000000002</v>
      </c>
      <c r="J76" s="14">
        <v>313.483</v>
      </c>
      <c r="K76" s="14">
        <v>94</v>
      </c>
      <c r="L76" s="14" t="s">
        <v>114</v>
      </c>
      <c r="M76" s="14" t="s">
        <v>114</v>
      </c>
    </row>
    <row r="77" spans="1:13" x14ac:dyDescent="0.25">
      <c r="A77" s="1" t="s">
        <v>101</v>
      </c>
      <c r="B77" s="14" t="s">
        <v>3</v>
      </c>
      <c r="C77" s="14">
        <v>319.22500000000002</v>
      </c>
      <c r="D77" s="14" t="s">
        <v>3</v>
      </c>
      <c r="E77" s="14">
        <v>44.89</v>
      </c>
      <c r="F77" s="14">
        <v>38.789000000000001</v>
      </c>
      <c r="G77" s="14">
        <v>254.393</v>
      </c>
      <c r="H77" s="14">
        <v>267.334</v>
      </c>
      <c r="I77" s="14"/>
      <c r="J77" s="14"/>
      <c r="K77" s="14"/>
      <c r="L77" s="14"/>
      <c r="M77" s="14"/>
    </row>
    <row r="78" spans="1:13" x14ac:dyDescent="0.25">
      <c r="A78" s="1" t="s">
        <v>102</v>
      </c>
      <c r="B78" s="14" t="s">
        <v>3</v>
      </c>
      <c r="C78" s="14">
        <v>6.9619999999999997</v>
      </c>
      <c r="D78" s="14" t="s">
        <v>3</v>
      </c>
      <c r="E78" s="14"/>
      <c r="F78" s="14"/>
      <c r="G78" s="14"/>
      <c r="H78" s="14"/>
      <c r="I78" s="14">
        <v>38.692999999999998</v>
      </c>
      <c r="J78" s="14">
        <v>182.571</v>
      </c>
      <c r="K78" s="14">
        <v>381</v>
      </c>
      <c r="L78" s="14">
        <v>455</v>
      </c>
      <c r="M78" s="14">
        <v>444</v>
      </c>
    </row>
    <row r="79" spans="1:13" x14ac:dyDescent="0.25">
      <c r="A79" s="1" t="s">
        <v>103</v>
      </c>
      <c r="B79" s="14" t="s">
        <v>3</v>
      </c>
      <c r="C79" s="14">
        <v>6.2939999999999996</v>
      </c>
      <c r="D79" s="14" t="s">
        <v>3</v>
      </c>
      <c r="E79" s="14"/>
      <c r="F79" s="14"/>
      <c r="G79" s="14">
        <v>50.076000000000001</v>
      </c>
      <c r="H79" s="14">
        <v>174.749</v>
      </c>
      <c r="I79" s="14">
        <v>16.385000000000002</v>
      </c>
      <c r="J79" s="14">
        <v>65.694999999999993</v>
      </c>
      <c r="K79" s="14">
        <v>35</v>
      </c>
      <c r="L79" s="14">
        <v>54</v>
      </c>
      <c r="M79" s="14">
        <v>115</v>
      </c>
    </row>
    <row r="80" spans="1:13" x14ac:dyDescent="0.25">
      <c r="A80" s="1" t="s">
        <v>104</v>
      </c>
      <c r="B80" s="14" t="s">
        <v>3</v>
      </c>
      <c r="C80" s="14">
        <v>1.7010000000000001</v>
      </c>
      <c r="D80" s="14" t="s">
        <v>3</v>
      </c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5">
      <c r="A81" s="1" t="s">
        <v>105</v>
      </c>
      <c r="B81" s="14">
        <v>86.224999999999994</v>
      </c>
      <c r="C81" s="14" t="s">
        <v>3</v>
      </c>
      <c r="D81" s="14" t="s">
        <v>3</v>
      </c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5">
      <c r="A82" s="1" t="s">
        <v>106</v>
      </c>
      <c r="B82" s="14">
        <v>19.073</v>
      </c>
      <c r="C82" s="14" t="s">
        <v>3</v>
      </c>
      <c r="D82" s="14" t="s">
        <v>3</v>
      </c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5">
      <c r="A83" s="1" t="s">
        <v>107</v>
      </c>
      <c r="B83" s="14">
        <v>1.7909999999999999</v>
      </c>
      <c r="C83" s="14" t="s">
        <v>3</v>
      </c>
      <c r="D83" s="14" t="s">
        <v>3</v>
      </c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5">
      <c r="A84" s="1" t="s">
        <v>108</v>
      </c>
      <c r="B84" s="14">
        <v>183</v>
      </c>
      <c r="C84" s="14">
        <v>4.4820000000000002</v>
      </c>
      <c r="D84" s="14">
        <v>2.7029999999999998</v>
      </c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26F1-B401-4AE4-9890-580BCAF20E99}">
  <dimension ref="A1:M53"/>
  <sheetViews>
    <sheetView zoomScale="85" zoomScaleNormal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8" sqref="I8"/>
    </sheetView>
  </sheetViews>
  <sheetFormatPr defaultRowHeight="15" outlineLevelCol="1" x14ac:dyDescent="0.25"/>
  <cols>
    <col min="1" max="1" width="25.5703125" style="1" customWidth="1"/>
    <col min="2" max="8" width="16.7109375" style="1" customWidth="1" outlineLevel="1"/>
    <col min="9" max="31" width="15.7109375" style="1" customWidth="1"/>
    <col min="32" max="16384" width="9.140625" style="1"/>
  </cols>
  <sheetData>
    <row r="1" spans="1:13" ht="15.95" customHeight="1" x14ac:dyDescent="0.25">
      <c r="A1" s="8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5.95" customHeight="1" x14ac:dyDescent="0.25">
      <c r="A2" s="8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.95" customHeight="1" x14ac:dyDescent="0.25">
      <c r="A3" s="8" t="s">
        <v>152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9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.9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.95" customHeight="1" x14ac:dyDescent="0.25"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111</v>
      </c>
      <c r="H6" s="2" t="s">
        <v>111</v>
      </c>
      <c r="I6" s="2" t="s">
        <v>111</v>
      </c>
      <c r="J6" s="2" t="s">
        <v>38</v>
      </c>
      <c r="K6" s="2" t="s">
        <v>111</v>
      </c>
      <c r="L6" s="2" t="s">
        <v>111</v>
      </c>
      <c r="M6" s="2" t="s">
        <v>38</v>
      </c>
    </row>
    <row r="7" spans="1:13" s="3" customFormat="1" ht="15.95" customHeight="1" x14ac:dyDescent="0.25">
      <c r="A7" s="17" t="s">
        <v>158</v>
      </c>
      <c r="B7" s="11">
        <v>2009</v>
      </c>
      <c r="C7" s="11">
        <v>2010</v>
      </c>
      <c r="D7" s="11">
        <v>2011</v>
      </c>
      <c r="E7" s="11">
        <v>2012</v>
      </c>
      <c r="F7" s="11">
        <v>2013</v>
      </c>
      <c r="G7" s="11">
        <v>2014</v>
      </c>
      <c r="H7" s="11">
        <v>2015</v>
      </c>
      <c r="I7" s="11">
        <v>2016</v>
      </c>
      <c r="J7" s="11">
        <v>2017</v>
      </c>
      <c r="K7" s="11">
        <v>2018</v>
      </c>
      <c r="L7" s="11">
        <v>2019</v>
      </c>
      <c r="M7" s="11">
        <v>2020</v>
      </c>
    </row>
    <row r="8" spans="1:13" ht="15.75" x14ac:dyDescent="0.25">
      <c r="A8" s="8" t="s">
        <v>159</v>
      </c>
    </row>
    <row r="9" spans="1:13" x14ac:dyDescent="0.25">
      <c r="A9" s="1" t="s">
        <v>160</v>
      </c>
      <c r="B9" s="19">
        <f>+'Income Statement'!B21/'Income Statement'!B12</f>
        <v>8.5177277721697656E-2</v>
      </c>
      <c r="C9" s="19">
        <f>+'Income Statement'!C21/'Income Statement'!C12</f>
        <v>0.26323408483519495</v>
      </c>
      <c r="D9" s="19">
        <f>+'Income Statement'!D21/'Income Statement'!D12</f>
        <v>0.30157851959929888</v>
      </c>
      <c r="E9" s="19">
        <f>+'Income Statement'!E21/'Income Statement'!E12</f>
        <v>7.2756354414696939E-2</v>
      </c>
      <c r="F9" s="19">
        <f>+'Income Statement'!F21/'Income Statement'!F12</f>
        <v>0.22660189044328868</v>
      </c>
      <c r="G9" s="19">
        <f>+'Income Statement'!G21/'Income Statement'!G12</f>
        <v>0.27566380978227567</v>
      </c>
      <c r="H9" s="19">
        <f>+'Income Statement'!H21/'Income Statement'!H12</f>
        <v>0.22824945471172323</v>
      </c>
      <c r="I9" s="19">
        <f>+'Income Statement'!I21/'Income Statement'!I12</f>
        <v>0.22846097759299397</v>
      </c>
      <c r="J9" s="19">
        <f>+'Income Statement'!J21/'Income Statement'!J12</f>
        <v>0.18900706376042831</v>
      </c>
      <c r="K9" s="19">
        <f>+'Income Statement'!K21/'Income Statement'!K12</f>
        <v>0.18834164298028983</v>
      </c>
      <c r="L9" s="19">
        <f>+'Income Statement'!L21/'Income Statement'!L12</f>
        <v>0.1655545609895028</v>
      </c>
      <c r="M9" s="19">
        <f>+'Income Statement'!M21/'Income Statement'!M12</f>
        <v>0.2102359208523592</v>
      </c>
    </row>
    <row r="10" spans="1:13" x14ac:dyDescent="0.25">
      <c r="A10" s="1" t="s">
        <v>161</v>
      </c>
      <c r="B10" s="19">
        <f>+'Income Statement'!B28/'Income Statement'!B12</f>
        <v>-0.46360201173811671</v>
      </c>
      <c r="C10" s="19">
        <f>+'Income Statement'!C28/'Income Statement'!C12</f>
        <v>-1.2577777016377716</v>
      </c>
      <c r="D10" s="19">
        <f>+'Income Statement'!D28/'Income Statement'!D12</f>
        <v>-1.231323625894772</v>
      </c>
      <c r="E10" s="19">
        <f>+'Income Statement'!E28/'Income Statement'!E12</f>
        <v>-0.95408899084344811</v>
      </c>
      <c r="F10" s="19">
        <f>+'Income Statement'!F28/'Income Statement'!F12</f>
        <v>-3.0436117081931127E-2</v>
      </c>
      <c r="G10" s="19">
        <f>+'Income Statement'!G28/'Income Statement'!G12</f>
        <v>-5.8370300241749197E-2</v>
      </c>
      <c r="H10" s="19">
        <f>+'Income Statement'!H28/'Income Statement'!H12</f>
        <v>-0.17711927138364197</v>
      </c>
      <c r="I10" s="19">
        <f>+'Income Statement'!I28/'Income Statement'!I12</f>
        <v>-9.533248801594027E-2</v>
      </c>
      <c r="J10" s="19">
        <f>+'Income Statement'!J28/'Income Statement'!J12</f>
        <v>-0.13879756446921956</v>
      </c>
      <c r="K10" s="19">
        <f>+'Income Statement'!K28/'Income Statement'!K12</f>
        <v>-1.8079306649270769E-2</v>
      </c>
      <c r="L10" s="19">
        <f>+'Income Statement'!L28/'Income Statement'!L12</f>
        <v>-2.8073887216209618E-3</v>
      </c>
      <c r="M10" s="19">
        <f>+'Income Statement'!M28/'Income Statement'!M12</f>
        <v>6.3229325215626589E-2</v>
      </c>
    </row>
    <row r="11" spans="1:13" x14ac:dyDescent="0.25">
      <c r="A11" s="1" t="s">
        <v>162</v>
      </c>
      <c r="B11" s="19">
        <f>+'Income Statement'!B35/'Income Statement'!B12</f>
        <v>-0.49793198324147109</v>
      </c>
      <c r="C11" s="19">
        <f>+'Income Statement'!C35/'Income Statement'!C12</f>
        <v>-1.3219351743986842</v>
      </c>
      <c r="D11" s="19">
        <f>+'Income Statement'!D35/'Income Statement'!D12</f>
        <v>-1.245635079954172</v>
      </c>
      <c r="E11" s="19">
        <f>+'Income Statement'!E35/'Income Statement'!E12</f>
        <v>-0.95875921946686804</v>
      </c>
      <c r="F11" s="19">
        <f>+'Income Statement'!F35/'Income Statement'!F12</f>
        <v>-3.6758950601342141E-2</v>
      </c>
      <c r="G11" s="19">
        <f>+'Income Statement'!G35/'Income Statement'!G12</f>
        <v>-9.1934731468291842E-2</v>
      </c>
      <c r="H11" s="19">
        <f>+'Income Statement'!H35/'Income Statement'!H12</f>
        <v>-0.21963853411681836</v>
      </c>
      <c r="I11" s="19">
        <f>+'Income Statement'!I35/'Income Statement'!I12</f>
        <v>-0.11043306040514665</v>
      </c>
      <c r="J11" s="19">
        <f>+'Income Statement'!J35/'Income Statement'!J12</f>
        <v>-0.19054557750223641</v>
      </c>
      <c r="K11" s="19">
        <f>+'Income Statement'!K35/'Income Statement'!K12</f>
        <v>-4.9531708680862964E-2</v>
      </c>
      <c r="L11" s="19">
        <f>+'Income Statement'!L35/'Income Statement'!L12</f>
        <v>-3.1532264626902111E-2</v>
      </c>
      <c r="M11" s="19">
        <f>+'Income Statement'!M35/'Income Statement'!M12</f>
        <v>2.7333840690005072E-2</v>
      </c>
    </row>
    <row r="12" spans="1:13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" t="s">
        <v>163</v>
      </c>
      <c r="B13" s="19">
        <f>+'Income Statement'!B34/'Income Statement'!B33</f>
        <v>-4.6666905984133253E-4</v>
      </c>
      <c r="C13" s="19">
        <f>+'Income Statement'!C34/'Income Statement'!C33</f>
        <v>-1.122247088968895E-3</v>
      </c>
      <c r="D13" s="19">
        <f>+'Income Statement'!D34/'Income Statement'!D33</f>
        <v>-1.9257882341821503E-3</v>
      </c>
      <c r="E13" s="19">
        <f>+'Income Statement'!E34/'Income Statement'!E33</f>
        <v>-3.4336757751649298E-4</v>
      </c>
      <c r="F13" s="19">
        <f>+'Income Statement'!F34/'Income Statement'!F33</f>
        <v>-3.623330439895836E-2</v>
      </c>
      <c r="G13" s="19">
        <f>+'Income Statement'!G34/'Income Statement'!G33</f>
        <v>-3.3038688008544245E-2</v>
      </c>
      <c r="H13" s="19">
        <f>+'Income Statement'!H34/'Income Statement'!H33</f>
        <v>-1.4891094807817053E-2</v>
      </c>
      <c r="I13" s="19">
        <f>+'Income Statement'!I34/'Income Statement'!I33</f>
        <v>-3.5771516772336767E-2</v>
      </c>
      <c r="J13" s="19">
        <f>+'Income Statement'!J34/'Income Statement'!J33</f>
        <v>-1.4280463116876533E-2</v>
      </c>
      <c r="K13" s="19">
        <f>+'Income Statement'!K34/'Income Statement'!K33</f>
        <v>-5.7711442786069649E-2</v>
      </c>
      <c r="L13" s="19">
        <f>+'Income Statement'!L34/'Income Statement'!L33</f>
        <v>-0.16541353383458646</v>
      </c>
      <c r="M13" s="19">
        <f>+'Income Statement'!M34/'Income Statement'!M33</f>
        <v>0.2530329289428076</v>
      </c>
    </row>
    <row r="14" spans="1:13" x14ac:dyDescent="0.25">
      <c r="A14" s="1" t="s">
        <v>164</v>
      </c>
      <c r="B14" s="2">
        <f>ABS('Income Statement'!B28)/ABS('Income Statement'!B31)</f>
        <v>20.504543658632951</v>
      </c>
      <c r="C14" s="2">
        <f>ABS('Income Statement'!C28)/ABS('Income Statement'!C31)</f>
        <v>148.02217741935485</v>
      </c>
      <c r="D14" s="2">
        <f>ABS('Income Statement'!D28)/ABS('Income Statement'!D31)</f>
        <v>5848.5581395348836</v>
      </c>
      <c r="E14" s="2">
        <f>ABS('Income Statement'!E28)/ABS('Income Statement'!E31)</f>
        <v>1552.2952755905512</v>
      </c>
      <c r="F14" s="2">
        <f>ABS('Income Statement'!F28)/ABS('Income Statement'!F31)</f>
        <v>1.8607821704014089</v>
      </c>
      <c r="G14" s="2">
        <f>ABS('Income Statement'!G28)/ABS('Income Statement'!G31)</f>
        <v>1.8504946176872905</v>
      </c>
      <c r="H14" s="2">
        <f>ABS('Income Statement'!H28)/ABS('Income Statement'!H31)</f>
        <v>6.0296421569864789</v>
      </c>
      <c r="I14" s="2">
        <f>ABS('Income Statement'!I28)/ABS('Income Statement'!I31)</f>
        <v>3.3566721995875457</v>
      </c>
      <c r="J14" s="2">
        <f>ABS('Income Statement'!J28)/ABS('Income Statement'!J31)</f>
        <v>3.4632463252691195</v>
      </c>
      <c r="K14" s="2">
        <f>ABS('Income Statement'!K28)/ABS('Income Statement'!K31)</f>
        <v>0.58521870286576172</v>
      </c>
      <c r="L14" s="2">
        <f>ABS('Income Statement'!L28)/ABS('Income Statement'!L31)</f>
        <v>0.10072992700729927</v>
      </c>
      <c r="M14" s="2">
        <f>ABS('Income Statement'!M28)/ABS('Income Statement'!M31)</f>
        <v>2.6657754010695189</v>
      </c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1" t="s">
        <v>184</v>
      </c>
      <c r="B16" s="2">
        <f>+'Income Statement'!B25</f>
        <v>42150</v>
      </c>
      <c r="C16" s="2">
        <f>+'Income Statement'!C25</f>
        <v>84573</v>
      </c>
      <c r="D16" s="2">
        <f>+'Income Statement'!D25</f>
        <v>104102</v>
      </c>
      <c r="E16" s="2">
        <f>+'Income Statement'!E25</f>
        <v>150372</v>
      </c>
      <c r="F16" s="2">
        <f>+'Income Statement'!F25</f>
        <v>285569</v>
      </c>
      <c r="G16" s="2">
        <f>+'Income Statement'!G25</f>
        <v>603660</v>
      </c>
      <c r="H16" s="2">
        <f>+'Income Statement'!H25</f>
        <v>922232</v>
      </c>
      <c r="I16" s="2">
        <f>+'Income Statement'!I25</f>
        <v>1432189</v>
      </c>
      <c r="J16" s="2">
        <f>+'Income Statement'!J25</f>
        <v>2476500</v>
      </c>
      <c r="K16" s="2">
        <f>+'Income Statement'!K25</f>
        <v>2835000</v>
      </c>
      <c r="L16" s="2">
        <f>+'Income Statement'!L25</f>
        <v>2646000</v>
      </c>
      <c r="M16" s="2">
        <f>+'Income Statement'!M25</f>
        <v>3145000</v>
      </c>
    </row>
    <row r="17" spans="1:13" x14ac:dyDescent="0.25">
      <c r="A17" s="1" t="s">
        <v>185</v>
      </c>
      <c r="B17" s="2">
        <f>+'Income Statement'!B24</f>
        <v>19282</v>
      </c>
      <c r="C17" s="2">
        <f>+'Income Statement'!C24</f>
        <v>92996</v>
      </c>
      <c r="D17" s="2">
        <f>+'Income Statement'!D24</f>
        <v>208981</v>
      </c>
      <c r="E17" s="2">
        <f>+'Income Statement'!E24</f>
        <v>273978</v>
      </c>
      <c r="F17" s="2">
        <f>+'Income Statement'!F24</f>
        <v>231976</v>
      </c>
      <c r="G17" s="2">
        <f>+'Income Statement'!G24</f>
        <v>464700</v>
      </c>
      <c r="H17" s="2">
        <f>+'Income Statement'!H24</f>
        <v>717900</v>
      </c>
      <c r="I17" s="2">
        <f>+'Income Statement'!I24</f>
        <v>834408</v>
      </c>
      <c r="J17" s="2">
        <f>+'Income Statement'!J24</f>
        <v>1378073</v>
      </c>
      <c r="K17" s="2">
        <f>+'Income Statement'!K24</f>
        <v>1460000</v>
      </c>
      <c r="L17" s="2">
        <f>+'Income Statement'!L24</f>
        <v>1343000</v>
      </c>
      <c r="M17" s="2">
        <f>+'Income Statement'!M24</f>
        <v>1491000</v>
      </c>
    </row>
    <row r="18" spans="1:13" x14ac:dyDescent="0.25">
      <c r="A18" s="1" t="s">
        <v>186</v>
      </c>
      <c r="B18" s="2">
        <f>+'Cash Flow'!B9</f>
        <v>6940</v>
      </c>
      <c r="C18" s="2">
        <f>+'Cash Flow'!C9</f>
        <v>10623</v>
      </c>
      <c r="D18" s="2">
        <f>+'Cash Flow'!D9</f>
        <v>16919</v>
      </c>
      <c r="E18" s="2">
        <f>+'Cash Flow'!E9</f>
        <v>28825</v>
      </c>
      <c r="F18" s="2">
        <f>+'Cash Flow'!F9</f>
        <v>106083</v>
      </c>
      <c r="G18" s="2">
        <f>+'Cash Flow'!G9</f>
        <v>231931</v>
      </c>
      <c r="H18" s="2">
        <f>+'Cash Flow'!H9</f>
        <v>422590</v>
      </c>
      <c r="I18" s="2">
        <f>+'Cash Flow'!I9</f>
        <v>947099</v>
      </c>
      <c r="J18" s="2">
        <f>+'Cash Flow'!J9</f>
        <v>1636003</v>
      </c>
      <c r="K18" s="2">
        <f>+'Cash Flow'!K9</f>
        <v>1901000</v>
      </c>
      <c r="L18" s="2">
        <f>+'Cash Flow'!L9</f>
        <v>2154000</v>
      </c>
      <c r="M18" s="2">
        <f>+'Cash Flow'!M9</f>
        <v>2322000</v>
      </c>
    </row>
    <row r="19" spans="1:13" x14ac:dyDescent="0.25">
      <c r="A19" s="1" t="s">
        <v>187</v>
      </c>
      <c r="B19" s="2">
        <f>+'Cash Flow'!B10</f>
        <v>1434</v>
      </c>
      <c r="C19" s="2">
        <f>+'Cash Flow'!C10</f>
        <v>21156</v>
      </c>
      <c r="D19" s="2">
        <f>+'Cash Flow'!D10</f>
        <v>29419</v>
      </c>
      <c r="E19" s="2">
        <f>+'Cash Flow'!E10</f>
        <v>50145</v>
      </c>
      <c r="F19" s="2">
        <f>+'Cash Flow'!F10</f>
        <v>80737</v>
      </c>
      <c r="G19" s="2">
        <f>+'Cash Flow'!G10</f>
        <v>156496</v>
      </c>
      <c r="H19" s="2">
        <f>+'Cash Flow'!H10</f>
        <v>197999</v>
      </c>
      <c r="I19" s="2">
        <f>+'Cash Flow'!I10</f>
        <v>334225</v>
      </c>
      <c r="J19" s="2">
        <f>+'Cash Flow'!J10</f>
        <v>466760</v>
      </c>
      <c r="K19" s="2">
        <f>+'Cash Flow'!K10</f>
        <v>749000</v>
      </c>
      <c r="L19" s="2">
        <f>+'Cash Flow'!L10</f>
        <v>898000</v>
      </c>
      <c r="M19" s="2">
        <f>+'Cash Flow'!M10</f>
        <v>1734000</v>
      </c>
    </row>
    <row r="20" spans="1:13" x14ac:dyDescent="0.25">
      <c r="A20" s="1" t="s">
        <v>188</v>
      </c>
      <c r="B20" s="2">
        <f>+'Cash Flow'!B11+'Cash Flow'!B12+'Cash Flow'!B14</f>
        <v>1353</v>
      </c>
      <c r="C20" s="2">
        <f>+'Cash Flow'!C11+'Cash Flow'!C12+'Cash Flow'!C14</f>
        <v>951</v>
      </c>
      <c r="D20" s="2">
        <f>+'Cash Flow'!D11+'Cash Flow'!D12+'Cash Flow'!D14</f>
        <v>1828</v>
      </c>
      <c r="E20" s="2">
        <f>+'Cash Flow'!E11+'Cash Flow'!E12+'Cash Flow'!E14</f>
        <v>4929</v>
      </c>
      <c r="F20" s="2">
        <f>+'Cash Flow'!F11+'Cash Flow'!F12+'Cash Flow'!F14</f>
        <v>23619</v>
      </c>
      <c r="G20" s="2">
        <f>+'Cash Flow'!G11+'Cash Flow'!G12+'Cash Flow'!G14</f>
        <v>85343</v>
      </c>
      <c r="H20" s="2">
        <f>+'Cash Flow'!H11+'Cash Flow'!H12+'Cash Flow'!H14</f>
        <v>117003</v>
      </c>
      <c r="I20" s="2">
        <f>+'Cash Flow'!I11+'Cash Flow'!I12+'Cash Flow'!I14</f>
        <v>194843</v>
      </c>
      <c r="J20" s="2">
        <f>+'Cash Flow'!J11+'Cash Flow'!J12+'Cash Flow'!J14</f>
        <v>328472</v>
      </c>
      <c r="K20" s="2">
        <f>+'Cash Flow'!K11+'Cash Flow'!K12+'Cash Flow'!K14</f>
        <v>406000</v>
      </c>
      <c r="L20" s="2">
        <f>+'Cash Flow'!L11+'Cash Flow'!L12+'Cash Flow'!L14</f>
        <v>527000</v>
      </c>
      <c r="M20" s="2">
        <f>+'Cash Flow'!M11+'Cash Flow'!M12+'Cash Flow'!M14</f>
        <v>499000</v>
      </c>
    </row>
    <row r="21" spans="1:13" x14ac:dyDescent="0.25">
      <c r="A21" s="1" t="s">
        <v>189</v>
      </c>
      <c r="B21" s="2">
        <f>+'Income Statement'!B31</f>
        <v>-2531</v>
      </c>
      <c r="C21" s="2">
        <f>+'Income Statement'!C31</f>
        <v>-992</v>
      </c>
      <c r="D21" s="2">
        <f>+'Income Statement'!D31</f>
        <v>-43</v>
      </c>
      <c r="E21" s="2">
        <f>+'Income Statement'!E31</f>
        <v>-254</v>
      </c>
      <c r="F21" s="2">
        <f>+'Income Statement'!F31</f>
        <v>-32934</v>
      </c>
      <c r="G21" s="2">
        <f>+'Income Statement'!G31</f>
        <v>-100886</v>
      </c>
      <c r="H21" s="2">
        <f>+'Income Statement'!H31</f>
        <v>-118851</v>
      </c>
      <c r="I21" s="2">
        <f>+'Income Statement'!I31</f>
        <v>-198810</v>
      </c>
      <c r="J21" s="2">
        <f>+'Income Statement'!J31</f>
        <v>-471259</v>
      </c>
      <c r="K21" s="2">
        <f>+'Income Statement'!K31</f>
        <v>-663000</v>
      </c>
      <c r="L21" s="2">
        <f>+'Income Statement'!L31</f>
        <v>-685000</v>
      </c>
      <c r="M21" s="2">
        <f>+'Income Statement'!M31</f>
        <v>-748000</v>
      </c>
    </row>
    <row r="22" spans="1:13" x14ac:dyDescent="0.25">
      <c r="A22" s="1" t="s">
        <v>190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4" spans="1:13" ht="15.75" x14ac:dyDescent="0.25">
      <c r="A24" s="8" t="s">
        <v>165</v>
      </c>
    </row>
    <row r="25" spans="1:13" x14ac:dyDescent="0.25">
      <c r="A25" s="1" t="s">
        <v>166</v>
      </c>
      <c r="B25" s="21"/>
      <c r="C25" s="21">
        <f>+('Balance Sheet'!B13-'Balance Sheet'!B11)/'Balance Sheet'!B37</f>
        <v>2.2287617600654475</v>
      </c>
      <c r="D25" s="21">
        <f>+('Balance Sheet'!C13-'Balance Sheet'!C11)/'Balance Sheet'!C37</f>
        <v>1.6868280904572512</v>
      </c>
      <c r="E25" s="21">
        <f>+('Balance Sheet'!D13-'Balance Sheet'!D11)/'Balance Sheet'!D37</f>
        <v>0.47534816771407584</v>
      </c>
      <c r="F25" s="21">
        <f>+('Balance Sheet'!E13-'Balance Sheet'!E11)/'Balance Sheet'!E37</f>
        <v>1.3709105989691333</v>
      </c>
      <c r="G25" s="21">
        <f>+('Balance Sheet'!F13-'Balance Sheet'!F11)/'Balance Sheet'!F37</f>
        <v>1.056584056500532</v>
      </c>
      <c r="H25" s="21">
        <f>+('Balance Sheet'!G13-'Balance Sheet'!G11)/'Balance Sheet'!G37</f>
        <v>0.53749386600877613</v>
      </c>
      <c r="I25" s="21">
        <f>+('Balance Sheet'!H13-'Balance Sheet'!H11)/'Balance Sheet'!H37</f>
        <v>0.71946771969476597</v>
      </c>
      <c r="J25" s="21">
        <f>+('Balance Sheet'!I13-'Balance Sheet'!I11)/'Balance Sheet'!I37</f>
        <v>0.56119455299055199</v>
      </c>
      <c r="K25" s="21">
        <f>+('Balance Sheet'!J13-'Balance Sheet'!J11)/'Balance Sheet'!J37</f>
        <v>0.519763834684279</v>
      </c>
      <c r="L25" s="21">
        <f>+('Balance Sheet'!K13-'Balance Sheet'!K11)/'Balance Sheet'!K37</f>
        <v>0.80163119902503044</v>
      </c>
      <c r="M25" s="21">
        <f>+('Balance Sheet'!L13-'Balance Sheet'!L11)/'Balance Sheet'!L37</f>
        <v>1.5873104997192589</v>
      </c>
    </row>
    <row r="26" spans="1:13" x14ac:dyDescent="0.25">
      <c r="A26" s="1" t="s">
        <v>167</v>
      </c>
      <c r="B26" s="21"/>
      <c r="C26" s="21">
        <f>+'Balance Sheet'!B13/'Balance Sheet'!B37</f>
        <v>2.7568047683047974</v>
      </c>
      <c r="D26" s="21">
        <f>+'Balance Sheet'!C13/'Balance Sheet'!C37</f>
        <v>1.948572951672163</v>
      </c>
      <c r="E26" s="21">
        <f>+'Balance Sheet'!D13/'Balance Sheet'!D37</f>
        <v>0.97340050602105699</v>
      </c>
      <c r="F26" s="21">
        <f>+'Balance Sheet'!E13/'Balance Sheet'!E37</f>
        <v>1.8750207358255822</v>
      </c>
      <c r="G26" s="21">
        <f>+'Balance Sheet'!F13/'Balance Sheet'!F37</f>
        <v>1.5091706111431182</v>
      </c>
      <c r="H26" s="21">
        <f>+'Balance Sheet'!G13/'Balance Sheet'!G37</f>
        <v>0.99122741608238407</v>
      </c>
      <c r="I26" s="21">
        <f>+'Balance Sheet'!H13/'Balance Sheet'!H37</f>
        <v>1.0742733187975642</v>
      </c>
      <c r="J26" s="21">
        <f>+'Balance Sheet'!I13/'Balance Sheet'!I37</f>
        <v>0.8561306219029613</v>
      </c>
      <c r="K26" s="21">
        <f>+'Balance Sheet'!J13/'Balance Sheet'!J37</f>
        <v>0.83128189732812974</v>
      </c>
      <c r="L26" s="21">
        <f>+'Balance Sheet'!K13/'Balance Sheet'!K37</f>
        <v>1.1346207931002157</v>
      </c>
      <c r="M26" s="21">
        <f>+'Balance Sheet'!L13/'Balance Sheet'!L37</f>
        <v>1.8751403705783267</v>
      </c>
    </row>
    <row r="27" spans="1:13" x14ac:dyDescent="0.25">
      <c r="A27" s="1" t="s">
        <v>168</v>
      </c>
      <c r="B27" s="21"/>
      <c r="C27" s="21">
        <f>+'Income Statement'!C12/'Balance Sheet'!B24</f>
        <v>0.30238135940033467</v>
      </c>
      <c r="D27" s="21">
        <f>+'Income Statement'!D12/'Balance Sheet'!C24</f>
        <v>0.28627454278377679</v>
      </c>
      <c r="E27" s="21">
        <f>+'Income Statement'!E12/'Balance Sheet'!D24</f>
        <v>0.37090262881555208</v>
      </c>
      <c r="F27" s="21">
        <f>+'Income Statement'!F12/'Balance Sheet'!E24</f>
        <v>0.83307998162958796</v>
      </c>
      <c r="G27" s="21">
        <f>+'Income Statement'!G12/'Balance Sheet'!F24</f>
        <v>0.54854032994852908</v>
      </c>
      <c r="H27" s="21">
        <f>+'Income Statement'!H12/'Balance Sheet'!G24</f>
        <v>0.49997466777716543</v>
      </c>
      <c r="I27" s="21">
        <f>+'Income Statement'!I12/'Balance Sheet'!H24</f>
        <v>0.30886465435431826</v>
      </c>
      <c r="J27" s="21">
        <f>+'Income Statement'!J12/'Balance Sheet'!I24</f>
        <v>0.4103506665347077</v>
      </c>
      <c r="K27" s="21">
        <f>+'Income Statement'!K12/'Balance Sheet'!J24</f>
        <v>0.72162071284465368</v>
      </c>
      <c r="L27" s="21">
        <f>+'Income Statement'!L12/'Balance Sheet'!K24</f>
        <v>0.71637179748753976</v>
      </c>
      <c r="M27" s="21">
        <f>+'Income Statement'!M12/'Balance Sheet'!L24</f>
        <v>0.60474035437600671</v>
      </c>
    </row>
    <row r="28" spans="1:13" x14ac:dyDescent="0.25">
      <c r="A28" s="1" t="s">
        <v>169</v>
      </c>
      <c r="B28" s="21"/>
      <c r="C28" s="21">
        <f>+'Income Statement'!C12/('Balance Sheet'!B24-'Balance Sheet'!B47)</f>
        <v>0.56384992851899074</v>
      </c>
      <c r="D28" s="21">
        <f>+'Income Statement'!D12/('Balance Sheet'!C24-'Balance Sheet'!C47)</f>
        <v>0.91161150661697432</v>
      </c>
      <c r="E28" s="21">
        <f>+'Income Statement'!E12/('Balance Sheet'!D24-'Balance Sheet'!D47)</f>
        <v>3.3140016038492384</v>
      </c>
      <c r="F28" s="21">
        <f>+'Income Statement'!F12/('Balance Sheet'!E24-'Balance Sheet'!E47)</f>
        <v>3.0181916296918097</v>
      </c>
      <c r="G28" s="21">
        <f>+'Income Statement'!G12/('Balance Sheet'!F24-'Balance Sheet'!F47)</f>
        <v>3.2975937874391952</v>
      </c>
      <c r="H28" s="21">
        <f>+'Income Statement'!H12/('Balance Sheet'!G24-'Balance Sheet'!G47)</f>
        <v>3.5774220615761956</v>
      </c>
      <c r="I28" s="21">
        <f>+'Income Statement'!I12/('Balance Sheet'!H24-'Balance Sheet'!H47)</f>
        <v>1.1836725928653957</v>
      </c>
      <c r="J28" s="21">
        <f>+'Income Statement'!J12/('Balance Sheet'!I24-'Balance Sheet'!I47)</f>
        <v>2.0877011046106166</v>
      </c>
      <c r="K28" s="21">
        <f>+'Income Statement'!K12/('Balance Sheet'!J24-'Balance Sheet'!J47)</f>
        <v>3.3994931094566767</v>
      </c>
      <c r="L28" s="21">
        <f>+'Income Statement'!L12/('Balance Sheet'!K24-'Balance Sheet'!K47)</f>
        <v>3.0305795314426636</v>
      </c>
      <c r="M28" s="21">
        <f>+'Income Statement'!M12/('Balance Sheet'!L24-'Balance Sheet'!L47)</f>
        <v>1.3289506953223766</v>
      </c>
    </row>
    <row r="30" spans="1:13" ht="15.75" x14ac:dyDescent="0.25">
      <c r="A30" s="8" t="s">
        <v>170</v>
      </c>
    </row>
    <row r="31" spans="1:13" x14ac:dyDescent="0.25">
      <c r="A31" s="1" t="s">
        <v>171</v>
      </c>
      <c r="B31" s="21"/>
      <c r="C31" s="21">
        <f>+'Income Statement'!C20/'Balance Sheet'!B11</f>
        <v>1.9037005887300251</v>
      </c>
      <c r="D31" s="21">
        <f>+'Income Statement'!D20/'Balance Sheet'!C11</f>
        <v>2.8482688391038695</v>
      </c>
      <c r="E31" s="21">
        <f>+'Income Statement'!E20/'Balance Sheet'!D11</f>
        <v>1.4271258528737003</v>
      </c>
      <c r="F31" s="21">
        <f>+'Income Statement'!F20/'Balance Sheet'!E11</f>
        <v>4.575322824697742</v>
      </c>
      <c r="G31" s="21">
        <f>+'Income Statement'!G20/'Balance Sheet'!F11</f>
        <v>2.4292185492961438</v>
      </c>
      <c r="H31" s="21">
        <f>+'Income Statement'!H20/'Balance Sheet'!G11</f>
        <v>2.4435977017431005</v>
      </c>
      <c r="I31" s="21">
        <f>+'Income Statement'!I20/'Balance Sheet'!H11</f>
        <v>2.6123313989089962</v>
      </c>
      <c r="J31" s="21">
        <f>+'Income Statement'!J20/'Balance Sheet'!I11</f>
        <v>4.2129923213095255</v>
      </c>
      <c r="K31" s="21">
        <f>+'Income Statement'!K20/'Balance Sheet'!J11</f>
        <v>5.5955669771924192</v>
      </c>
      <c r="L31" s="21">
        <f>+'Income Statement'!L20/'Balance Sheet'!K11</f>
        <v>5.7739301801801801</v>
      </c>
      <c r="M31" s="21">
        <f>+'Income Statement'!M20/'Balance Sheet'!L11</f>
        <v>6.0731528895391369</v>
      </c>
    </row>
    <row r="32" spans="1:13" x14ac:dyDescent="0.25">
      <c r="A32" s="1" t="s">
        <v>172</v>
      </c>
      <c r="B32" s="21"/>
      <c r="C32" s="21">
        <f>+'Balance Sheet'!B11/'Income Statement'!C20*365</f>
        <v>191.73183123481334</v>
      </c>
      <c r="D32" s="21">
        <f>+'Balance Sheet'!C11/'Income Statement'!D20*365</f>
        <v>128.1480157311405</v>
      </c>
      <c r="E32" s="21">
        <f>+'Balance Sheet'!D11/'Income Statement'!E20*365</f>
        <v>255.75880309716615</v>
      </c>
      <c r="F32" s="21">
        <f>+'Balance Sheet'!E11/'Income Statement'!F20*365</f>
        <v>79.775791563759853</v>
      </c>
      <c r="G32" s="21">
        <f>+'Balance Sheet'!F11/'Income Statement'!G20*365</f>
        <v>150.25408072310219</v>
      </c>
      <c r="H32" s="21">
        <f>+'Balance Sheet'!G11/'Income Statement'!H20*365</f>
        <v>149.36992277396283</v>
      </c>
      <c r="I32" s="21">
        <f>+'Balance Sheet'!H11/'Income Statement'!I20*365</f>
        <v>139.72193579744024</v>
      </c>
      <c r="J32" s="21">
        <f>+'Balance Sheet'!I11/'Income Statement'!J20*365</f>
        <v>86.636758902647827</v>
      </c>
      <c r="K32" s="21">
        <f>+'Balance Sheet'!J11/'Income Statement'!K20*365</f>
        <v>65.230208393133935</v>
      </c>
      <c r="L32" s="21">
        <f>+'Balance Sheet'!K11/'Income Statement'!L20*365</f>
        <v>63.215173826125117</v>
      </c>
      <c r="M32" s="21">
        <f>+'Balance Sheet'!L11/'Income Statement'!M20*365</f>
        <v>60.100578173933989</v>
      </c>
    </row>
    <row r="33" spans="1:13" x14ac:dyDescent="0.25">
      <c r="I33" s="22"/>
      <c r="J33" s="22"/>
      <c r="K33" s="22"/>
      <c r="L33" s="22"/>
      <c r="M33" s="22"/>
    </row>
    <row r="34" spans="1:13" x14ac:dyDescent="0.25">
      <c r="A34" s="1" t="s">
        <v>173</v>
      </c>
      <c r="B34" s="21"/>
      <c r="C34" s="21">
        <f>+'Balance Sheet'!B10/'Income Statement'!C12*365</f>
        <v>20.978808332762281</v>
      </c>
      <c r="D34" s="21">
        <f>+'Balance Sheet'!C10/'Income Statement'!D12*365</f>
        <v>17.047105884196199</v>
      </c>
      <c r="E34" s="21">
        <f>+'Balance Sheet'!D10/'Income Statement'!E12*365</f>
        <v>23.707653367404223</v>
      </c>
      <c r="F34" s="21">
        <f>+'Balance Sheet'!E10/'Income Statement'!F12*365</f>
        <v>8.9023196470218959</v>
      </c>
      <c r="G34" s="21">
        <f>+'Balance Sheet'!F10/'Income Statement'!G12*365</f>
        <v>25.860304481427335</v>
      </c>
      <c r="H34" s="21">
        <f>+'Balance Sheet'!G10/'Income Statement'!H12*365</f>
        <v>15.242670275146594</v>
      </c>
      <c r="I34" s="21">
        <f>+'Balance Sheet'!H10/'Income Statement'!I12*365</f>
        <v>26.026199220243274</v>
      </c>
      <c r="J34" s="21">
        <f>+'Balance Sheet'!I10/'Income Statement'!J12*365</f>
        <v>15.997793047918099</v>
      </c>
      <c r="K34" s="21">
        <f>+'Balance Sheet'!J10/'Income Statement'!K12*365</f>
        <v>16.140207818834163</v>
      </c>
      <c r="L34" s="21">
        <f>+'Balance Sheet'!K10/'Income Statement'!L12*365</f>
        <v>19.662299617544146</v>
      </c>
      <c r="M34" s="21">
        <f>+'Balance Sheet'!L10/'Income Statement'!M12*365</f>
        <v>21.828703703703702</v>
      </c>
    </row>
    <row r="35" spans="1:13" x14ac:dyDescent="0.25">
      <c r="A35" s="1" t="s">
        <v>174</v>
      </c>
      <c r="B35" s="21"/>
      <c r="C35" s="21">
        <f>+'Balance Sheet'!B28/'Income Statement'!C20*365</f>
        <v>122.85485914919838</v>
      </c>
      <c r="D35" s="21">
        <f>+'Balance Sheet'!C28/'Income Statement'!D20*365</f>
        <v>143.65156645425421</v>
      </c>
      <c r="E35" s="21">
        <f>+'Balance Sheet'!D28/'Income Statement'!E20*365</f>
        <v>288.98123380368435</v>
      </c>
      <c r="F35" s="21">
        <f>+'Balance Sheet'!E28/'Income Statement'!F20*365</f>
        <v>0</v>
      </c>
      <c r="G35" s="21">
        <f>+'Balance Sheet'!F28/'Income Statement'!G20*365</f>
        <v>122.56750054495973</v>
      </c>
      <c r="H35" s="21">
        <f>+'Balance Sheet'!G28/'Income Statement'!H20*365</f>
        <v>107.09100528354965</v>
      </c>
      <c r="I35" s="21">
        <f>+'Balance Sheet'!H28/'Income Statement'!I20*365</f>
        <v>125.72489920614716</v>
      </c>
      <c r="J35" s="21">
        <f>+'Balance Sheet'!I28/'Income Statement'!J20*365</f>
        <v>91.486692272781028</v>
      </c>
      <c r="K35" s="21">
        <f>+'Balance Sheet'!J28/'Income Statement'!K20*365</f>
        <v>71.348814512888225</v>
      </c>
      <c r="L35" s="21">
        <f>+'Balance Sheet'!K28/'Income Statement'!L20*365</f>
        <v>67.112730996148031</v>
      </c>
      <c r="M35" s="21">
        <f>+'Balance Sheet'!L28/'Income Statement'!M20*365</f>
        <v>88.678029390508314</v>
      </c>
    </row>
    <row r="36" spans="1:13" x14ac:dyDescent="0.25">
      <c r="A36" s="1" t="s">
        <v>175</v>
      </c>
      <c r="B36" s="21"/>
      <c r="C36" s="21">
        <f t="shared" ref="C36:H36" si="0">+C32+C34-C35</f>
        <v>89.855780418377236</v>
      </c>
      <c r="D36" s="21">
        <f t="shared" si="0"/>
        <v>1.5435551610824803</v>
      </c>
      <c r="E36" s="21">
        <f t="shared" si="0"/>
        <v>-9.5147773391139481</v>
      </c>
      <c r="F36" s="21">
        <f t="shared" si="0"/>
        <v>88.678111210781751</v>
      </c>
      <c r="G36" s="21">
        <f t="shared" si="0"/>
        <v>53.546884659569798</v>
      </c>
      <c r="H36" s="21">
        <f t="shared" si="0"/>
        <v>57.521587765559772</v>
      </c>
      <c r="I36" s="21">
        <f>+I32+I34-I35</f>
        <v>40.023235811536367</v>
      </c>
      <c r="J36" s="21">
        <f t="shared" ref="J36:M36" si="1">+J32+J34-J35</f>
        <v>11.147859677784894</v>
      </c>
      <c r="K36" s="21">
        <f t="shared" si="1"/>
        <v>10.021601699079866</v>
      </c>
      <c r="L36" s="21">
        <f t="shared" si="1"/>
        <v>15.764742447521229</v>
      </c>
      <c r="M36" s="21">
        <f t="shared" si="1"/>
        <v>-6.7487475128706222</v>
      </c>
    </row>
    <row r="37" spans="1:13" x14ac:dyDescent="0.25">
      <c r="A37" s="1" t="s">
        <v>176</v>
      </c>
      <c r="B37" s="21"/>
      <c r="C37" s="21">
        <f>+'Income Statement'!C12/'Balance Sheet'!B16</f>
        <v>1.0183886388220105</v>
      </c>
      <c r="D37" s="21">
        <f>+'Income Statement'!D12/'Balance Sheet'!C16</f>
        <v>0.68442499346545405</v>
      </c>
      <c r="E37" s="21">
        <f>+'Income Statement'!E12/'Balance Sheet'!D16</f>
        <v>0.74834172055433523</v>
      </c>
      <c r="F37" s="21">
        <f>+'Income Statement'!F12/'Balance Sheet'!E16</f>
        <v>2.7264893147405393</v>
      </c>
      <c r="G37" s="21">
        <f>+'Income Statement'!G12/'Balance Sheet'!F16</f>
        <v>1.7484358488946665</v>
      </c>
      <c r="H37" s="21">
        <f>+'Income Statement'!H12/'Balance Sheet'!G16</f>
        <v>1.1888415888655066</v>
      </c>
      <c r="I37" s="21">
        <f>+'Income Statement'!I12/'Balance Sheet'!H16</f>
        <v>1.170012085996941</v>
      </c>
      <c r="J37" s="21">
        <f>+'Income Statement'!J12/'Balance Sheet'!I16</f>
        <v>1.1726477388930185</v>
      </c>
      <c r="K37" s="21">
        <f>+'Income Statement'!K12/'Balance Sheet'!J16</f>
        <v>1.8941747572815535</v>
      </c>
      <c r="L37" s="21">
        <f>+'Income Statement'!L12/'Balance Sheet'!K16</f>
        <v>2.3641785302039247</v>
      </c>
      <c r="M37" s="21">
        <f>+'Income Statement'!M12/'Balance Sheet'!L16</f>
        <v>2.4739938809131559</v>
      </c>
    </row>
    <row r="38" spans="1:13" x14ac:dyDescent="0.25">
      <c r="A38" s="1" t="s">
        <v>191</v>
      </c>
      <c r="B38" s="21"/>
      <c r="C38" s="21">
        <f>+'Income Statement'!C12/('Balance Sheet'!B10+'Balance Sheet'!B11-'Balance Sheet'!B28)</f>
        <v>5.0888801708731091</v>
      </c>
      <c r="D38" s="21">
        <f>+'Income Statement'!D12/('Balance Sheet'!C10+'Balance Sheet'!C11-'Balance Sheet'!C28)</f>
        <v>58.69022988505747</v>
      </c>
      <c r="E38" s="21">
        <f>+'Income Statement'!E12/('Balance Sheet'!D10+'Balance Sheet'!D11-'Balance Sheet'!D28)</f>
        <v>-51.42558486809358</v>
      </c>
      <c r="F38" s="21">
        <f>+'Income Statement'!F12/('Balance Sheet'!E10+'Balance Sheet'!E11-'Balance Sheet'!E28)</f>
        <v>5.1699155762791937</v>
      </c>
      <c r="G38" s="21">
        <f>+'Income Statement'!G12/('Balance Sheet'!F10+'Balance Sheet'!F11-'Balance Sheet'!F28)</f>
        <v>7.9495243989431641</v>
      </c>
      <c r="H38" s="21">
        <f>+'Income Statement'!H12/('Balance Sheet'!G10+'Balance Sheet'!G11-'Balance Sheet'!G28)</f>
        <v>7.6245865958108379</v>
      </c>
      <c r="I38" s="21">
        <f>+'Income Statement'!I12/('Balance Sheet'!H10+'Balance Sheet'!H11-'Balance Sheet'!H28)</f>
        <v>9.9116211566643777</v>
      </c>
      <c r="J38" s="21">
        <f>+'Income Statement'!J12/('Balance Sheet'!I10+'Balance Sheet'!I11-'Balance Sheet'!I28)</f>
        <v>30.253972542118209</v>
      </c>
      <c r="K38" s="21">
        <f>+'Income Statement'!K12/('Balance Sheet'!J10+'Balance Sheet'!J11-'Balance Sheet'!J28)</f>
        <v>32.665144596651444</v>
      </c>
      <c r="L38" s="21">
        <f>+'Income Statement'!L12/('Balance Sheet'!K10+'Balance Sheet'!K11-'Balance Sheet'!K28)</f>
        <v>22.242533936651583</v>
      </c>
      <c r="M38" s="21">
        <f>+'Income Statement'!M12/('Balance Sheet'!L10+'Balance Sheet'!L11-'Balance Sheet'!L28)</f>
        <v>-492.75</v>
      </c>
    </row>
    <row r="39" spans="1:13" x14ac:dyDescent="0.25">
      <c r="A39" s="1" t="s">
        <v>192</v>
      </c>
      <c r="B39" s="21"/>
      <c r="C39" s="21">
        <f>+'Income Statement'!C12/'Balance Sheet'!B8</f>
        <v>1.1726229936318529</v>
      </c>
      <c r="D39" s="21">
        <f>+'Income Statement'!D12/'Balance Sheet'!C8</f>
        <v>0.80011439047895139</v>
      </c>
      <c r="E39" s="21">
        <f>+'Income Statement'!E12/'Balance Sheet'!D8</f>
        <v>2.0469364505423746</v>
      </c>
      <c r="F39" s="21">
        <f>+'Income Statement'!F12/'Balance Sheet'!E8</f>
        <v>2.3803312254917608</v>
      </c>
      <c r="G39" s="21">
        <f>+'Income Statement'!G12/'Balance Sheet'!F8</f>
        <v>1.6782988834100412</v>
      </c>
      <c r="H39" s="21">
        <f>+'Income Statement'!H12/'Balance Sheet'!G8</f>
        <v>3.3803976579653572</v>
      </c>
      <c r="I39" s="21">
        <f>+'Income Statement'!I12/'Balance Sheet'!H8</f>
        <v>2.0629786020105998</v>
      </c>
      <c r="J39" s="21">
        <f>+'Income Statement'!J12/'Balance Sheet'!I8</f>
        <v>3.4914047686490806</v>
      </c>
      <c r="K39" s="21">
        <f>+'Income Statement'!K12/'Balance Sheet'!J8</f>
        <v>5.8223005968529575</v>
      </c>
      <c r="L39" s="21">
        <f>+'Income Statement'!L12/'Balance Sheet'!K8</f>
        <v>3.9211869814932991</v>
      </c>
      <c r="M39" s="21">
        <f>+'Income Statement'!M12/'Balance Sheet'!L8</f>
        <v>1.6269087907552622</v>
      </c>
    </row>
    <row r="41" spans="1:13" ht="15.75" x14ac:dyDescent="0.25">
      <c r="A41" s="8" t="s">
        <v>183</v>
      </c>
    </row>
    <row r="42" spans="1:13" x14ac:dyDescent="0.25">
      <c r="A42" s="1" t="s">
        <v>177</v>
      </c>
      <c r="B42" s="20"/>
      <c r="C42" s="20">
        <f>+('Balance Sheet'!B35+'Balance Sheet'!B40)/'Balance Sheet'!B61</f>
        <v>0.34691472508790233</v>
      </c>
      <c r="D42" s="20">
        <f>+('Balance Sheet'!C35+'Balance Sheet'!C40)/'Balance Sheet'!C61</f>
        <v>1.2330156888125154</v>
      </c>
      <c r="E42" s="20">
        <f>+('Balance Sheet'!D35+'Balance Sheet'!D40)/'Balance Sheet'!D61</f>
        <v>3.627393744987971</v>
      </c>
      <c r="F42" s="20">
        <f>+('Balance Sheet'!E35+'Balance Sheet'!E40)/'Balance Sheet'!E61</f>
        <v>0.35448045329176159</v>
      </c>
      <c r="G42" s="20">
        <f>+('Balance Sheet'!F35+'Balance Sheet'!F40)/'Balance Sheet'!F61</f>
        <v>2.6651939761546983</v>
      </c>
      <c r="H42" s="20">
        <f>+('Balance Sheet'!G35+'Balance Sheet'!G40)/'Balance Sheet'!G61</f>
        <v>2.4551684935129812</v>
      </c>
      <c r="I42" s="20">
        <f>+('Balance Sheet'!H35+'Balance Sheet'!H40)/'Balance Sheet'!H61</f>
        <v>1.4400143406851085</v>
      </c>
      <c r="J42" s="20">
        <f>+('Balance Sheet'!I35+'Balance Sheet'!I40)/'Balance Sheet'!I61</f>
        <v>2.4101170053539542</v>
      </c>
      <c r="K42" s="20">
        <f>+('Balance Sheet'!J35+'Balance Sheet'!J40)/'Balance Sheet'!J61</f>
        <v>2.4318504976640258</v>
      </c>
      <c r="L42" s="20">
        <f>+('Balance Sheet'!K35+'Balance Sheet'!K40)/'Balance Sheet'!K61</f>
        <v>2.0273455204713704</v>
      </c>
      <c r="M42" s="20">
        <f>+('Balance Sheet'!L35+'Balance Sheet'!L40)/'Balance Sheet'!L61</f>
        <v>0.52589426321709787</v>
      </c>
    </row>
    <row r="43" spans="1:13" x14ac:dyDescent="0.25">
      <c r="A43" s="1" t="s">
        <v>178</v>
      </c>
      <c r="B43" s="20"/>
      <c r="C43" s="20">
        <f>+('Balance Sheet'!B35+'Balance Sheet'!B40)/('Balance Sheet'!B40+'Balance Sheet'!B35+'Balance Sheet'!B61)</f>
        <v>0.25756250089645577</v>
      </c>
      <c r="D43" s="20">
        <f>+('Balance Sheet'!C35+'Balance Sheet'!C40)/('Balance Sheet'!C40+'Balance Sheet'!C35+'Balance Sheet'!C61)</f>
        <v>0.55217511233349859</v>
      </c>
      <c r="E43" s="20">
        <f>+('Balance Sheet'!D35+'Balance Sheet'!D40)/('Balance Sheet'!D40+'Balance Sheet'!D35+'Balance Sheet'!D61)</f>
        <v>0.78389563216159819</v>
      </c>
      <c r="F43" s="20">
        <f>+('Balance Sheet'!E35+'Balance Sheet'!E40)/('Balance Sheet'!E40+'Balance Sheet'!E35+'Balance Sheet'!E61)</f>
        <v>0.26170953772738187</v>
      </c>
      <c r="G43" s="20">
        <f>+('Balance Sheet'!F35+'Balance Sheet'!F40)/('Balance Sheet'!F40+'Balance Sheet'!F35+'Balance Sheet'!F61)</f>
        <v>0.72716314429580609</v>
      </c>
      <c r="H43" s="20">
        <f>+('Balance Sheet'!G35+'Balance Sheet'!G40)/('Balance Sheet'!G40+'Balance Sheet'!G35+'Balance Sheet'!G61)</f>
        <v>0.71057851393427485</v>
      </c>
      <c r="I43" s="20">
        <f>+('Balance Sheet'!H35+'Balance Sheet'!H40)/('Balance Sheet'!H40+'Balance Sheet'!H35+'Balance Sheet'!H61)</f>
        <v>0.59016634315386052</v>
      </c>
      <c r="J43" s="20">
        <f>+('Balance Sheet'!I35+'Balance Sheet'!I40)/('Balance Sheet'!I40+'Balance Sheet'!I35+'Balance Sheet'!I61)</f>
        <v>0.70675492998334677</v>
      </c>
      <c r="K43" s="20">
        <f>+('Balance Sheet'!J35+'Balance Sheet'!J40)/('Balance Sheet'!J40+'Balance Sheet'!J35+'Balance Sheet'!J61)</f>
        <v>0.7086120153891684</v>
      </c>
      <c r="L43" s="20">
        <f>+('Balance Sheet'!K35+'Balance Sheet'!K40)/('Balance Sheet'!K40+'Balance Sheet'!K35+'Balance Sheet'!K61)</f>
        <v>0.6696776125361813</v>
      </c>
      <c r="M43" s="20">
        <f>+('Balance Sheet'!L35+'Balance Sheet'!L40)/('Balance Sheet'!L40+'Balance Sheet'!L35+'Balance Sheet'!L61)</f>
        <v>0.34464659570076372</v>
      </c>
    </row>
    <row r="44" spans="1:13" x14ac:dyDescent="0.25">
      <c r="A44" s="1" t="s">
        <v>179</v>
      </c>
      <c r="B44" s="20"/>
      <c r="C44" s="20">
        <f>+('Balance Sheet'!B35+'Balance Sheet'!B40)/('Balance Sheet'!B61-'Balance Sheet'!B19-'Balance Sheet'!B20)</f>
        <v>0.34691472508790233</v>
      </c>
      <c r="D44" s="20">
        <f>+('Balance Sheet'!C35+'Balance Sheet'!C40)/('Balance Sheet'!C61-'Balance Sheet'!C19-'Balance Sheet'!C20)</f>
        <v>1.2330156888125154</v>
      </c>
      <c r="E44" s="20">
        <f>+('Balance Sheet'!D35+'Balance Sheet'!D40)/('Balance Sheet'!D61-'Balance Sheet'!D19-'Balance Sheet'!D20)</f>
        <v>3.627393744987971</v>
      </c>
      <c r="F44" s="20">
        <f>+('Balance Sheet'!E35+'Balance Sheet'!E40)/('Balance Sheet'!E61-'Balance Sheet'!E19-'Balance Sheet'!E20)</f>
        <v>0.35448045329176159</v>
      </c>
      <c r="G44" s="20">
        <f>+('Balance Sheet'!F35+'Balance Sheet'!F40)/('Balance Sheet'!F61-'Balance Sheet'!F19-'Balance Sheet'!F20)</f>
        <v>2.6651939761546983</v>
      </c>
      <c r="H44" s="20">
        <f>+('Balance Sheet'!G35+'Balance Sheet'!G40)/('Balance Sheet'!G61-'Balance Sheet'!G19-'Balance Sheet'!G20)</f>
        <v>2.4551684935129812</v>
      </c>
      <c r="I44" s="20">
        <f>+('Balance Sheet'!H35+'Balance Sheet'!H40)/('Balance Sheet'!H61-'Balance Sheet'!H19-'Balance Sheet'!H20)</f>
        <v>1.5637710583567868</v>
      </c>
      <c r="J44" s="20">
        <f>+('Balance Sheet'!I35+'Balance Sheet'!I40)/('Balance Sheet'!I61-'Balance Sheet'!I19-'Balance Sheet'!I20)</f>
        <v>2.6765144726658581</v>
      </c>
      <c r="K44" s="20">
        <f>+('Balance Sheet'!J35+'Balance Sheet'!J40)/('Balance Sheet'!J61-'Balance Sheet'!J19-'Balance Sheet'!J20)</f>
        <v>2.6179750710693197</v>
      </c>
      <c r="L44" s="20">
        <f>+('Balance Sheet'!K35+'Balance Sheet'!K40)/('Balance Sheet'!K61-'Balance Sheet'!K19-'Balance Sheet'!K20)</f>
        <v>2.2063465965143045</v>
      </c>
      <c r="M44" s="20">
        <f>+('Balance Sheet'!L35+'Balance Sheet'!L40)/('Balance Sheet'!L61-'Balance Sheet'!L19-'Balance Sheet'!L20)</f>
        <v>0.53849343469246713</v>
      </c>
    </row>
    <row r="45" spans="1:13" x14ac:dyDescent="0.25">
      <c r="A45" s="1" t="s">
        <v>180</v>
      </c>
      <c r="B45" s="20"/>
      <c r="C45" s="20">
        <f>+'Balance Sheet'!B47/'Balance Sheet'!B61</f>
        <v>0.86469804103396319</v>
      </c>
      <c r="D45" s="20">
        <f>+'Balance Sheet'!C47/'Balance Sheet'!C61</f>
        <v>2.1843959918766318</v>
      </c>
      <c r="E45" s="20">
        <f>+'Balance Sheet'!D47/'Balance Sheet'!D61</f>
        <v>7.9349639133921412</v>
      </c>
      <c r="F45" s="20">
        <f>+'Balance Sheet'!E47/'Balance Sheet'!E61</f>
        <v>2.6229314066434823</v>
      </c>
      <c r="G45" s="20">
        <f>+'Balance Sheet'!F47/'Balance Sheet'!F61</f>
        <v>5.3314771144333175</v>
      </c>
      <c r="H45" s="20">
        <f>+'Balance Sheet'!G47/'Balance Sheet'!G61</f>
        <v>6.3928640958580054</v>
      </c>
      <c r="I45" s="20">
        <f>+'Balance Sheet'!H47/'Balance Sheet'!H61</f>
        <v>3.5241911746296113</v>
      </c>
      <c r="J45" s="20">
        <f>+'Balance Sheet'!I47/'Balance Sheet'!I61</f>
        <v>5.433482439756804</v>
      </c>
      <c r="K45" s="20">
        <f>+'Balance Sheet'!J47/'Balance Sheet'!J61</f>
        <v>4.7586837294332724</v>
      </c>
      <c r="L45" s="20">
        <f>+'Balance Sheet'!K47/'Balance Sheet'!K61</f>
        <v>3.9581507780631515</v>
      </c>
      <c r="M45" s="20">
        <f>+'Balance Sheet'!L47/'Balance Sheet'!L61</f>
        <v>1.2786501687289089</v>
      </c>
    </row>
    <row r="46" spans="1:13" x14ac:dyDescent="0.25">
      <c r="A46" s="1" t="s">
        <v>181</v>
      </c>
      <c r="B46" s="20"/>
      <c r="C46" s="20">
        <f>+'Balance Sheet'!B24/'Balance Sheet'!B61</f>
        <v>1.8646980410339631</v>
      </c>
      <c r="D46" s="20">
        <f>+'Balance Sheet'!C24/'Balance Sheet'!C61</f>
        <v>3.1843959918766318</v>
      </c>
      <c r="E46" s="20">
        <f>+'Balance Sheet'!D24/'Balance Sheet'!D61</f>
        <v>8.9349639133921404</v>
      </c>
      <c r="F46" s="20">
        <f>+'Balance Sheet'!E24/'Balance Sheet'!E61</f>
        <v>3.6229314066434823</v>
      </c>
      <c r="G46" s="20">
        <f>+'Balance Sheet'!F24/'Balance Sheet'!F61</f>
        <v>6.3953088153031121</v>
      </c>
      <c r="H46" s="20">
        <f>+'Balance Sheet'!G24/'Balance Sheet'!G61</f>
        <v>7.4314748967807347</v>
      </c>
      <c r="I46" s="20">
        <f>+'Balance Sheet'!H24/'Balance Sheet'!H61</f>
        <v>4.7684621066962967</v>
      </c>
      <c r="J46" s="20">
        <f>+'Balance Sheet'!I24/'Balance Sheet'!I61</f>
        <v>6.7627414247286328</v>
      </c>
      <c r="K46" s="20">
        <f>+'Balance Sheet'!J24/'Balance Sheet'!J61</f>
        <v>6.041031891123299</v>
      </c>
      <c r="L46" s="20">
        <f>+'Balance Sheet'!K24/'Balance Sheet'!K61</f>
        <v>5.1834113914488595</v>
      </c>
      <c r="M46" s="20">
        <f>+'Balance Sheet'!L24/'Balance Sheet'!L61</f>
        <v>2.3463667041619796</v>
      </c>
    </row>
    <row r="47" spans="1:13" x14ac:dyDescent="0.25">
      <c r="A47" s="1" t="s">
        <v>182</v>
      </c>
      <c r="B47" s="20"/>
      <c r="C47" s="20">
        <f>+('Balance Sheet'!B35+'Balance Sheet'!B40)/'Income Statement'!C28</f>
        <v>-0.48916493005897654</v>
      </c>
      <c r="D47" s="20">
        <f>+('Balance Sheet'!C35+'Balance Sheet'!C40)/'Income Statement'!D28</f>
        <v>-1.0984659307799975</v>
      </c>
      <c r="E47" s="20">
        <f>+('Balance Sheet'!D35+'Balance Sheet'!D40)/'Income Statement'!E28</f>
        <v>-1.1472368831524564</v>
      </c>
      <c r="F47" s="20">
        <f>+('Balance Sheet'!E35+'Balance Sheet'!E40)/'Income Statement'!F28</f>
        <v>-3.8588352397891748</v>
      </c>
      <c r="G47" s="20">
        <f>+('Balance Sheet'!F35+'Balance Sheet'!F40)/'Income Statement'!G28</f>
        <v>-13.015678481324557</v>
      </c>
      <c r="H47" s="20">
        <f>+('Balance Sheet'!G35+'Balance Sheet'!G40)/'Income Statement'!H28</f>
        <v>-3.7307184051999012</v>
      </c>
      <c r="I47" s="20">
        <f>+('Balance Sheet'!H35+'Balance Sheet'!H40)/'Income Statement'!I28</f>
        <v>-10.256031408277639</v>
      </c>
      <c r="J47" s="20">
        <f>+('Balance Sheet'!I35+'Balance Sheet'!I40)/'Income Statement'!J28</f>
        <v>-6.2571757860799</v>
      </c>
      <c r="K47" s="20">
        <f>+('Balance Sheet'!J35+'Balance Sheet'!J40)/'Income Statement'!K28</f>
        <v>-30.855670103092784</v>
      </c>
      <c r="L47" s="20">
        <f>+('Balance Sheet'!K35+'Balance Sheet'!K40)/'Income Statement'!L28</f>
        <v>-194.47826086956522</v>
      </c>
      <c r="M47" s="20">
        <f>+('Balance Sheet'!L35+'Balance Sheet'!L40)/'Income Statement'!M28</f>
        <v>5.8615847542627888</v>
      </c>
    </row>
    <row r="48" spans="1:13" x14ac:dyDescent="0.25">
      <c r="A48" s="1" t="s">
        <v>193</v>
      </c>
      <c r="B48" s="20"/>
      <c r="C48" s="20">
        <f>+'Income Statement'!C33/'Income Statement'!C28</f>
        <v>1.0498304253667308</v>
      </c>
      <c r="D48" s="20">
        <f>+'Income Statement'!D33/'Income Statement'!D28</f>
        <v>1.009678394197735</v>
      </c>
      <c r="E48" s="20">
        <f>+'Income Statement'!E33/'Income Statement'!E28</f>
        <v>1.0045500313226794</v>
      </c>
      <c r="F48" s="20">
        <f>+'Income Statement'!F33/'Income Statement'!F28</f>
        <v>1.1655108268198358</v>
      </c>
      <c r="G48" s="20">
        <f>+'Income Statement'!G33/'Income Statement'!G28</f>
        <v>1.5246533004087011</v>
      </c>
      <c r="H48" s="20">
        <f>+'Income Statement'!H33/'Income Statement'!H28</f>
        <v>1.2218651491915622</v>
      </c>
      <c r="I48" s="20">
        <f>+'Income Statement'!I33/'Income Statement'!I28</f>
        <v>1.1183924236521114</v>
      </c>
      <c r="J48" s="20">
        <f>+'Income Statement'!J33/'Income Statement'!J28</f>
        <v>1.3535022051534049</v>
      </c>
      <c r="K48" s="20">
        <f>+'Income Statement'!K33/'Income Statement'!K28</f>
        <v>2.5902061855670104</v>
      </c>
      <c r="L48" s="20">
        <f>+'Income Statement'!L33/'Income Statement'!L28</f>
        <v>9.6376811594202891</v>
      </c>
      <c r="M48" s="20">
        <f>+'Income Statement'!M33/'Income Statement'!M28</f>
        <v>0.5787362086258776</v>
      </c>
    </row>
    <row r="49" spans="1:13" x14ac:dyDescent="0.25">
      <c r="A49" s="1" t="s">
        <v>194</v>
      </c>
      <c r="B49" s="21"/>
      <c r="C49" s="21">
        <f>+('Balance Sheet'!B13-'Balance Sheet'!B11)/'Balance Sheet'!B37</f>
        <v>2.2287617600654475</v>
      </c>
      <c r="D49" s="21">
        <f>+('Balance Sheet'!C13-'Balance Sheet'!C11)/'Balance Sheet'!C37</f>
        <v>1.6868280904572512</v>
      </c>
      <c r="E49" s="21">
        <f>+('Balance Sheet'!D13-'Balance Sheet'!D11)/'Balance Sheet'!D37</f>
        <v>0.47534816771407584</v>
      </c>
      <c r="F49" s="21">
        <f>+('Balance Sheet'!E13-'Balance Sheet'!E11)/'Balance Sheet'!E37</f>
        <v>1.3709105989691333</v>
      </c>
      <c r="G49" s="21">
        <f>+('Balance Sheet'!F13-'Balance Sheet'!F11)/'Balance Sheet'!F37</f>
        <v>1.056584056500532</v>
      </c>
      <c r="H49" s="21">
        <f>+('Balance Sheet'!G13-'Balance Sheet'!G11)/'Balance Sheet'!G37</f>
        <v>0.53749386600877613</v>
      </c>
      <c r="I49" s="21">
        <f>+('Balance Sheet'!H13-'Balance Sheet'!H11)/'Balance Sheet'!H37</f>
        <v>0.71946771969476597</v>
      </c>
      <c r="J49" s="21">
        <f>+('Balance Sheet'!I13-'Balance Sheet'!I11)/'Balance Sheet'!I37</f>
        <v>0.56119455299055199</v>
      </c>
      <c r="K49" s="21">
        <f>+('Balance Sheet'!J13-'Balance Sheet'!J11)/'Balance Sheet'!J37</f>
        <v>0.519763834684279</v>
      </c>
      <c r="L49" s="21">
        <f>+('Balance Sheet'!K13-'Balance Sheet'!K11)/'Balance Sheet'!K37</f>
        <v>0.80163119902503044</v>
      </c>
      <c r="M49" s="21">
        <f>+('Balance Sheet'!L13-'Balance Sheet'!L11)/'Balance Sheet'!L37</f>
        <v>1.5873104997192589</v>
      </c>
    </row>
    <row r="51" spans="1:13" ht="15.75" x14ac:dyDescent="0.25">
      <c r="A51" s="8" t="s">
        <v>195</v>
      </c>
    </row>
    <row r="52" spans="1:13" x14ac:dyDescent="0.25">
      <c r="A52" s="1" t="s">
        <v>196</v>
      </c>
      <c r="B52" s="20"/>
      <c r="C52" s="20">
        <f>+'Income Statement'!C35/'Balance Sheet'!B61</f>
        <v>-0.74537305359143768</v>
      </c>
      <c r="D52" s="20">
        <f>+'Income Statement'!D35/'Balance Sheet'!C61</f>
        <v>-1.135535271931978</v>
      </c>
      <c r="E52" s="20">
        <f>+'Income Statement'!E35/'Balance Sheet'!D61</f>
        <v>-3.1773295910184443</v>
      </c>
      <c r="F52" s="20">
        <f>+'Income Statement'!F35/'Balance Sheet'!E61</f>
        <v>-0.11094555702122556</v>
      </c>
      <c r="G52" s="20">
        <f>+'Income Statement'!G35/'Balance Sheet'!F61</f>
        <v>-0.32251483476105341</v>
      </c>
      <c r="H52" s="20">
        <f>+'Income Statement'!H35/'Balance Sheet'!G61</f>
        <v>-0.81607777810429183</v>
      </c>
      <c r="I52" s="20">
        <f>+'Income Statement'!I35/'Balance Sheet'!H61</f>
        <v>-0.16264684947814087</v>
      </c>
      <c r="J52" s="20">
        <f>+'Income Statement'!J35/'Balance Sheet'!I61</f>
        <v>-0.52878216538021661</v>
      </c>
      <c r="K52" s="20">
        <f>+'Income Statement'!K35/'Balance Sheet'!J61</f>
        <v>-0.215925248832013</v>
      </c>
      <c r="L52" s="20">
        <f>+'Income Statement'!L35/'Balance Sheet'!K61</f>
        <v>-0.11708717328901647</v>
      </c>
      <c r="M52" s="20">
        <f>+'Income Statement'!M35/'Balance Sheet'!L61</f>
        <v>3.8785151856017996E-2</v>
      </c>
    </row>
    <row r="53" spans="1:13" x14ac:dyDescent="0.25">
      <c r="A53" s="1" t="s">
        <v>197</v>
      </c>
      <c r="B53" s="20"/>
      <c r="C53" s="20">
        <f>+'Income Statement'!C35/'Balance Sheet'!B24</f>
        <v>-0.39972855507379262</v>
      </c>
      <c r="D53" s="20">
        <f>+'Income Statement'!D35/'Balance Sheet'!C24</f>
        <v>-0.35659361298931386</v>
      </c>
      <c r="E53" s="20">
        <f>+'Income Statement'!E35/'Balance Sheet'!D24</f>
        <v>-0.3556063149014082</v>
      </c>
      <c r="F53" s="20">
        <f>+'Income Statement'!F35/'Balance Sheet'!E24</f>
        <v>-3.0623145891689043E-2</v>
      </c>
      <c r="G53" s="20">
        <f>+'Income Statement'!G35/'Balance Sheet'!F24</f>
        <v>-5.0429907933346216E-2</v>
      </c>
      <c r="H53" s="20">
        <f>+'Income Statement'!H35/'Balance Sheet'!G24</f>
        <v>-0.10981370312611986</v>
      </c>
      <c r="I53" s="20">
        <f>+'Income Statement'!I35/'Balance Sheet'!H24</f>
        <v>-3.4108869031325172E-2</v>
      </c>
      <c r="J53" s="20">
        <f>+'Income Statement'!J35/'Balance Sheet'!I24</f>
        <v>-7.8190504733283525E-2</v>
      </c>
      <c r="K53" s="20">
        <f>+'Income Statement'!K35/'Balance Sheet'!J24</f>
        <v>-3.5743106926698048E-2</v>
      </c>
      <c r="L53" s="20">
        <f>+'Income Statement'!L35/'Balance Sheet'!K24</f>
        <v>-2.2588825089626629E-2</v>
      </c>
      <c r="M53" s="20">
        <f>+'Income Statement'!M35/'Balance Sheet'!L24</f>
        <v>1.6529876505330981E-2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EDC-943F-44FB-BA9C-BC28012A4183}">
  <dimension ref="A1:X93"/>
  <sheetViews>
    <sheetView topLeftCell="A22" zoomScale="85" zoomScaleNormal="85" workbookViewId="0">
      <selection activeCell="O42" sqref="O42"/>
    </sheetView>
  </sheetViews>
  <sheetFormatPr defaultColWidth="12.7109375" defaultRowHeight="15" x14ac:dyDescent="0.25"/>
  <cols>
    <col min="1" max="1" width="26.42578125" style="1" bestFit="1" customWidth="1"/>
    <col min="2" max="2" width="12.7109375" style="1" customWidth="1"/>
    <col min="3" max="7" width="12.7109375" style="1"/>
    <col min="8" max="8" width="14.28515625" style="1" bestFit="1" customWidth="1"/>
    <col min="9" max="16384" width="12.7109375" style="1"/>
  </cols>
  <sheetData>
    <row r="1" spans="2:24" ht="24.95" customHeight="1" x14ac:dyDescent="0.25">
      <c r="B1" s="69" t="s">
        <v>198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2:24" ht="16.5" thickBot="1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2:24" x14ac:dyDescent="0.25">
      <c r="B3" s="32"/>
      <c r="C3" s="32"/>
      <c r="D3" s="32"/>
      <c r="E3" s="32"/>
      <c r="F3" s="32"/>
      <c r="G3" s="32"/>
      <c r="H3" s="32"/>
      <c r="I3" s="32"/>
      <c r="J3" s="32"/>
      <c r="K3" s="66" t="s">
        <v>196</v>
      </c>
      <c r="L3" s="67"/>
      <c r="M3" s="67"/>
      <c r="N3" s="67"/>
      <c r="O3" s="68"/>
      <c r="P3" s="32"/>
      <c r="Q3" s="32"/>
      <c r="R3" s="32"/>
      <c r="S3" s="32"/>
      <c r="T3" s="32"/>
      <c r="U3" s="32"/>
      <c r="V3" s="32"/>
      <c r="W3" s="32"/>
      <c r="X3" s="32"/>
    </row>
    <row r="4" spans="2:24" x14ac:dyDescent="0.25">
      <c r="B4" s="32"/>
      <c r="C4" s="32"/>
      <c r="D4" s="32"/>
      <c r="E4" s="32"/>
      <c r="F4" s="32"/>
      <c r="G4" s="33"/>
      <c r="H4" s="32"/>
      <c r="I4" s="32"/>
      <c r="J4" s="32"/>
      <c r="K4" s="48">
        <f>+B45</f>
        <v>2016</v>
      </c>
      <c r="L4" s="49">
        <f>+C45</f>
        <v>2017</v>
      </c>
      <c r="M4" s="49">
        <f>+D45</f>
        <v>2018</v>
      </c>
      <c r="N4" s="49">
        <f>+E45</f>
        <v>2019</v>
      </c>
      <c r="O4" s="50">
        <f>+F45</f>
        <v>2020</v>
      </c>
      <c r="P4" s="32"/>
      <c r="Q4" s="32"/>
      <c r="R4" s="32"/>
      <c r="S4" s="32"/>
      <c r="T4" s="32"/>
      <c r="U4" s="32"/>
      <c r="V4" s="32"/>
      <c r="W4" s="32"/>
      <c r="X4" s="32"/>
    </row>
    <row r="5" spans="2:24" ht="15.75" thickBot="1" x14ac:dyDescent="0.3">
      <c r="B5" s="34"/>
      <c r="C5" s="34"/>
      <c r="D5" s="34"/>
      <c r="E5" s="34"/>
      <c r="F5" s="34"/>
      <c r="G5" s="34"/>
      <c r="H5" s="34"/>
      <c r="I5" s="34"/>
      <c r="J5" s="34"/>
      <c r="K5" s="35">
        <f>+B92</f>
        <v>-0.16264684947814087</v>
      </c>
      <c r="L5" s="36">
        <f>+C92</f>
        <v>-0.52878216538021661</v>
      </c>
      <c r="M5" s="36">
        <f>+D92</f>
        <v>-0.215925248832013</v>
      </c>
      <c r="N5" s="36">
        <f>+E92</f>
        <v>-0.11708717328901647</v>
      </c>
      <c r="O5" s="37">
        <f>+F92</f>
        <v>3.8785151856017996E-2</v>
      </c>
      <c r="P5" s="34"/>
      <c r="Q5" s="34"/>
      <c r="R5" s="34"/>
      <c r="S5" s="34"/>
      <c r="T5" s="34"/>
      <c r="U5" s="34"/>
      <c r="V5" s="34"/>
      <c r="W5" s="34"/>
      <c r="X5" s="34"/>
    </row>
    <row r="6" spans="2:24" x14ac:dyDescent="0.25">
      <c r="B6" s="32"/>
      <c r="C6" s="32"/>
      <c r="D6" s="32"/>
      <c r="E6" s="32"/>
      <c r="F6" s="32"/>
      <c r="G6" s="32"/>
      <c r="H6" s="32"/>
      <c r="I6" s="32"/>
      <c r="J6" s="38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2:24" ht="15.75" thickBot="1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2:24" x14ac:dyDescent="0.25">
      <c r="B8" s="32"/>
      <c r="C8" s="32"/>
      <c r="D8" s="32"/>
      <c r="E8" s="66" t="str">
        <f>+A49</f>
        <v>Net Profit Ratio</v>
      </c>
      <c r="F8" s="67"/>
      <c r="G8" s="67"/>
      <c r="H8" s="67"/>
      <c r="I8" s="68"/>
      <c r="J8" s="32"/>
      <c r="K8" s="66" t="str">
        <f>+A86</f>
        <v>Total Assets to Equity</v>
      </c>
      <c r="L8" s="67"/>
      <c r="M8" s="67"/>
      <c r="N8" s="67"/>
      <c r="O8" s="68"/>
      <c r="P8" s="32"/>
      <c r="Q8" s="66" t="str">
        <f>+A65</f>
        <v>Total Asset Turnover Ratio</v>
      </c>
      <c r="R8" s="67"/>
      <c r="S8" s="67"/>
      <c r="T8" s="67"/>
      <c r="U8" s="68"/>
      <c r="V8" s="32"/>
      <c r="W8" s="32"/>
      <c r="X8" s="32"/>
    </row>
    <row r="9" spans="2:24" x14ac:dyDescent="0.25">
      <c r="B9" s="32"/>
      <c r="C9" s="32"/>
      <c r="D9" s="32"/>
      <c r="E9" s="48">
        <f>+$K$4</f>
        <v>2016</v>
      </c>
      <c r="F9" s="49">
        <f>+$L$4</f>
        <v>2017</v>
      </c>
      <c r="G9" s="49">
        <f>+$M$4</f>
        <v>2018</v>
      </c>
      <c r="H9" s="49">
        <f>+$N$4</f>
        <v>2019</v>
      </c>
      <c r="I9" s="50">
        <f>+$O$4</f>
        <v>2020</v>
      </c>
      <c r="J9" s="32"/>
      <c r="K9" s="48">
        <f>+$K$4</f>
        <v>2016</v>
      </c>
      <c r="L9" s="49">
        <f>+$L$4</f>
        <v>2017</v>
      </c>
      <c r="M9" s="49">
        <f>+$M$4</f>
        <v>2018</v>
      </c>
      <c r="N9" s="49">
        <f>+$N$4</f>
        <v>2019</v>
      </c>
      <c r="O9" s="50">
        <f>+$O$4</f>
        <v>2020</v>
      </c>
      <c r="P9" s="32"/>
      <c r="Q9" s="48">
        <f>+$K$4</f>
        <v>2016</v>
      </c>
      <c r="R9" s="49">
        <f>+$L$4</f>
        <v>2017</v>
      </c>
      <c r="S9" s="49">
        <f>+$M$4</f>
        <v>2018</v>
      </c>
      <c r="T9" s="49">
        <f>+$N$4</f>
        <v>2019</v>
      </c>
      <c r="U9" s="50">
        <f>+$O$4</f>
        <v>2020</v>
      </c>
      <c r="V9" s="32"/>
      <c r="W9" s="32"/>
      <c r="X9" s="32"/>
    </row>
    <row r="10" spans="2:24" ht="15.75" thickBot="1" x14ac:dyDescent="0.3">
      <c r="B10" s="32"/>
      <c r="C10" s="32"/>
      <c r="D10" s="32"/>
      <c r="E10" s="35">
        <f>+B49</f>
        <v>-0.11043306040514665</v>
      </c>
      <c r="F10" s="36">
        <f>+C49</f>
        <v>-0.19054557750223641</v>
      </c>
      <c r="G10" s="36">
        <f>+D49</f>
        <v>-4.9531708680862964E-2</v>
      </c>
      <c r="H10" s="36">
        <f>+E49</f>
        <v>-3.1532264626902111E-2</v>
      </c>
      <c r="I10" s="37">
        <f>+F49</f>
        <v>2.7333840690005072E-2</v>
      </c>
      <c r="J10" s="32"/>
      <c r="K10" s="35">
        <f>+B86</f>
        <v>4.7684621066962967</v>
      </c>
      <c r="L10" s="36">
        <f>+C86</f>
        <v>6.7627414247286328</v>
      </c>
      <c r="M10" s="36">
        <f>+D86</f>
        <v>6.041031891123299</v>
      </c>
      <c r="N10" s="36">
        <f>+E86</f>
        <v>5.1834113914488595</v>
      </c>
      <c r="O10" s="37">
        <f>+F86</f>
        <v>2.3463667041619796</v>
      </c>
      <c r="P10" s="32"/>
      <c r="Q10" s="51">
        <f>+B65</f>
        <v>0.30886465435431826</v>
      </c>
      <c r="R10" s="52">
        <f t="shared" ref="R10:U10" si="0">+C65</f>
        <v>0.4103506665347077</v>
      </c>
      <c r="S10" s="52">
        <f t="shared" si="0"/>
        <v>0.72162071284465368</v>
      </c>
      <c r="T10" s="52">
        <f t="shared" si="0"/>
        <v>0.71637179748753976</v>
      </c>
      <c r="U10" s="53">
        <f t="shared" si="0"/>
        <v>0.60474035437600671</v>
      </c>
      <c r="V10" s="32"/>
      <c r="W10" s="32"/>
      <c r="X10" s="32"/>
    </row>
    <row r="11" spans="2:24" ht="15.75" thickBot="1" x14ac:dyDescent="0.3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2:24" x14ac:dyDescent="0.25">
      <c r="B12" s="66" t="str">
        <f>+A88</f>
        <v>Capital Structure Impact</v>
      </c>
      <c r="C12" s="67"/>
      <c r="D12" s="67"/>
      <c r="E12" s="67"/>
      <c r="F12" s="68"/>
      <c r="G12" s="32"/>
      <c r="H12" s="66" t="str">
        <f>+A51</f>
        <v>Tax Ratio</v>
      </c>
      <c r="I12" s="67"/>
      <c r="J12" s="67"/>
      <c r="K12" s="67"/>
      <c r="L12" s="68"/>
      <c r="M12" s="32"/>
      <c r="N12" s="66" t="s">
        <v>203</v>
      </c>
      <c r="O12" s="67"/>
      <c r="P12" s="67"/>
      <c r="Q12" s="67"/>
      <c r="R12" s="68"/>
      <c r="S12" s="32"/>
      <c r="T12" s="66" t="s">
        <v>191</v>
      </c>
      <c r="U12" s="67"/>
      <c r="V12" s="67"/>
      <c r="W12" s="67"/>
      <c r="X12" s="68"/>
    </row>
    <row r="13" spans="2:24" x14ac:dyDescent="0.25">
      <c r="B13" s="48">
        <f>+$K$4</f>
        <v>2016</v>
      </c>
      <c r="C13" s="49">
        <f>+$L$4</f>
        <v>2017</v>
      </c>
      <c r="D13" s="49">
        <f>+$M$4</f>
        <v>2018</v>
      </c>
      <c r="E13" s="49">
        <f>+$N$4</f>
        <v>2019</v>
      </c>
      <c r="F13" s="50">
        <f>+$O$4</f>
        <v>2020</v>
      </c>
      <c r="G13" s="32"/>
      <c r="H13" s="48">
        <f>+$K$4</f>
        <v>2016</v>
      </c>
      <c r="I13" s="49">
        <f>+$L$4</f>
        <v>2017</v>
      </c>
      <c r="J13" s="49">
        <f>+$M$4</f>
        <v>2018</v>
      </c>
      <c r="K13" s="49">
        <f>+$N$4</f>
        <v>2019</v>
      </c>
      <c r="L13" s="50">
        <f>+$O$4</f>
        <v>2020</v>
      </c>
      <c r="M13" s="32"/>
      <c r="N13" s="48">
        <f>+$K$4</f>
        <v>2016</v>
      </c>
      <c r="O13" s="49">
        <f>+$L$4</f>
        <v>2017</v>
      </c>
      <c r="P13" s="49">
        <f>+$M$4</f>
        <v>2018</v>
      </c>
      <c r="Q13" s="49">
        <f>+$N$4</f>
        <v>2019</v>
      </c>
      <c r="R13" s="50">
        <f>+$O$4</f>
        <v>2020</v>
      </c>
      <c r="S13" s="32"/>
      <c r="T13" s="48">
        <f>+$K$4</f>
        <v>2016</v>
      </c>
      <c r="U13" s="49">
        <f>+$L$4</f>
        <v>2017</v>
      </c>
      <c r="V13" s="49">
        <f>+$M$4</f>
        <v>2018</v>
      </c>
      <c r="W13" s="49">
        <f>+$N$4</f>
        <v>2019</v>
      </c>
      <c r="X13" s="50">
        <f>+$O$4</f>
        <v>2020</v>
      </c>
    </row>
    <row r="14" spans="2:24" ht="15.75" thickBot="1" x14ac:dyDescent="0.3">
      <c r="B14" s="35">
        <f>+B88</f>
        <v>1.1183924236521114</v>
      </c>
      <c r="C14" s="36">
        <f>+C88</f>
        <v>1.3535022051534049</v>
      </c>
      <c r="D14" s="36">
        <f>+D88</f>
        <v>2.5902061855670104</v>
      </c>
      <c r="E14" s="36">
        <f>+E88</f>
        <v>9.6376811594202891</v>
      </c>
      <c r="F14" s="37">
        <f>+F88</f>
        <v>0.5787362086258776</v>
      </c>
      <c r="G14" s="32"/>
      <c r="H14" s="35">
        <f>+B51</f>
        <v>-3.5771516772336767E-2</v>
      </c>
      <c r="I14" s="36">
        <f>+C51</f>
        <v>-1.4280463116876533E-2</v>
      </c>
      <c r="J14" s="36">
        <f>+D51</f>
        <v>-5.7711442786069649E-2</v>
      </c>
      <c r="K14" s="36">
        <f>+E51</f>
        <v>-0.16541353383458646</v>
      </c>
      <c r="L14" s="37">
        <f>+F51</f>
        <v>0.2530329289428076</v>
      </c>
      <c r="M14" s="32"/>
      <c r="N14" s="39">
        <f>+B77</f>
        <v>1.170012085996941</v>
      </c>
      <c r="O14" s="40">
        <f t="shared" ref="O14:R14" si="1">+C77</f>
        <v>1.1726477388930185</v>
      </c>
      <c r="P14" s="40">
        <f t="shared" si="1"/>
        <v>1.8941747572815535</v>
      </c>
      <c r="Q14" s="40">
        <f t="shared" si="1"/>
        <v>2.3641785302039247</v>
      </c>
      <c r="R14" s="41">
        <f t="shared" si="1"/>
        <v>2.4739938809131559</v>
      </c>
      <c r="S14" s="32"/>
      <c r="T14" s="39">
        <f>+B78</f>
        <v>9.9116211566643777</v>
      </c>
      <c r="U14" s="40">
        <f t="shared" ref="U14:X14" si="2">+C78</f>
        <v>30.253972542118209</v>
      </c>
      <c r="V14" s="40">
        <f t="shared" si="2"/>
        <v>32.665144596651444</v>
      </c>
      <c r="W14" s="40">
        <f t="shared" si="2"/>
        <v>22.242533936651583</v>
      </c>
      <c r="X14" s="41">
        <f t="shared" si="2"/>
        <v>-492.75</v>
      </c>
    </row>
    <row r="15" spans="2:24" ht="15.75" thickBot="1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2:24" x14ac:dyDescent="0.25">
      <c r="B16" s="32"/>
      <c r="C16" s="32"/>
      <c r="D16" s="32"/>
      <c r="E16" s="66" t="s">
        <v>161</v>
      </c>
      <c r="F16" s="67"/>
      <c r="G16" s="67"/>
      <c r="H16" s="67"/>
      <c r="I16" s="6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x14ac:dyDescent="0.25">
      <c r="B17" s="32"/>
      <c r="C17" s="32"/>
      <c r="D17" s="32"/>
      <c r="E17" s="48">
        <f>+$K$4</f>
        <v>2016</v>
      </c>
      <c r="F17" s="49">
        <f>+$L$4</f>
        <v>2017</v>
      </c>
      <c r="G17" s="49">
        <f>+$M$4</f>
        <v>2018</v>
      </c>
      <c r="H17" s="49">
        <f>+$N$4</f>
        <v>2019</v>
      </c>
      <c r="I17" s="50">
        <f>+$O$4</f>
        <v>2020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2:24" ht="15.75" thickBot="1" x14ac:dyDescent="0.3">
      <c r="B18" s="32"/>
      <c r="C18" s="32"/>
      <c r="D18" s="32"/>
      <c r="E18" s="35">
        <f>+B48</f>
        <v>-9.533248801594027E-2</v>
      </c>
      <c r="F18" s="36">
        <f>+C48</f>
        <v>-0.13879756446921956</v>
      </c>
      <c r="G18" s="36">
        <f>+D48</f>
        <v>-1.8079306649270769E-2</v>
      </c>
      <c r="H18" s="36">
        <f>+E48</f>
        <v>-2.8073887216209618E-3</v>
      </c>
      <c r="I18" s="37">
        <f>+F48</f>
        <v>6.3229325215626589E-2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2:24" ht="15.75" thickBot="1" x14ac:dyDescent="0.3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2:24" x14ac:dyDescent="0.25">
      <c r="B20" s="66" t="s">
        <v>160</v>
      </c>
      <c r="C20" s="67"/>
      <c r="D20" s="67"/>
      <c r="E20" s="67"/>
      <c r="F20" s="68"/>
      <c r="G20" s="32"/>
      <c r="H20" s="66" t="s">
        <v>184</v>
      </c>
      <c r="I20" s="67"/>
      <c r="J20" s="67"/>
      <c r="K20" s="67"/>
      <c r="L20" s="68"/>
      <c r="M20" s="32"/>
      <c r="N20" s="66" t="s">
        <v>204</v>
      </c>
      <c r="O20" s="67"/>
      <c r="P20" s="67"/>
      <c r="Q20" s="67"/>
      <c r="R20" s="68"/>
      <c r="S20" s="32"/>
      <c r="T20" s="66" t="s">
        <v>171</v>
      </c>
      <c r="U20" s="67"/>
      <c r="V20" s="67"/>
      <c r="W20" s="67"/>
      <c r="X20" s="68"/>
    </row>
    <row r="21" spans="2:24" x14ac:dyDescent="0.25">
      <c r="B21" s="48">
        <f>+$K$4</f>
        <v>2016</v>
      </c>
      <c r="C21" s="49">
        <f>+$L$4</f>
        <v>2017</v>
      </c>
      <c r="D21" s="49">
        <f>+$M$4</f>
        <v>2018</v>
      </c>
      <c r="E21" s="49">
        <f>+$N$4</f>
        <v>2019</v>
      </c>
      <c r="F21" s="50">
        <f>+$O$4</f>
        <v>2020</v>
      </c>
      <c r="G21" s="32"/>
      <c r="H21" s="48">
        <f>+$K$4</f>
        <v>2016</v>
      </c>
      <c r="I21" s="49">
        <f>+$L$4</f>
        <v>2017</v>
      </c>
      <c r="J21" s="49">
        <f>+$M$4</f>
        <v>2018</v>
      </c>
      <c r="K21" s="49">
        <f>+$N$4</f>
        <v>2019</v>
      </c>
      <c r="L21" s="50">
        <f>+$O$4</f>
        <v>2020</v>
      </c>
      <c r="M21" s="32"/>
      <c r="N21" s="48">
        <f>+$K$4</f>
        <v>2016</v>
      </c>
      <c r="O21" s="49">
        <f>+$L$4</f>
        <v>2017</v>
      </c>
      <c r="P21" s="49">
        <f>+$M$4</f>
        <v>2018</v>
      </c>
      <c r="Q21" s="49">
        <f>+$N$4</f>
        <v>2019</v>
      </c>
      <c r="R21" s="50">
        <f>+$O$4</f>
        <v>2020</v>
      </c>
      <c r="S21" s="32"/>
      <c r="T21" s="48">
        <f>+$K$4</f>
        <v>2016</v>
      </c>
      <c r="U21" s="49">
        <f>+$L$4</f>
        <v>2017</v>
      </c>
      <c r="V21" s="49">
        <f>+$M$4</f>
        <v>2018</v>
      </c>
      <c r="W21" s="49">
        <f>+$N$4</f>
        <v>2019</v>
      </c>
      <c r="X21" s="50">
        <f>+$O$4</f>
        <v>2020</v>
      </c>
    </row>
    <row r="22" spans="2:24" ht="15.75" thickBot="1" x14ac:dyDescent="0.3">
      <c r="B22" s="35">
        <f>+B47</f>
        <v>0.22846097759299397</v>
      </c>
      <c r="C22" s="36">
        <f t="shared" ref="C22:F22" si="3">+C47</f>
        <v>0.18900706376042831</v>
      </c>
      <c r="D22" s="36">
        <f t="shared" si="3"/>
        <v>0.18834164298028983</v>
      </c>
      <c r="E22" s="36">
        <f t="shared" si="3"/>
        <v>0.1655545609895028</v>
      </c>
      <c r="F22" s="37">
        <f t="shared" si="3"/>
        <v>0.2102359208523592</v>
      </c>
      <c r="G22" s="32"/>
      <c r="H22" s="56">
        <f>+B54</f>
        <v>1432189</v>
      </c>
      <c r="I22" s="57">
        <f t="shared" ref="I22:L22" si="4">+C54</f>
        <v>2476500</v>
      </c>
      <c r="J22" s="57">
        <f t="shared" si="4"/>
        <v>2835000</v>
      </c>
      <c r="K22" s="57">
        <f t="shared" si="4"/>
        <v>2646000</v>
      </c>
      <c r="L22" s="58">
        <f t="shared" si="4"/>
        <v>3145000</v>
      </c>
      <c r="M22" s="32"/>
      <c r="N22" s="39">
        <f>+B74</f>
        <v>2.9031639898276715</v>
      </c>
      <c r="O22" s="40">
        <f t="shared" ref="O22:R22" si="5">+C74</f>
        <v>3.9896512917058886</v>
      </c>
      <c r="P22" s="40">
        <f t="shared" si="5"/>
        <v>5.1157121879588843</v>
      </c>
      <c r="Q22" s="40">
        <f t="shared" si="5"/>
        <v>5.4386104481569877</v>
      </c>
      <c r="R22" s="41">
        <f t="shared" si="5"/>
        <v>4.1160138820029744</v>
      </c>
      <c r="S22" s="32"/>
      <c r="T22" s="39">
        <f>+B69</f>
        <v>2.6123313989089962</v>
      </c>
      <c r="U22" s="40">
        <f t="shared" ref="U22:X22" si="6">+C69</f>
        <v>4.2129923213095255</v>
      </c>
      <c r="V22" s="40">
        <f t="shared" si="6"/>
        <v>5.5955669771924192</v>
      </c>
      <c r="W22" s="40">
        <f t="shared" si="6"/>
        <v>5.7739301801801801</v>
      </c>
      <c r="X22" s="41">
        <f t="shared" si="6"/>
        <v>6.0731528895391369</v>
      </c>
    </row>
    <row r="23" spans="2:24" ht="15.75" thickBot="1" x14ac:dyDescent="0.3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2:24" x14ac:dyDescent="0.25">
      <c r="B24" s="66" t="s">
        <v>186</v>
      </c>
      <c r="C24" s="67"/>
      <c r="D24" s="67"/>
      <c r="E24" s="67"/>
      <c r="F24" s="68"/>
      <c r="G24" s="32"/>
      <c r="H24" s="66" t="s">
        <v>185</v>
      </c>
      <c r="I24" s="67"/>
      <c r="J24" s="67"/>
      <c r="K24" s="67"/>
      <c r="L24" s="68"/>
      <c r="M24" s="32"/>
      <c r="N24" s="42"/>
      <c r="O24" s="42"/>
      <c r="P24" s="42"/>
      <c r="Q24" s="66" t="s">
        <v>205</v>
      </c>
      <c r="R24" s="67"/>
      <c r="S24" s="67"/>
      <c r="T24" s="67"/>
      <c r="U24" s="68"/>
      <c r="V24" s="32"/>
      <c r="W24" s="32"/>
      <c r="X24" s="32"/>
    </row>
    <row r="25" spans="2:24" x14ac:dyDescent="0.25">
      <c r="B25" s="48">
        <f>+$K$4</f>
        <v>2016</v>
      </c>
      <c r="C25" s="49">
        <f>+$L$4</f>
        <v>2017</v>
      </c>
      <c r="D25" s="49">
        <f>+$M$4</f>
        <v>2018</v>
      </c>
      <c r="E25" s="49">
        <f>+$N$4</f>
        <v>2019</v>
      </c>
      <c r="F25" s="50">
        <f>+$O$4</f>
        <v>2020</v>
      </c>
      <c r="G25" s="32"/>
      <c r="H25" s="48">
        <f>+$K$4</f>
        <v>2016</v>
      </c>
      <c r="I25" s="49">
        <f>+$L$4</f>
        <v>2017</v>
      </c>
      <c r="J25" s="49">
        <f>+$M$4</f>
        <v>2018</v>
      </c>
      <c r="K25" s="49">
        <f>+$N$4</f>
        <v>2019</v>
      </c>
      <c r="L25" s="50">
        <f>+$O$4</f>
        <v>2020</v>
      </c>
      <c r="M25" s="32"/>
      <c r="N25" s="42"/>
      <c r="O25" s="42"/>
      <c r="P25" s="42"/>
      <c r="Q25" s="48">
        <f>+$K$4</f>
        <v>2016</v>
      </c>
      <c r="R25" s="49">
        <f>+$L$4</f>
        <v>2017</v>
      </c>
      <c r="S25" s="49">
        <f>+$M$4</f>
        <v>2018</v>
      </c>
      <c r="T25" s="49">
        <f>+$N$4</f>
        <v>2019</v>
      </c>
      <c r="U25" s="50">
        <f>+$O$4</f>
        <v>2020</v>
      </c>
      <c r="V25" s="32"/>
      <c r="W25" s="32"/>
      <c r="X25" s="32"/>
    </row>
    <row r="26" spans="2:24" ht="15.75" thickBot="1" x14ac:dyDescent="0.3">
      <c r="B26" s="56">
        <f>+B56</f>
        <v>947099</v>
      </c>
      <c r="C26" s="57">
        <f t="shared" ref="C26:F26" si="7">+C56</f>
        <v>1636003</v>
      </c>
      <c r="D26" s="57">
        <f t="shared" si="7"/>
        <v>1901000</v>
      </c>
      <c r="E26" s="57">
        <f t="shared" si="7"/>
        <v>2154000</v>
      </c>
      <c r="F26" s="58">
        <f t="shared" si="7"/>
        <v>2322000</v>
      </c>
      <c r="G26" s="32"/>
      <c r="H26" s="56">
        <f>+B55</f>
        <v>834408</v>
      </c>
      <c r="I26" s="57">
        <f t="shared" ref="I26:L26" si="8">+C55</f>
        <v>1378073</v>
      </c>
      <c r="J26" s="57">
        <f t="shared" si="8"/>
        <v>1460000</v>
      </c>
      <c r="K26" s="57">
        <f t="shared" si="8"/>
        <v>1343000</v>
      </c>
      <c r="L26" s="58">
        <f t="shared" si="8"/>
        <v>1491000</v>
      </c>
      <c r="M26" s="32"/>
      <c r="N26" s="42"/>
      <c r="O26" s="42"/>
      <c r="P26" s="42"/>
      <c r="Q26" s="39">
        <f>+B72</f>
        <v>14.024329749850743</v>
      </c>
      <c r="R26" s="40">
        <f t="shared" ref="R26:U26" si="9">+C72</f>
        <v>22.815647064986873</v>
      </c>
      <c r="S26" s="40">
        <f t="shared" si="9"/>
        <v>22.614330874604846</v>
      </c>
      <c r="T26" s="40">
        <f t="shared" si="9"/>
        <v>18.563444108761328</v>
      </c>
      <c r="U26" s="41">
        <f t="shared" si="9"/>
        <v>16.721102863202546</v>
      </c>
      <c r="V26" s="32"/>
      <c r="W26" s="32"/>
      <c r="X26" s="32"/>
    </row>
    <row r="27" spans="2:24" ht="15.75" thickBot="1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2:24" x14ac:dyDescent="0.25">
      <c r="B28" s="66" t="s">
        <v>188</v>
      </c>
      <c r="C28" s="67"/>
      <c r="D28" s="67"/>
      <c r="E28" s="67"/>
      <c r="F28" s="68"/>
      <c r="G28" s="32"/>
      <c r="H28" s="66" t="s">
        <v>187</v>
      </c>
      <c r="I28" s="67"/>
      <c r="J28" s="67"/>
      <c r="K28" s="67"/>
      <c r="L28" s="68"/>
      <c r="M28" s="32"/>
      <c r="N28" s="32"/>
      <c r="O28" s="32"/>
      <c r="P28" s="32"/>
      <c r="Q28" s="66" t="s">
        <v>192</v>
      </c>
      <c r="R28" s="67"/>
      <c r="S28" s="67"/>
      <c r="T28" s="67"/>
      <c r="U28" s="68"/>
      <c r="V28" s="32"/>
      <c r="W28" s="32"/>
      <c r="X28" s="32"/>
    </row>
    <row r="29" spans="2:24" x14ac:dyDescent="0.25">
      <c r="B29" s="48">
        <f>+$K$4</f>
        <v>2016</v>
      </c>
      <c r="C29" s="49">
        <f>+$L$4</f>
        <v>2017</v>
      </c>
      <c r="D29" s="49">
        <f>+$M$4</f>
        <v>2018</v>
      </c>
      <c r="E29" s="49">
        <f>+$N$4</f>
        <v>2019</v>
      </c>
      <c r="F29" s="50">
        <f>+$O$4</f>
        <v>2020</v>
      </c>
      <c r="G29" s="32"/>
      <c r="H29" s="48">
        <f>+$K$4</f>
        <v>2016</v>
      </c>
      <c r="I29" s="49">
        <f>+$L$4</f>
        <v>2017</v>
      </c>
      <c r="J29" s="49">
        <f>+$M$4</f>
        <v>2018</v>
      </c>
      <c r="K29" s="49">
        <f>+$N$4</f>
        <v>2019</v>
      </c>
      <c r="L29" s="50">
        <f>+$O$4</f>
        <v>2020</v>
      </c>
      <c r="M29" s="32"/>
      <c r="N29" s="32"/>
      <c r="O29" s="32"/>
      <c r="P29" s="32"/>
      <c r="Q29" s="48">
        <f>+$K$4</f>
        <v>2016</v>
      </c>
      <c r="R29" s="49">
        <f>+$L$4</f>
        <v>2017</v>
      </c>
      <c r="S29" s="49">
        <f>+$M$4</f>
        <v>2018</v>
      </c>
      <c r="T29" s="49">
        <f>+$N$4</f>
        <v>2019</v>
      </c>
      <c r="U29" s="50">
        <f>+$O$4</f>
        <v>2020</v>
      </c>
      <c r="V29" s="32"/>
      <c r="W29" s="32"/>
      <c r="X29" s="32"/>
    </row>
    <row r="30" spans="2:24" ht="15.75" thickBot="1" x14ac:dyDescent="0.3">
      <c r="B30" s="56">
        <f>+B58</f>
        <v>194843</v>
      </c>
      <c r="C30" s="57">
        <f t="shared" ref="C30:F30" si="10">+C58</f>
        <v>328472</v>
      </c>
      <c r="D30" s="57">
        <f t="shared" si="10"/>
        <v>406000</v>
      </c>
      <c r="E30" s="57">
        <f t="shared" si="10"/>
        <v>527000</v>
      </c>
      <c r="F30" s="58">
        <f t="shared" si="10"/>
        <v>499000</v>
      </c>
      <c r="G30" s="32"/>
      <c r="H30" s="56">
        <f>+B57</f>
        <v>334225</v>
      </c>
      <c r="I30" s="57">
        <f t="shared" ref="I30:L30" si="11">+C57</f>
        <v>466760</v>
      </c>
      <c r="J30" s="57">
        <f t="shared" si="11"/>
        <v>749000</v>
      </c>
      <c r="K30" s="57">
        <f t="shared" si="11"/>
        <v>898000</v>
      </c>
      <c r="L30" s="58">
        <f t="shared" si="11"/>
        <v>1734000</v>
      </c>
      <c r="M30" s="32"/>
      <c r="N30" s="32"/>
      <c r="O30" s="32"/>
      <c r="P30" s="32"/>
      <c r="Q30" s="39">
        <f>+B79</f>
        <v>2.0629786020105998</v>
      </c>
      <c r="R30" s="40">
        <f t="shared" ref="R30:U30" si="12">+C79</f>
        <v>3.4914047686490806</v>
      </c>
      <c r="S30" s="40">
        <f t="shared" si="12"/>
        <v>5.8223005968529575</v>
      </c>
      <c r="T30" s="40">
        <f t="shared" si="12"/>
        <v>3.9211869814932991</v>
      </c>
      <c r="U30" s="41">
        <f t="shared" si="12"/>
        <v>1.6269087907552622</v>
      </c>
      <c r="V30" s="32"/>
      <c r="W30" s="32"/>
      <c r="X30" s="32"/>
    </row>
    <row r="31" spans="2:24" ht="16.5" thickBot="1" x14ac:dyDescent="0.3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2:24" ht="15.75" x14ac:dyDescent="0.25">
      <c r="B32" s="66" t="s">
        <v>189</v>
      </c>
      <c r="C32" s="67"/>
      <c r="D32" s="67"/>
      <c r="E32" s="67"/>
      <c r="F32" s="68"/>
      <c r="G32" s="31"/>
      <c r="H32" s="66" t="s">
        <v>190</v>
      </c>
      <c r="I32" s="67"/>
      <c r="J32" s="67"/>
      <c r="K32" s="67"/>
      <c r="L32" s="68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B33" s="48">
        <f>+$K$4</f>
        <v>2016</v>
      </c>
      <c r="C33" s="49">
        <f>+$L$4</f>
        <v>2017</v>
      </c>
      <c r="D33" s="49">
        <f>+$M$4</f>
        <v>2018</v>
      </c>
      <c r="E33" s="49">
        <f>+$N$4</f>
        <v>2019</v>
      </c>
      <c r="F33" s="50">
        <f>+$O$4</f>
        <v>2020</v>
      </c>
      <c r="G33" s="31"/>
      <c r="H33" s="48">
        <f>+$K$4</f>
        <v>2016</v>
      </c>
      <c r="I33" s="49">
        <f>+$L$4</f>
        <v>2017</v>
      </c>
      <c r="J33" s="49">
        <f>+$M$4</f>
        <v>2018</v>
      </c>
      <c r="K33" s="49">
        <f>+$N$4</f>
        <v>2019</v>
      </c>
      <c r="L33" s="50">
        <f>+$O$4</f>
        <v>2020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6.5" thickBot="1" x14ac:dyDescent="0.3">
      <c r="B34" s="56">
        <f>+B59</f>
        <v>-198810</v>
      </c>
      <c r="C34" s="57">
        <f t="shared" ref="C34:F34" si="13">+C59</f>
        <v>-471259</v>
      </c>
      <c r="D34" s="57">
        <f t="shared" si="13"/>
        <v>-663000</v>
      </c>
      <c r="E34" s="57">
        <f t="shared" si="13"/>
        <v>-685000</v>
      </c>
      <c r="F34" s="58">
        <f t="shared" si="13"/>
        <v>-748000</v>
      </c>
      <c r="G34" s="31"/>
      <c r="H34" s="56">
        <f>+B60</f>
        <v>0</v>
      </c>
      <c r="I34" s="57">
        <f t="shared" ref="I34:L34" si="14">+C60</f>
        <v>0</v>
      </c>
      <c r="J34" s="57">
        <f t="shared" si="14"/>
        <v>0</v>
      </c>
      <c r="K34" s="57">
        <f t="shared" si="14"/>
        <v>0</v>
      </c>
      <c r="L34" s="58">
        <f t="shared" si="14"/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6.5" thickBot="1" x14ac:dyDescent="0.3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B37" s="66" t="s">
        <v>199</v>
      </c>
      <c r="C37" s="67"/>
      <c r="D37" s="67"/>
      <c r="E37" s="67"/>
      <c r="F37" s="67"/>
      <c r="G37" s="67"/>
      <c r="H37" s="67"/>
      <c r="I37" s="68"/>
      <c r="J37" s="31"/>
      <c r="K37" s="66" t="s">
        <v>200</v>
      </c>
      <c r="L37" s="67"/>
      <c r="M37" s="67"/>
      <c r="N37" s="67"/>
      <c r="O37" s="67"/>
      <c r="P37" s="67"/>
      <c r="Q37" s="67"/>
      <c r="R37" s="68"/>
      <c r="S37" s="31"/>
      <c r="T37" s="31"/>
      <c r="U37" s="31"/>
      <c r="V37" s="31"/>
      <c r="W37" s="31"/>
      <c r="X37" s="31"/>
    </row>
    <row r="38" spans="1:24" ht="15.75" x14ac:dyDescent="0.25">
      <c r="B38" s="43"/>
      <c r="C38" s="32"/>
      <c r="D38" s="38"/>
      <c r="E38" s="49">
        <f>+$K$4</f>
        <v>2016</v>
      </c>
      <c r="F38" s="49">
        <f>+$L$4</f>
        <v>2017</v>
      </c>
      <c r="G38" s="49">
        <f>+$M$4</f>
        <v>2018</v>
      </c>
      <c r="H38" s="49">
        <f>+$N$4</f>
        <v>2019</v>
      </c>
      <c r="I38" s="50">
        <f>+$O$4</f>
        <v>2020</v>
      </c>
      <c r="J38" s="31"/>
      <c r="K38" s="43"/>
      <c r="L38" s="32"/>
      <c r="M38" s="32"/>
      <c r="N38" s="63">
        <f>+$K$4</f>
        <v>2016</v>
      </c>
      <c r="O38" s="63">
        <f>+$L$4</f>
        <v>2017</v>
      </c>
      <c r="P38" s="63">
        <f>+$M$4</f>
        <v>2018</v>
      </c>
      <c r="Q38" s="63">
        <f>+$N$4</f>
        <v>2019</v>
      </c>
      <c r="R38" s="64">
        <f>+$O$4</f>
        <v>2020</v>
      </c>
      <c r="S38" s="31"/>
      <c r="T38" s="31"/>
      <c r="U38" s="31"/>
      <c r="V38" s="31"/>
      <c r="W38" s="31"/>
      <c r="X38" s="31"/>
    </row>
    <row r="39" spans="1:24" ht="15.75" x14ac:dyDescent="0.25">
      <c r="B39" s="44" t="s">
        <v>201</v>
      </c>
      <c r="C39" s="38"/>
      <c r="D39" s="38"/>
      <c r="E39" s="59">
        <f>+B85</f>
        <v>3.5241911746296113</v>
      </c>
      <c r="F39" s="59">
        <f t="shared" ref="F39:I39" si="15">+C85</f>
        <v>5.433482439756804</v>
      </c>
      <c r="G39" s="59">
        <f t="shared" si="15"/>
        <v>4.7586837294332724</v>
      </c>
      <c r="H39" s="59">
        <f t="shared" si="15"/>
        <v>3.9581507780631515</v>
      </c>
      <c r="I39" s="60">
        <f t="shared" si="15"/>
        <v>1.2786501687289089</v>
      </c>
      <c r="J39" s="31"/>
      <c r="K39" s="44" t="s">
        <v>167</v>
      </c>
      <c r="L39" s="38"/>
      <c r="M39" s="38"/>
      <c r="N39" s="61">
        <f>+B64</f>
        <v>1.0742733187975642</v>
      </c>
      <c r="O39" s="61">
        <f t="shared" ref="O39:R39" si="16">+C64</f>
        <v>0.8561306219029613</v>
      </c>
      <c r="P39" s="61">
        <f t="shared" si="16"/>
        <v>0.83128189732812974</v>
      </c>
      <c r="Q39" s="61">
        <f t="shared" si="16"/>
        <v>1.1346207931002157</v>
      </c>
      <c r="R39" s="62">
        <f t="shared" si="16"/>
        <v>1.8751403705783267</v>
      </c>
      <c r="S39" s="31"/>
      <c r="T39" s="31"/>
      <c r="U39" s="31"/>
      <c r="V39" s="31"/>
      <c r="W39" s="31"/>
      <c r="X39" s="31"/>
    </row>
    <row r="40" spans="1:24" ht="16.5" thickBot="1" x14ac:dyDescent="0.3">
      <c r="B40" s="45" t="s">
        <v>177</v>
      </c>
      <c r="C40" s="46"/>
      <c r="D40" s="46"/>
      <c r="E40" s="36">
        <f>+B82</f>
        <v>1.4400143406851085</v>
      </c>
      <c r="F40" s="36">
        <f t="shared" ref="F40:I40" si="17">+C82</f>
        <v>2.4101170053539542</v>
      </c>
      <c r="G40" s="36">
        <f t="shared" si="17"/>
        <v>2.4318504976640258</v>
      </c>
      <c r="H40" s="36">
        <f t="shared" si="17"/>
        <v>2.0273455204713704</v>
      </c>
      <c r="I40" s="37">
        <f t="shared" si="17"/>
        <v>0.52589426321709787</v>
      </c>
      <c r="J40" s="31"/>
      <c r="K40" s="45" t="s">
        <v>166</v>
      </c>
      <c r="L40" s="46"/>
      <c r="M40" s="46"/>
      <c r="N40" s="54">
        <f>+B63</f>
        <v>0.71946771969476597</v>
      </c>
      <c r="O40" s="54">
        <f t="shared" ref="O40:R40" si="18">+C63</f>
        <v>0.56119455299055199</v>
      </c>
      <c r="P40" s="54">
        <f t="shared" si="18"/>
        <v>0.519763834684279</v>
      </c>
      <c r="Q40" s="54">
        <f t="shared" si="18"/>
        <v>0.80163119902503044</v>
      </c>
      <c r="R40" s="55">
        <f t="shared" si="18"/>
        <v>1.5873104997192589</v>
      </c>
      <c r="S40" s="31"/>
      <c r="T40" s="31"/>
      <c r="U40" s="31"/>
      <c r="V40" s="31"/>
      <c r="W40" s="31"/>
      <c r="X40" s="31"/>
    </row>
    <row r="41" spans="1:24" ht="15.75" x14ac:dyDescent="0.25">
      <c r="B41" s="47"/>
      <c r="C41" s="47"/>
      <c r="D41" s="47"/>
      <c r="E41" s="47"/>
      <c r="F41" s="47"/>
      <c r="G41" s="47"/>
      <c r="H41" s="47"/>
      <c r="I41" s="4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24.95" customHeight="1" x14ac:dyDescent="0.25">
      <c r="A42" s="65" t="s">
        <v>202</v>
      </c>
      <c r="B42" s="65"/>
      <c r="C42" s="65"/>
      <c r="D42" s="65"/>
      <c r="E42" s="65"/>
      <c r="F42" s="65"/>
    </row>
    <row r="43" spans="1:24" ht="15.95" customHeight="1" x14ac:dyDescent="0.25">
      <c r="B43" s="5"/>
      <c r="C43" s="5"/>
      <c r="D43" s="5"/>
      <c r="E43" s="5"/>
      <c r="F43" s="5"/>
    </row>
    <row r="44" spans="1:24" ht="15.95" customHeight="1" x14ac:dyDescent="0.25">
      <c r="B44" s="2" t="s">
        <v>111</v>
      </c>
      <c r="C44" s="2" t="s">
        <v>38</v>
      </c>
      <c r="D44" s="2" t="s">
        <v>111</v>
      </c>
      <c r="E44" s="2" t="s">
        <v>111</v>
      </c>
      <c r="F44" s="2" t="s">
        <v>38</v>
      </c>
    </row>
    <row r="45" spans="1:24" s="3" customFormat="1" ht="15.95" customHeight="1" x14ac:dyDescent="0.25">
      <c r="A45" s="17" t="s">
        <v>158</v>
      </c>
      <c r="B45" s="11">
        <v>2016</v>
      </c>
      <c r="C45" s="11">
        <v>2017</v>
      </c>
      <c r="D45" s="11">
        <v>2018</v>
      </c>
      <c r="E45" s="11">
        <v>2019</v>
      </c>
      <c r="F45" s="11">
        <v>2020</v>
      </c>
    </row>
    <row r="46" spans="1:24" ht="15.75" x14ac:dyDescent="0.25">
      <c r="A46" s="8" t="s">
        <v>159</v>
      </c>
    </row>
    <row r="47" spans="1:24" x14ac:dyDescent="0.25">
      <c r="A47" s="1" t="s">
        <v>160</v>
      </c>
      <c r="B47" s="19">
        <f>+'Income Statement'!I21/'Income Statement'!I12</f>
        <v>0.22846097759299397</v>
      </c>
      <c r="C47" s="19">
        <f>+'Income Statement'!J21/'Income Statement'!J12</f>
        <v>0.18900706376042831</v>
      </c>
      <c r="D47" s="19">
        <f>+'Income Statement'!K21/'Income Statement'!K12</f>
        <v>0.18834164298028983</v>
      </c>
      <c r="E47" s="19">
        <f>+'Income Statement'!L21/'Income Statement'!L12</f>
        <v>0.1655545609895028</v>
      </c>
      <c r="F47" s="19">
        <f>+'Income Statement'!M21/'Income Statement'!M12</f>
        <v>0.2102359208523592</v>
      </c>
    </row>
    <row r="48" spans="1:24" x14ac:dyDescent="0.25">
      <c r="A48" s="1" t="s">
        <v>161</v>
      </c>
      <c r="B48" s="19">
        <f>+'Income Statement'!I28/'Income Statement'!I12</f>
        <v>-9.533248801594027E-2</v>
      </c>
      <c r="C48" s="19">
        <f>+'Income Statement'!J28/'Income Statement'!J12</f>
        <v>-0.13879756446921956</v>
      </c>
      <c r="D48" s="19">
        <f>+'Income Statement'!K28/'Income Statement'!K12</f>
        <v>-1.8079306649270769E-2</v>
      </c>
      <c r="E48" s="19">
        <f>+'Income Statement'!L28/'Income Statement'!L12</f>
        <v>-2.8073887216209618E-3</v>
      </c>
      <c r="F48" s="19">
        <f>+'Income Statement'!M28/'Income Statement'!M12</f>
        <v>6.3229325215626589E-2</v>
      </c>
    </row>
    <row r="49" spans="1:6" x14ac:dyDescent="0.25">
      <c r="A49" s="1" t="s">
        <v>162</v>
      </c>
      <c r="B49" s="19">
        <f>+'Income Statement'!I35/'Income Statement'!I12</f>
        <v>-0.11043306040514665</v>
      </c>
      <c r="C49" s="19">
        <f>+'Income Statement'!J35/'Income Statement'!J12</f>
        <v>-0.19054557750223641</v>
      </c>
      <c r="D49" s="19">
        <f>+'Income Statement'!K35/'Income Statement'!K12</f>
        <v>-4.9531708680862964E-2</v>
      </c>
      <c r="E49" s="19">
        <f>+'Income Statement'!L35/'Income Statement'!L12</f>
        <v>-3.1532264626902111E-2</v>
      </c>
      <c r="F49" s="19">
        <f>+'Income Statement'!M35/'Income Statement'!M12</f>
        <v>2.7333840690005072E-2</v>
      </c>
    </row>
    <row r="50" spans="1:6" x14ac:dyDescent="0.25">
      <c r="B50" s="18"/>
      <c r="C50" s="18"/>
      <c r="D50" s="18"/>
      <c r="E50" s="18"/>
      <c r="F50" s="18"/>
    </row>
    <row r="51" spans="1:6" x14ac:dyDescent="0.25">
      <c r="A51" s="1" t="s">
        <v>163</v>
      </c>
      <c r="B51" s="19">
        <f>+'Income Statement'!I34/'Income Statement'!I33</f>
        <v>-3.5771516772336767E-2</v>
      </c>
      <c r="C51" s="19">
        <f>+'Income Statement'!J34/'Income Statement'!J33</f>
        <v>-1.4280463116876533E-2</v>
      </c>
      <c r="D51" s="19">
        <f>+'Income Statement'!K34/'Income Statement'!K33</f>
        <v>-5.7711442786069649E-2</v>
      </c>
      <c r="E51" s="19">
        <f>+'Income Statement'!L34/'Income Statement'!L33</f>
        <v>-0.16541353383458646</v>
      </c>
      <c r="F51" s="19">
        <f>+'Income Statement'!M34/'Income Statement'!M33</f>
        <v>0.2530329289428076</v>
      </c>
    </row>
    <row r="52" spans="1:6" x14ac:dyDescent="0.25">
      <c r="A52" s="1" t="s">
        <v>164</v>
      </c>
      <c r="B52" s="2">
        <f>ABS('Income Statement'!I28)/ABS('Income Statement'!I31)</f>
        <v>3.3566721995875457</v>
      </c>
      <c r="C52" s="2">
        <f>ABS('Income Statement'!J28)/ABS('Income Statement'!J31)</f>
        <v>3.4632463252691195</v>
      </c>
      <c r="D52" s="2">
        <f>ABS('Income Statement'!K28)/ABS('Income Statement'!K31)</f>
        <v>0.58521870286576172</v>
      </c>
      <c r="E52" s="2">
        <f>ABS('Income Statement'!L28)/ABS('Income Statement'!L31)</f>
        <v>0.10072992700729927</v>
      </c>
      <c r="F52" s="2">
        <f>ABS('Income Statement'!M28)/ABS('Income Statement'!M31)</f>
        <v>2.6657754010695189</v>
      </c>
    </row>
    <row r="53" spans="1:6" x14ac:dyDescent="0.25">
      <c r="B53" s="2"/>
      <c r="C53" s="2"/>
      <c r="D53" s="2"/>
      <c r="E53" s="2"/>
      <c r="F53" s="2"/>
    </row>
    <row r="54" spans="1:6" x14ac:dyDescent="0.25">
      <c r="A54" s="1" t="s">
        <v>184</v>
      </c>
      <c r="B54" s="2">
        <f>+'Income Statement'!I25</f>
        <v>1432189</v>
      </c>
      <c r="C54" s="2">
        <f>+'Income Statement'!J25</f>
        <v>2476500</v>
      </c>
      <c r="D54" s="2">
        <f>+'Income Statement'!K25</f>
        <v>2835000</v>
      </c>
      <c r="E54" s="2">
        <f>+'Income Statement'!L25</f>
        <v>2646000</v>
      </c>
      <c r="F54" s="2">
        <f>+'Income Statement'!M25</f>
        <v>3145000</v>
      </c>
    </row>
    <row r="55" spans="1:6" x14ac:dyDescent="0.25">
      <c r="A55" s="1" t="s">
        <v>185</v>
      </c>
      <c r="B55" s="2">
        <f>+'Income Statement'!I24</f>
        <v>834408</v>
      </c>
      <c r="C55" s="2">
        <f>+'Income Statement'!J24</f>
        <v>1378073</v>
      </c>
      <c r="D55" s="2">
        <f>+'Income Statement'!K24</f>
        <v>1460000</v>
      </c>
      <c r="E55" s="2">
        <f>+'Income Statement'!L24</f>
        <v>1343000</v>
      </c>
      <c r="F55" s="2">
        <f>+'Income Statement'!M24</f>
        <v>1491000</v>
      </c>
    </row>
    <row r="56" spans="1:6" x14ac:dyDescent="0.25">
      <c r="A56" s="1" t="s">
        <v>186</v>
      </c>
      <c r="B56" s="2">
        <f>+'Cash Flow'!I9</f>
        <v>947099</v>
      </c>
      <c r="C56" s="2">
        <f>+'Cash Flow'!J9</f>
        <v>1636003</v>
      </c>
      <c r="D56" s="2">
        <f>+'Cash Flow'!K9</f>
        <v>1901000</v>
      </c>
      <c r="E56" s="2">
        <f>+'Cash Flow'!L9</f>
        <v>2154000</v>
      </c>
      <c r="F56" s="2">
        <f>+'Cash Flow'!M9</f>
        <v>2322000</v>
      </c>
    </row>
    <row r="57" spans="1:6" x14ac:dyDescent="0.25">
      <c r="A57" s="1" t="s">
        <v>187</v>
      </c>
      <c r="B57" s="2">
        <f>+'Cash Flow'!I10</f>
        <v>334225</v>
      </c>
      <c r="C57" s="2">
        <f>+'Cash Flow'!J10</f>
        <v>466760</v>
      </c>
      <c r="D57" s="2">
        <f>+'Cash Flow'!K10</f>
        <v>749000</v>
      </c>
      <c r="E57" s="2">
        <f>+'Cash Flow'!L10</f>
        <v>898000</v>
      </c>
      <c r="F57" s="2">
        <f>+'Cash Flow'!M10</f>
        <v>1734000</v>
      </c>
    </row>
    <row r="58" spans="1:6" x14ac:dyDescent="0.25">
      <c r="A58" s="1" t="s">
        <v>188</v>
      </c>
      <c r="B58" s="2">
        <f>+'Cash Flow'!I11+'Cash Flow'!I12+'Cash Flow'!I14</f>
        <v>194843</v>
      </c>
      <c r="C58" s="2">
        <f>+'Cash Flow'!J11+'Cash Flow'!J12+'Cash Flow'!J14</f>
        <v>328472</v>
      </c>
      <c r="D58" s="2">
        <f>+'Cash Flow'!K11+'Cash Flow'!K12+'Cash Flow'!K14</f>
        <v>406000</v>
      </c>
      <c r="E58" s="2">
        <f>+'Cash Flow'!L11+'Cash Flow'!L12+'Cash Flow'!L14</f>
        <v>527000</v>
      </c>
      <c r="F58" s="2">
        <f>+'Cash Flow'!M11+'Cash Flow'!M12+'Cash Flow'!M14</f>
        <v>499000</v>
      </c>
    </row>
    <row r="59" spans="1:6" x14ac:dyDescent="0.25">
      <c r="A59" s="1" t="s">
        <v>189</v>
      </c>
      <c r="B59" s="2">
        <f>+'Income Statement'!I31</f>
        <v>-198810</v>
      </c>
      <c r="C59" s="2">
        <f>+'Income Statement'!J31</f>
        <v>-471259</v>
      </c>
      <c r="D59" s="2">
        <f>+'Income Statement'!K31</f>
        <v>-663000</v>
      </c>
      <c r="E59" s="2">
        <f>+'Income Statement'!L31</f>
        <v>-685000</v>
      </c>
      <c r="F59" s="2">
        <f>+'Income Statement'!M31</f>
        <v>-748000</v>
      </c>
    </row>
    <row r="60" spans="1:6" x14ac:dyDescent="0.25">
      <c r="A60" s="1" t="s">
        <v>190</v>
      </c>
      <c r="B60" s="2"/>
      <c r="C60" s="2"/>
      <c r="D60" s="2"/>
      <c r="E60" s="2"/>
      <c r="F60" s="2"/>
    </row>
    <row r="62" spans="1:6" ht="15.75" x14ac:dyDescent="0.25">
      <c r="A62" s="8" t="s">
        <v>165</v>
      </c>
    </row>
    <row r="63" spans="1:6" x14ac:dyDescent="0.25">
      <c r="A63" s="1" t="s">
        <v>166</v>
      </c>
      <c r="B63" s="21">
        <f>+('Balance Sheet'!H13-'Balance Sheet'!H11)/'Balance Sheet'!H37</f>
        <v>0.71946771969476597</v>
      </c>
      <c r="C63" s="21">
        <f>+('Balance Sheet'!I13-'Balance Sheet'!I11)/'Balance Sheet'!I37</f>
        <v>0.56119455299055199</v>
      </c>
      <c r="D63" s="21">
        <f>+('Balance Sheet'!J13-'Balance Sheet'!J11)/'Balance Sheet'!J37</f>
        <v>0.519763834684279</v>
      </c>
      <c r="E63" s="21">
        <f>+('Balance Sheet'!K13-'Balance Sheet'!K11)/'Balance Sheet'!K37</f>
        <v>0.80163119902503044</v>
      </c>
      <c r="F63" s="21">
        <f>+('Balance Sheet'!L13-'Balance Sheet'!L11)/'Balance Sheet'!L37</f>
        <v>1.5873104997192589</v>
      </c>
    </row>
    <row r="64" spans="1:6" x14ac:dyDescent="0.25">
      <c r="A64" s="1" t="s">
        <v>167</v>
      </c>
      <c r="B64" s="21">
        <f>+'Balance Sheet'!H13/'Balance Sheet'!H37</f>
        <v>1.0742733187975642</v>
      </c>
      <c r="C64" s="21">
        <f>+'Balance Sheet'!I13/'Balance Sheet'!I37</f>
        <v>0.8561306219029613</v>
      </c>
      <c r="D64" s="21">
        <f>+'Balance Sheet'!J13/'Balance Sheet'!J37</f>
        <v>0.83128189732812974</v>
      </c>
      <c r="E64" s="21">
        <f>+'Balance Sheet'!K13/'Balance Sheet'!K37</f>
        <v>1.1346207931002157</v>
      </c>
      <c r="F64" s="21">
        <f>+'Balance Sheet'!L13/'Balance Sheet'!L37</f>
        <v>1.8751403705783267</v>
      </c>
    </row>
    <row r="65" spans="1:6" x14ac:dyDescent="0.25">
      <c r="A65" s="1" t="s">
        <v>168</v>
      </c>
      <c r="B65" s="21">
        <f>+'Income Statement'!I12/'Balance Sheet'!H24</f>
        <v>0.30886465435431826</v>
      </c>
      <c r="C65" s="21">
        <f>+'Income Statement'!J12/'Balance Sheet'!I24</f>
        <v>0.4103506665347077</v>
      </c>
      <c r="D65" s="21">
        <f>+'Income Statement'!K12/'Balance Sheet'!J24</f>
        <v>0.72162071284465368</v>
      </c>
      <c r="E65" s="21">
        <f>+'Income Statement'!L12/'Balance Sheet'!K24</f>
        <v>0.71637179748753976</v>
      </c>
      <c r="F65" s="21">
        <f>+'Income Statement'!M12/'Balance Sheet'!L24</f>
        <v>0.60474035437600671</v>
      </c>
    </row>
    <row r="66" spans="1:6" x14ac:dyDescent="0.25">
      <c r="A66" s="1" t="s">
        <v>169</v>
      </c>
      <c r="B66" s="21">
        <f>+'Income Statement'!I12/('Balance Sheet'!H24-'Balance Sheet'!H47)</f>
        <v>1.1836725928653957</v>
      </c>
      <c r="C66" s="21">
        <f>+'Income Statement'!J12/('Balance Sheet'!I24-'Balance Sheet'!I47)</f>
        <v>2.0877011046106166</v>
      </c>
      <c r="D66" s="21">
        <f>+'Income Statement'!K12/('Balance Sheet'!J24-'Balance Sheet'!J47)</f>
        <v>3.3994931094566767</v>
      </c>
      <c r="E66" s="21">
        <f>+'Income Statement'!L12/('Balance Sheet'!K24-'Balance Sheet'!K47)</f>
        <v>3.0305795314426636</v>
      </c>
      <c r="F66" s="21">
        <f>+'Income Statement'!M12/('Balance Sheet'!L24-'Balance Sheet'!L47)</f>
        <v>1.3289506953223766</v>
      </c>
    </row>
    <row r="68" spans="1:6" ht="15.75" x14ac:dyDescent="0.25">
      <c r="A68" s="8" t="s">
        <v>170</v>
      </c>
    </row>
    <row r="69" spans="1:6" x14ac:dyDescent="0.25">
      <c r="A69" s="1" t="s">
        <v>171</v>
      </c>
      <c r="B69" s="21">
        <f>+'Income Statement'!I20/'Balance Sheet'!H11</f>
        <v>2.6123313989089962</v>
      </c>
      <c r="C69" s="21">
        <f>+'Income Statement'!J20/'Balance Sheet'!I11</f>
        <v>4.2129923213095255</v>
      </c>
      <c r="D69" s="21">
        <f>+'Income Statement'!K20/'Balance Sheet'!J11</f>
        <v>5.5955669771924192</v>
      </c>
      <c r="E69" s="21">
        <f>+'Income Statement'!L20/'Balance Sheet'!K11</f>
        <v>5.7739301801801801</v>
      </c>
      <c r="F69" s="21">
        <f>+'Income Statement'!M20/'Balance Sheet'!L11</f>
        <v>6.0731528895391369</v>
      </c>
    </row>
    <row r="70" spans="1:6" x14ac:dyDescent="0.25">
      <c r="A70" s="1" t="s">
        <v>172</v>
      </c>
      <c r="B70" s="21">
        <f>+'Balance Sheet'!H11/'Income Statement'!I20*365</f>
        <v>139.72193579744024</v>
      </c>
      <c r="C70" s="21">
        <f>+'Balance Sheet'!I11/'Income Statement'!J20*365</f>
        <v>86.636758902647827</v>
      </c>
      <c r="D70" s="21">
        <f>+'Balance Sheet'!J11/'Income Statement'!K20*365</f>
        <v>65.230208393133935</v>
      </c>
      <c r="E70" s="21">
        <f>+'Balance Sheet'!K11/'Income Statement'!L20*365</f>
        <v>63.215173826125117</v>
      </c>
      <c r="F70" s="21">
        <f>+'Balance Sheet'!L11/'Income Statement'!M20*365</f>
        <v>60.100578173933989</v>
      </c>
    </row>
    <row r="71" spans="1:6" x14ac:dyDescent="0.25">
      <c r="B71" s="22"/>
      <c r="C71" s="22"/>
      <c r="D71" s="22"/>
      <c r="E71" s="22"/>
      <c r="F71" s="22"/>
    </row>
    <row r="72" spans="1:6" x14ac:dyDescent="0.25">
      <c r="A72" s="1" t="s">
        <v>206</v>
      </c>
      <c r="B72" s="21">
        <f>+'Income Statement'!I12/'Balance Sheet'!H10</f>
        <v>14.024329749850743</v>
      </c>
      <c r="C72" s="21">
        <f>+'Income Statement'!J12/'Balance Sheet'!I10</f>
        <v>22.815647064986873</v>
      </c>
      <c r="D72" s="21">
        <f>+'Income Statement'!K12/'Balance Sheet'!J10</f>
        <v>22.614330874604846</v>
      </c>
      <c r="E72" s="21">
        <f>+'Income Statement'!L12/'Balance Sheet'!K10</f>
        <v>18.563444108761328</v>
      </c>
      <c r="F72" s="21">
        <f>+'Income Statement'!M12/'Balance Sheet'!L10</f>
        <v>16.721102863202546</v>
      </c>
    </row>
    <row r="73" spans="1:6" x14ac:dyDescent="0.25">
      <c r="A73" s="1" t="s">
        <v>173</v>
      </c>
      <c r="B73" s="21">
        <f>+'Balance Sheet'!H10/'Income Statement'!I12*365</f>
        <v>26.026199220243274</v>
      </c>
      <c r="C73" s="21">
        <f>+'Balance Sheet'!I10/'Income Statement'!J12*365</f>
        <v>15.997793047918099</v>
      </c>
      <c r="D73" s="21">
        <f>+'Balance Sheet'!J10/'Income Statement'!K12*365</f>
        <v>16.140207818834163</v>
      </c>
      <c r="E73" s="21">
        <f>+'Balance Sheet'!K10/'Income Statement'!L12*365</f>
        <v>19.662299617544146</v>
      </c>
      <c r="F73" s="21">
        <f>+'Balance Sheet'!L10/'Income Statement'!M12*365</f>
        <v>21.828703703703702</v>
      </c>
    </row>
    <row r="74" spans="1:6" x14ac:dyDescent="0.25">
      <c r="A74" s="1" t="s">
        <v>207</v>
      </c>
      <c r="B74" s="21">
        <f>+'Income Statement'!I20/'Balance Sheet'!H28</f>
        <v>2.9031639898276715</v>
      </c>
      <c r="C74" s="21">
        <f>+'Income Statement'!J20/'Balance Sheet'!I28</f>
        <v>3.9896512917058886</v>
      </c>
      <c r="D74" s="21">
        <f>+'Income Statement'!K20/'Balance Sheet'!J28</f>
        <v>5.1157121879588843</v>
      </c>
      <c r="E74" s="21">
        <f>+'Income Statement'!L20/'Balance Sheet'!K28</f>
        <v>5.4386104481569877</v>
      </c>
      <c r="F74" s="21">
        <f>+'Income Statement'!M20/'Balance Sheet'!L28</f>
        <v>4.1160138820029744</v>
      </c>
    </row>
    <row r="75" spans="1:6" x14ac:dyDescent="0.25">
      <c r="A75" s="1" t="s">
        <v>174</v>
      </c>
      <c r="B75" s="21">
        <f>+'Balance Sheet'!H28/'Income Statement'!I20*365</f>
        <v>125.72489920614716</v>
      </c>
      <c r="C75" s="21">
        <f>+'Balance Sheet'!I28/'Income Statement'!J20*365</f>
        <v>91.486692272781028</v>
      </c>
      <c r="D75" s="21">
        <f>+'Balance Sheet'!J28/'Income Statement'!K20*365</f>
        <v>71.348814512888225</v>
      </c>
      <c r="E75" s="21">
        <f>+'Balance Sheet'!K28/'Income Statement'!L20*365</f>
        <v>67.112730996148031</v>
      </c>
      <c r="F75" s="21">
        <f>+'Balance Sheet'!L28/'Income Statement'!M20*365</f>
        <v>88.678029390508314</v>
      </c>
    </row>
    <row r="76" spans="1:6" x14ac:dyDescent="0.25">
      <c r="A76" s="1" t="s">
        <v>175</v>
      </c>
      <c r="B76" s="21">
        <f>+B70+B73-B75</f>
        <v>40.023235811536367</v>
      </c>
      <c r="C76" s="21">
        <f t="shared" ref="C76:F76" si="19">+C70+C73-C75</f>
        <v>11.147859677784894</v>
      </c>
      <c r="D76" s="21">
        <f t="shared" si="19"/>
        <v>10.021601699079866</v>
      </c>
      <c r="E76" s="21">
        <f t="shared" si="19"/>
        <v>15.764742447521229</v>
      </c>
      <c r="F76" s="21">
        <f t="shared" si="19"/>
        <v>-6.7487475128706222</v>
      </c>
    </row>
    <row r="77" spans="1:6" x14ac:dyDescent="0.25">
      <c r="A77" s="1" t="s">
        <v>176</v>
      </c>
      <c r="B77" s="21">
        <f>+'Income Statement'!I12/'Balance Sheet'!H16</f>
        <v>1.170012085996941</v>
      </c>
      <c r="C77" s="21">
        <f>+'Income Statement'!J12/'Balance Sheet'!I16</f>
        <v>1.1726477388930185</v>
      </c>
      <c r="D77" s="21">
        <f>+'Income Statement'!K12/'Balance Sheet'!J16</f>
        <v>1.8941747572815535</v>
      </c>
      <c r="E77" s="21">
        <f>+'Income Statement'!L12/'Balance Sheet'!K16</f>
        <v>2.3641785302039247</v>
      </c>
      <c r="F77" s="21">
        <f>+'Income Statement'!M12/'Balance Sheet'!L16</f>
        <v>2.4739938809131559</v>
      </c>
    </row>
    <row r="78" spans="1:6" x14ac:dyDescent="0.25">
      <c r="A78" s="1" t="s">
        <v>191</v>
      </c>
      <c r="B78" s="21">
        <f>+'Income Statement'!I12/('Balance Sheet'!H10+'Balance Sheet'!H11-'Balance Sheet'!H28)</f>
        <v>9.9116211566643777</v>
      </c>
      <c r="C78" s="21">
        <f>+'Income Statement'!J12/('Balance Sheet'!I10+'Balance Sheet'!I11-'Balance Sheet'!I28)</f>
        <v>30.253972542118209</v>
      </c>
      <c r="D78" s="21">
        <f>+'Income Statement'!K12/('Balance Sheet'!J10+'Balance Sheet'!J11-'Balance Sheet'!J28)</f>
        <v>32.665144596651444</v>
      </c>
      <c r="E78" s="21">
        <f>+'Income Statement'!L12/('Balance Sheet'!K10+'Balance Sheet'!K11-'Balance Sheet'!K28)</f>
        <v>22.242533936651583</v>
      </c>
      <c r="F78" s="21">
        <f>+'Income Statement'!M12/('Balance Sheet'!L10+'Balance Sheet'!L11-'Balance Sheet'!L28)</f>
        <v>-492.75</v>
      </c>
    </row>
    <row r="79" spans="1:6" x14ac:dyDescent="0.25">
      <c r="A79" s="1" t="s">
        <v>192</v>
      </c>
      <c r="B79" s="21">
        <f>+'Income Statement'!I12/'Balance Sheet'!H8</f>
        <v>2.0629786020105998</v>
      </c>
      <c r="C79" s="21">
        <f>+'Income Statement'!J12/'Balance Sheet'!I8</f>
        <v>3.4914047686490806</v>
      </c>
      <c r="D79" s="21">
        <f>+'Income Statement'!K12/'Balance Sheet'!J8</f>
        <v>5.8223005968529575</v>
      </c>
      <c r="E79" s="21">
        <f>+'Income Statement'!L12/'Balance Sheet'!K8</f>
        <v>3.9211869814932991</v>
      </c>
      <c r="F79" s="21">
        <f>+'Income Statement'!M12/'Balance Sheet'!L8</f>
        <v>1.6269087907552622</v>
      </c>
    </row>
    <row r="81" spans="1:6" ht="15.75" x14ac:dyDescent="0.25">
      <c r="A81" s="8" t="s">
        <v>183</v>
      </c>
    </row>
    <row r="82" spans="1:6" x14ac:dyDescent="0.25">
      <c r="A82" s="1" t="s">
        <v>177</v>
      </c>
      <c r="B82" s="20">
        <f>+('Balance Sheet'!H35+'Balance Sheet'!H40)/'Balance Sheet'!H61</f>
        <v>1.4400143406851085</v>
      </c>
      <c r="C82" s="20">
        <f>+('Balance Sheet'!I35+'Balance Sheet'!I40)/'Balance Sheet'!I61</f>
        <v>2.4101170053539542</v>
      </c>
      <c r="D82" s="20">
        <f>+('Balance Sheet'!J35+'Balance Sheet'!J40)/'Balance Sheet'!J61</f>
        <v>2.4318504976640258</v>
      </c>
      <c r="E82" s="20">
        <f>+('Balance Sheet'!K35+'Balance Sheet'!K40)/'Balance Sheet'!K61</f>
        <v>2.0273455204713704</v>
      </c>
      <c r="F82" s="20">
        <f>+('Balance Sheet'!L35+'Balance Sheet'!L40)/'Balance Sheet'!L61</f>
        <v>0.52589426321709787</v>
      </c>
    </row>
    <row r="83" spans="1:6" x14ac:dyDescent="0.25">
      <c r="A83" s="1" t="s">
        <v>178</v>
      </c>
      <c r="B83" s="20">
        <f>+('Balance Sheet'!H35+'Balance Sheet'!H40)/('Balance Sheet'!H40+'Balance Sheet'!H35+'Balance Sheet'!H61)</f>
        <v>0.59016634315386052</v>
      </c>
      <c r="C83" s="20">
        <f>+('Balance Sheet'!I35+'Balance Sheet'!I40)/('Balance Sheet'!I40+'Balance Sheet'!I35+'Balance Sheet'!I61)</f>
        <v>0.70675492998334677</v>
      </c>
      <c r="D83" s="20">
        <f>+('Balance Sheet'!J35+'Balance Sheet'!J40)/('Balance Sheet'!J40+'Balance Sheet'!J35+'Balance Sheet'!J61)</f>
        <v>0.7086120153891684</v>
      </c>
      <c r="E83" s="20">
        <f>+('Balance Sheet'!K35+'Balance Sheet'!K40)/('Balance Sheet'!K40+'Balance Sheet'!K35+'Balance Sheet'!K61)</f>
        <v>0.6696776125361813</v>
      </c>
      <c r="F83" s="20">
        <f>+('Balance Sheet'!L35+'Balance Sheet'!L40)/('Balance Sheet'!L40+'Balance Sheet'!L35+'Balance Sheet'!L61)</f>
        <v>0.34464659570076372</v>
      </c>
    </row>
    <row r="84" spans="1:6" x14ac:dyDescent="0.25">
      <c r="A84" s="1" t="s">
        <v>179</v>
      </c>
      <c r="B84" s="20">
        <f>+('Balance Sheet'!H35+'Balance Sheet'!H40)/('Balance Sheet'!H61-'Balance Sheet'!H19-'Balance Sheet'!H20)</f>
        <v>1.5637710583567868</v>
      </c>
      <c r="C84" s="20">
        <f>+('Balance Sheet'!I35+'Balance Sheet'!I40)/('Balance Sheet'!I61-'Balance Sheet'!I19-'Balance Sheet'!I20)</f>
        <v>2.6765144726658581</v>
      </c>
      <c r="D84" s="20">
        <f>+('Balance Sheet'!J35+'Balance Sheet'!J40)/('Balance Sheet'!J61-'Balance Sheet'!J19-'Balance Sheet'!J20)</f>
        <v>2.6179750710693197</v>
      </c>
      <c r="E84" s="20">
        <f>+('Balance Sheet'!K35+'Balance Sheet'!K40)/('Balance Sheet'!K61-'Balance Sheet'!K19-'Balance Sheet'!K20)</f>
        <v>2.2063465965143045</v>
      </c>
      <c r="F84" s="20">
        <f>+('Balance Sheet'!L35+'Balance Sheet'!L40)/('Balance Sheet'!L61-'Balance Sheet'!L19-'Balance Sheet'!L20)</f>
        <v>0.53849343469246713</v>
      </c>
    </row>
    <row r="85" spans="1:6" x14ac:dyDescent="0.25">
      <c r="A85" s="1" t="s">
        <v>180</v>
      </c>
      <c r="B85" s="20">
        <f>+'Balance Sheet'!H47/'Balance Sheet'!H61</f>
        <v>3.5241911746296113</v>
      </c>
      <c r="C85" s="20">
        <f>+'Balance Sheet'!I47/'Balance Sheet'!I61</f>
        <v>5.433482439756804</v>
      </c>
      <c r="D85" s="20">
        <f>+'Balance Sheet'!J47/'Balance Sheet'!J61</f>
        <v>4.7586837294332724</v>
      </c>
      <c r="E85" s="20">
        <f>+'Balance Sheet'!K47/'Balance Sheet'!K61</f>
        <v>3.9581507780631515</v>
      </c>
      <c r="F85" s="20">
        <f>+'Balance Sheet'!L47/'Balance Sheet'!L61</f>
        <v>1.2786501687289089</v>
      </c>
    </row>
    <row r="86" spans="1:6" x14ac:dyDescent="0.25">
      <c r="A86" s="1" t="s">
        <v>181</v>
      </c>
      <c r="B86" s="20">
        <f>+'Balance Sheet'!H24/'Balance Sheet'!H61</f>
        <v>4.7684621066962967</v>
      </c>
      <c r="C86" s="20">
        <f>+'Balance Sheet'!I24/'Balance Sheet'!I61</f>
        <v>6.7627414247286328</v>
      </c>
      <c r="D86" s="20">
        <f>+'Balance Sheet'!J24/'Balance Sheet'!J61</f>
        <v>6.041031891123299</v>
      </c>
      <c r="E86" s="20">
        <f>+'Balance Sheet'!K24/'Balance Sheet'!K61</f>
        <v>5.1834113914488595</v>
      </c>
      <c r="F86" s="20">
        <f>+'Balance Sheet'!L24/'Balance Sheet'!L61</f>
        <v>2.3463667041619796</v>
      </c>
    </row>
    <row r="87" spans="1:6" x14ac:dyDescent="0.25">
      <c r="A87" s="1" t="s">
        <v>182</v>
      </c>
      <c r="B87" s="20">
        <f>+('Balance Sheet'!H35+'Balance Sheet'!H40)/'Income Statement'!I28</f>
        <v>-10.256031408277639</v>
      </c>
      <c r="C87" s="20">
        <f>+('Balance Sheet'!I35+'Balance Sheet'!I40)/'Income Statement'!J28</f>
        <v>-6.2571757860799</v>
      </c>
      <c r="D87" s="20">
        <f>+('Balance Sheet'!J35+'Balance Sheet'!J40)/'Income Statement'!K28</f>
        <v>-30.855670103092784</v>
      </c>
      <c r="E87" s="20">
        <f>+('Balance Sheet'!K35+'Balance Sheet'!K40)/'Income Statement'!L28</f>
        <v>-194.47826086956522</v>
      </c>
      <c r="F87" s="20">
        <f>+('Balance Sheet'!L35+'Balance Sheet'!L40)/'Income Statement'!M28</f>
        <v>5.8615847542627888</v>
      </c>
    </row>
    <row r="88" spans="1:6" x14ac:dyDescent="0.25">
      <c r="A88" s="1" t="s">
        <v>193</v>
      </c>
      <c r="B88" s="20">
        <f>+'Income Statement'!I33/'Income Statement'!I28</f>
        <v>1.1183924236521114</v>
      </c>
      <c r="C88" s="20">
        <f>+'Income Statement'!J33/'Income Statement'!J28</f>
        <v>1.3535022051534049</v>
      </c>
      <c r="D88" s="20">
        <f>+'Income Statement'!K33/'Income Statement'!K28</f>
        <v>2.5902061855670104</v>
      </c>
      <c r="E88" s="20">
        <f>+'Income Statement'!L33/'Income Statement'!L28</f>
        <v>9.6376811594202891</v>
      </c>
      <c r="F88" s="20">
        <f>+'Income Statement'!M33/'Income Statement'!M28</f>
        <v>0.5787362086258776</v>
      </c>
    </row>
    <row r="89" spans="1:6" x14ac:dyDescent="0.25">
      <c r="A89" s="1" t="s">
        <v>194</v>
      </c>
      <c r="B89" s="21">
        <f>+('Balance Sheet'!H13-'Balance Sheet'!H11)/'Balance Sheet'!H37</f>
        <v>0.71946771969476597</v>
      </c>
      <c r="C89" s="21">
        <f>+('Balance Sheet'!I13-'Balance Sheet'!I11)/'Balance Sheet'!I37</f>
        <v>0.56119455299055199</v>
      </c>
      <c r="D89" s="21">
        <f>+('Balance Sheet'!J13-'Balance Sheet'!J11)/'Balance Sheet'!J37</f>
        <v>0.519763834684279</v>
      </c>
      <c r="E89" s="21">
        <f>+('Balance Sheet'!K13-'Balance Sheet'!K11)/'Balance Sheet'!K37</f>
        <v>0.80163119902503044</v>
      </c>
      <c r="F89" s="21">
        <f>+('Balance Sheet'!L13-'Balance Sheet'!L11)/'Balance Sheet'!L37</f>
        <v>1.5873104997192589</v>
      </c>
    </row>
    <row r="91" spans="1:6" ht="15.75" x14ac:dyDescent="0.25">
      <c r="A91" s="8" t="s">
        <v>195</v>
      </c>
    </row>
    <row r="92" spans="1:6" x14ac:dyDescent="0.25">
      <c r="A92" s="1" t="s">
        <v>196</v>
      </c>
      <c r="B92" s="20">
        <f>+'Income Statement'!I35/'Balance Sheet'!H61</f>
        <v>-0.16264684947814087</v>
      </c>
      <c r="C92" s="20">
        <f>+'Income Statement'!J35/'Balance Sheet'!I61</f>
        <v>-0.52878216538021661</v>
      </c>
      <c r="D92" s="20">
        <f>+'Income Statement'!K35/'Balance Sheet'!J61</f>
        <v>-0.215925248832013</v>
      </c>
      <c r="E92" s="20">
        <f>+'Income Statement'!L35/'Balance Sheet'!K61</f>
        <v>-0.11708717328901647</v>
      </c>
      <c r="F92" s="20">
        <f>+'Income Statement'!M35/'Balance Sheet'!L61</f>
        <v>3.8785151856017996E-2</v>
      </c>
    </row>
    <row r="93" spans="1:6" x14ac:dyDescent="0.25">
      <c r="A93" s="1" t="s">
        <v>197</v>
      </c>
      <c r="B93" s="20">
        <f>+'Income Statement'!I35/'Balance Sheet'!H24</f>
        <v>-3.4108869031325172E-2</v>
      </c>
      <c r="C93" s="20">
        <f>+'Income Statement'!J35/'Balance Sheet'!I24</f>
        <v>-7.8190504733283525E-2</v>
      </c>
      <c r="D93" s="20">
        <f>+'Income Statement'!K35/'Balance Sheet'!J24</f>
        <v>-3.5743106926698048E-2</v>
      </c>
      <c r="E93" s="20">
        <f>+'Income Statement'!L35/'Balance Sheet'!K24</f>
        <v>-2.2588825089626629E-2</v>
      </c>
      <c r="F93" s="20">
        <f>+'Income Statement'!M35/'Balance Sheet'!L24</f>
        <v>1.6529876505330981E-2</v>
      </c>
    </row>
  </sheetData>
  <mergeCells count="25">
    <mergeCell ref="B24:F24"/>
    <mergeCell ref="H24:L24"/>
    <mergeCell ref="Q24:U24"/>
    <mergeCell ref="B1:X1"/>
    <mergeCell ref="K3:O3"/>
    <mergeCell ref="E8:I8"/>
    <mergeCell ref="K8:O8"/>
    <mergeCell ref="Q8:U8"/>
    <mergeCell ref="B12:F12"/>
    <mergeCell ref="H12:L12"/>
    <mergeCell ref="N12:R12"/>
    <mergeCell ref="T12:X12"/>
    <mergeCell ref="E16:I16"/>
    <mergeCell ref="B20:F20"/>
    <mergeCell ref="H20:L20"/>
    <mergeCell ref="N20:R20"/>
    <mergeCell ref="T20:X20"/>
    <mergeCell ref="A42:F42"/>
    <mergeCell ref="B28:F28"/>
    <mergeCell ref="H28:L28"/>
    <mergeCell ref="Q28:U28"/>
    <mergeCell ref="B32:F32"/>
    <mergeCell ref="H32:L32"/>
    <mergeCell ref="B37:I37"/>
    <mergeCell ref="K37:R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</vt:lpstr>
      <vt:lpstr>Ratios</vt:lpstr>
      <vt:lpstr>Pyramid 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2015-06-05T18:19:34Z</dcterms:created>
  <dcterms:modified xsi:type="dcterms:W3CDTF">2021-04-12T22:09:37Z</dcterms:modified>
</cp:coreProperties>
</file>