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1267" documentId="8_{1F45B1CF-B245-4091-AB80-945FB70670CA}" xr6:coauthVersionLast="45" xr6:coauthVersionMax="45" xr10:uidLastSave="{EA7BAEC2-086F-44A2-AFA7-7855DC09CA4F}"/>
  <bookViews>
    <workbookView xWindow="-120" yWindow="-120" windowWidth="27870" windowHeight="16440" tabRatio="680" activeTab="2" xr2:uid="{8E23AE88-1329-4286-B46E-1012A5220A03}"/>
  </bookViews>
  <sheets>
    <sheet name="Operational Summary" sheetId="13" r:id="rId1"/>
    <sheet name="Detailed Deliveries" sheetId="1" r:id="rId2"/>
    <sheet name="Three Statement Model" sheetId="9" r:id="rId3"/>
    <sheet name="Production 2020-2030" sheetId="7" r:id="rId4"/>
    <sheet name="Useful Twitter model" sheetId="8" r:id="rId5"/>
    <sheet name="Folha1" sheetId="6" r:id="rId6"/>
    <sheet name="Battery-Revenue Model" sheetId="10" r:id="rId7"/>
    <sheet name="Automotive Capacity Model" sheetId="11" r:id="rId8"/>
    <sheet name="Market Demand Model" sheetId="12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0" i="9" l="1"/>
  <c r="R114" i="9"/>
  <c r="R113" i="9"/>
  <c r="V118" i="9"/>
  <c r="O116" i="9"/>
  <c r="P118" i="9" s="1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S52" i="9"/>
  <c r="R52" i="9"/>
  <c r="Q52" i="9"/>
  <c r="P52" i="9"/>
  <c r="O52" i="9"/>
  <c r="N52" i="9"/>
  <c r="P119" i="9" s="1"/>
  <c r="S119" i="9" s="1"/>
  <c r="M52" i="9"/>
  <c r="L52" i="9"/>
  <c r="K52" i="9"/>
  <c r="J52" i="9"/>
  <c r="I52" i="9"/>
  <c r="H52" i="9"/>
  <c r="G52" i="9"/>
  <c r="F52" i="9"/>
  <c r="E52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S33" i="9"/>
  <c r="R33" i="9"/>
  <c r="Q33" i="9"/>
  <c r="P33" i="9"/>
  <c r="O33" i="9"/>
  <c r="N33" i="9"/>
  <c r="P120" i="9" s="1"/>
  <c r="S120" i="9" s="1"/>
  <c r="M33" i="9"/>
  <c r="L33" i="9"/>
  <c r="K33" i="9"/>
  <c r="J33" i="9"/>
  <c r="I33" i="9"/>
  <c r="H33" i="9"/>
  <c r="G33" i="9"/>
  <c r="F33" i="9"/>
  <c r="E33" i="9"/>
  <c r="D33" i="9"/>
  <c r="D34" i="9"/>
  <c r="D35" i="9"/>
  <c r="D36" i="9"/>
  <c r="D37" i="9"/>
  <c r="D38" i="9"/>
  <c r="D40" i="9"/>
  <c r="D41" i="9"/>
  <c r="D42" i="9"/>
  <c r="D43" i="9"/>
  <c r="D44" i="9"/>
  <c r="D48" i="9"/>
  <c r="D49" i="9"/>
  <c r="D50" i="9"/>
  <c r="D51" i="9"/>
  <c r="D52" i="9"/>
  <c r="D53" i="9"/>
  <c r="D55" i="9"/>
  <c r="D56" i="9"/>
  <c r="D57" i="9"/>
  <c r="D58" i="9"/>
  <c r="C8" i="9"/>
  <c r="C87" i="9" s="1"/>
  <c r="C19" i="9"/>
  <c r="C20" i="9" s="1"/>
  <c r="C90" i="9" s="1"/>
  <c r="C71" i="9"/>
  <c r="C101" i="9" s="1"/>
  <c r="C72" i="9"/>
  <c r="C104" i="9" s="1"/>
  <c r="C75" i="9"/>
  <c r="C105" i="9" s="1"/>
  <c r="C76" i="9"/>
  <c r="C127" i="9" s="1"/>
  <c r="C79" i="9"/>
  <c r="C128" i="9" s="1"/>
  <c r="C86" i="9"/>
  <c r="C88" i="9"/>
  <c r="C89" i="9"/>
  <c r="C93" i="9"/>
  <c r="C94" i="9"/>
  <c r="C95" i="9"/>
  <c r="D65" i="9"/>
  <c r="D64" i="9"/>
  <c r="D63" i="9"/>
  <c r="S71" i="9"/>
  <c r="R71" i="9"/>
  <c r="Q71" i="9"/>
  <c r="P71" i="9"/>
  <c r="O71" i="9"/>
  <c r="N71" i="9"/>
  <c r="N101" i="9" s="1"/>
  <c r="O101" i="9" s="1"/>
  <c r="P101" i="9" s="1"/>
  <c r="Q101" i="9" s="1"/>
  <c r="R101" i="9" s="1"/>
  <c r="S101" i="9" s="1"/>
  <c r="M71" i="9"/>
  <c r="M101" i="9" s="1"/>
  <c r="L71" i="9"/>
  <c r="L101" i="9" s="1"/>
  <c r="K71" i="9"/>
  <c r="K101" i="9" s="1"/>
  <c r="J71" i="9"/>
  <c r="J101" i="9" s="1"/>
  <c r="I71" i="9"/>
  <c r="I101" i="9" s="1"/>
  <c r="H71" i="9"/>
  <c r="H101" i="9" s="1"/>
  <c r="G71" i="9"/>
  <c r="G101" i="9" s="1"/>
  <c r="F71" i="9"/>
  <c r="F101" i="9" s="1"/>
  <c r="E71" i="9"/>
  <c r="E101" i="9" s="1"/>
  <c r="D71" i="9"/>
  <c r="D101" i="9" s="1"/>
  <c r="S79" i="9"/>
  <c r="S128" i="9" s="1"/>
  <c r="R79" i="9"/>
  <c r="R128" i="9" s="1"/>
  <c r="Q79" i="9"/>
  <c r="Q128" i="9" s="1"/>
  <c r="P79" i="9"/>
  <c r="P128" i="9" s="1"/>
  <c r="O79" i="9"/>
  <c r="O128" i="9" s="1"/>
  <c r="S76" i="9"/>
  <c r="S127" i="9" s="1"/>
  <c r="R76" i="9"/>
  <c r="R127" i="9" s="1"/>
  <c r="Q76" i="9"/>
  <c r="Q127" i="9" s="1"/>
  <c r="P76" i="9"/>
  <c r="P127" i="9" s="1"/>
  <c r="O76" i="9"/>
  <c r="O127" i="9" s="1"/>
  <c r="R115" i="9" l="1"/>
  <c r="C100" i="9"/>
  <c r="C102" i="9" s="1"/>
  <c r="P121" i="9"/>
  <c r="C126" i="9"/>
  <c r="C106" i="9"/>
  <c r="C25" i="9"/>
  <c r="C27" i="9" s="1"/>
  <c r="C91" i="9" s="1"/>
  <c r="S75" i="9" l="1"/>
  <c r="R75" i="9"/>
  <c r="Q75" i="9"/>
  <c r="P75" i="9"/>
  <c r="O75" i="9"/>
  <c r="N75" i="9"/>
  <c r="N105" i="9" s="1"/>
  <c r="O105" i="9" s="1"/>
  <c r="P105" i="9" s="1"/>
  <c r="Q105" i="9" s="1"/>
  <c r="R105" i="9" s="1"/>
  <c r="S105" i="9" s="1"/>
  <c r="M75" i="9"/>
  <c r="M105" i="9" s="1"/>
  <c r="L75" i="9"/>
  <c r="L105" i="9" s="1"/>
  <c r="K75" i="9"/>
  <c r="K105" i="9" s="1"/>
  <c r="J75" i="9"/>
  <c r="J105" i="9" s="1"/>
  <c r="I75" i="9"/>
  <c r="I105" i="9" s="1"/>
  <c r="H75" i="9"/>
  <c r="H105" i="9" s="1"/>
  <c r="G75" i="9"/>
  <c r="G105" i="9" s="1"/>
  <c r="F75" i="9"/>
  <c r="F105" i="9" s="1"/>
  <c r="E75" i="9"/>
  <c r="E105" i="9" s="1"/>
  <c r="D75" i="9"/>
  <c r="D105" i="9" s="1"/>
  <c r="S72" i="9"/>
  <c r="R72" i="9"/>
  <c r="Q72" i="9"/>
  <c r="P72" i="9"/>
  <c r="O72" i="9"/>
  <c r="S126" i="9" l="1"/>
  <c r="P126" i="9"/>
  <c r="Q126" i="9"/>
  <c r="O126" i="9"/>
  <c r="R126" i="9"/>
  <c r="N83" i="9"/>
  <c r="M83" i="9"/>
  <c r="L83" i="9"/>
  <c r="N89" i="9"/>
  <c r="M89" i="9"/>
  <c r="L89" i="9"/>
  <c r="K89" i="9"/>
  <c r="J89" i="9"/>
  <c r="I89" i="9"/>
  <c r="H89" i="9"/>
  <c r="G89" i="9"/>
  <c r="F89" i="9"/>
  <c r="E89" i="9"/>
  <c r="D89" i="9"/>
  <c r="N88" i="9"/>
  <c r="M88" i="9"/>
  <c r="L88" i="9"/>
  <c r="K88" i="9"/>
  <c r="J88" i="9"/>
  <c r="I88" i="9"/>
  <c r="H88" i="9"/>
  <c r="G88" i="9"/>
  <c r="F88" i="9"/>
  <c r="E88" i="9"/>
  <c r="D88" i="9"/>
  <c r="N8" i="9"/>
  <c r="M8" i="9"/>
  <c r="L8" i="9"/>
  <c r="K8" i="9"/>
  <c r="J8" i="9"/>
  <c r="I8" i="9"/>
  <c r="H8" i="9"/>
  <c r="G8" i="9"/>
  <c r="F8" i="9"/>
  <c r="E8" i="9"/>
  <c r="D8" i="9"/>
  <c r="M84" i="9" l="1"/>
  <c r="N84" i="9"/>
  <c r="N79" i="9" l="1"/>
  <c r="N128" i="9" s="1"/>
  <c r="M79" i="9"/>
  <c r="M128" i="9" s="1"/>
  <c r="L79" i="9"/>
  <c r="L128" i="9" s="1"/>
  <c r="K79" i="9"/>
  <c r="K128" i="9" s="1"/>
  <c r="J79" i="9"/>
  <c r="J128" i="9" s="1"/>
  <c r="I79" i="9"/>
  <c r="I128" i="9" s="1"/>
  <c r="H79" i="9"/>
  <c r="H128" i="9" s="1"/>
  <c r="N76" i="9"/>
  <c r="N127" i="9" s="1"/>
  <c r="M76" i="9"/>
  <c r="M127" i="9" s="1"/>
  <c r="L76" i="9"/>
  <c r="L127" i="9" s="1"/>
  <c r="K76" i="9"/>
  <c r="K127" i="9" s="1"/>
  <c r="J76" i="9"/>
  <c r="J127" i="9" s="1"/>
  <c r="I76" i="9"/>
  <c r="I127" i="9" s="1"/>
  <c r="H76" i="9"/>
  <c r="H127" i="9" s="1"/>
  <c r="G79" i="9"/>
  <c r="G128" i="9" s="1"/>
  <c r="F79" i="9"/>
  <c r="F128" i="9" s="1"/>
  <c r="G76" i="9"/>
  <c r="G127" i="9" s="1"/>
  <c r="F76" i="9"/>
  <c r="F127" i="9" s="1"/>
  <c r="E79" i="9"/>
  <c r="E128" i="9" s="1"/>
  <c r="D79" i="9"/>
  <c r="D128" i="9" s="1"/>
  <c r="E76" i="9"/>
  <c r="E127" i="9" s="1"/>
  <c r="D76" i="9"/>
  <c r="D127" i="9" s="1"/>
  <c r="D66" i="9" l="1"/>
  <c r="J72" i="9" l="1"/>
  <c r="L72" i="9"/>
  <c r="H72" i="9"/>
  <c r="M72" i="9"/>
  <c r="N72" i="9"/>
  <c r="I72" i="9"/>
  <c r="D72" i="9"/>
  <c r="G72" i="9"/>
  <c r="F72" i="9"/>
  <c r="E72" i="9"/>
  <c r="F126" i="9" l="1"/>
  <c r="F104" i="9"/>
  <c r="F106" i="9" s="1"/>
  <c r="G104" i="9"/>
  <c r="G106" i="9" s="1"/>
  <c r="G126" i="9"/>
  <c r="L126" i="9"/>
  <c r="L104" i="9"/>
  <c r="L106" i="9" s="1"/>
  <c r="K72" i="9"/>
  <c r="E104" i="9"/>
  <c r="E106" i="9" s="1"/>
  <c r="E126" i="9"/>
  <c r="I104" i="9"/>
  <c r="I106" i="9" s="1"/>
  <c r="I126" i="9"/>
  <c r="H104" i="9"/>
  <c r="H106" i="9" s="1"/>
  <c r="H126" i="9"/>
  <c r="N104" i="9"/>
  <c r="N126" i="9"/>
  <c r="D126" i="9"/>
  <c r="D104" i="9"/>
  <c r="D106" i="9" s="1"/>
  <c r="M104" i="9"/>
  <c r="M106" i="9" s="1"/>
  <c r="M126" i="9"/>
  <c r="J126" i="9"/>
  <c r="J104" i="9"/>
  <c r="J106" i="9" s="1"/>
  <c r="N106" i="9" l="1"/>
  <c r="O104" i="9"/>
  <c r="K104" i="9"/>
  <c r="K106" i="9" s="1"/>
  <c r="K126" i="9"/>
  <c r="P104" i="9" l="1"/>
  <c r="O106" i="9"/>
  <c r="O108" i="9" s="1"/>
  <c r="Q104" i="9" l="1"/>
  <c r="P106" i="9"/>
  <c r="P108" i="9" s="1"/>
  <c r="O50" i="13"/>
  <c r="N50" i="13"/>
  <c r="M50" i="13"/>
  <c r="L50" i="13"/>
  <c r="K50" i="13"/>
  <c r="J50" i="13"/>
  <c r="P39" i="1"/>
  <c r="O39" i="1"/>
  <c r="P37" i="1"/>
  <c r="O37" i="1"/>
  <c r="P36" i="1"/>
  <c r="O36" i="1"/>
  <c r="P35" i="1"/>
  <c r="O35" i="1"/>
  <c r="P34" i="1"/>
  <c r="O34" i="1"/>
  <c r="P30" i="1"/>
  <c r="O30" i="1"/>
  <c r="P26" i="1"/>
  <c r="O26" i="1"/>
  <c r="P23" i="1"/>
  <c r="O23" i="1"/>
  <c r="P20" i="1"/>
  <c r="O20" i="1"/>
  <c r="P7" i="1"/>
  <c r="O7" i="1"/>
  <c r="P6" i="1"/>
  <c r="O6" i="1"/>
  <c r="P5" i="1"/>
  <c r="O5" i="1"/>
  <c r="P4" i="1"/>
  <c r="O4" i="1"/>
  <c r="O21" i="13"/>
  <c r="N21" i="13"/>
  <c r="M21" i="13"/>
  <c r="L21" i="13"/>
  <c r="K21" i="13"/>
  <c r="S17" i="13"/>
  <c r="R17" i="13"/>
  <c r="S16" i="13"/>
  <c r="S15" i="13"/>
  <c r="R15" i="13"/>
  <c r="Q15" i="13"/>
  <c r="J21" i="13"/>
  <c r="I21" i="13"/>
  <c r="H21" i="13"/>
  <c r="G21" i="13"/>
  <c r="F21" i="13"/>
  <c r="E15" i="13"/>
  <c r="E21" i="13" s="1"/>
  <c r="D15" i="13"/>
  <c r="D21" i="13" s="1"/>
  <c r="S14" i="13"/>
  <c r="R14" i="13"/>
  <c r="Q14" i="13"/>
  <c r="I11" i="13"/>
  <c r="R104" i="9" l="1"/>
  <c r="Q106" i="9"/>
  <c r="Q108" i="9" s="1"/>
  <c r="Q11" i="13"/>
  <c r="F11" i="13"/>
  <c r="J11" i="13"/>
  <c r="E11" i="13"/>
  <c r="L11" i="13"/>
  <c r="D11" i="13"/>
  <c r="K11" i="13"/>
  <c r="R11" i="13"/>
  <c r="H11" i="13"/>
  <c r="N11" i="13"/>
  <c r="G11" i="13"/>
  <c r="M11" i="13"/>
  <c r="P21" i="13"/>
  <c r="Q21" i="13"/>
  <c r="R21" i="13"/>
  <c r="S21" i="13"/>
  <c r="S11" i="13"/>
  <c r="P11" i="13"/>
  <c r="O11" i="13"/>
  <c r="O13" i="1"/>
  <c r="N95" i="9"/>
  <c r="M95" i="9"/>
  <c r="L95" i="9"/>
  <c r="K95" i="9"/>
  <c r="J95" i="9"/>
  <c r="I95" i="9"/>
  <c r="H95" i="9"/>
  <c r="G95" i="9"/>
  <c r="F95" i="9"/>
  <c r="E95" i="9"/>
  <c r="D95" i="9"/>
  <c r="N94" i="9"/>
  <c r="M94" i="9"/>
  <c r="L94" i="9"/>
  <c r="K94" i="9"/>
  <c r="J94" i="9"/>
  <c r="I94" i="9"/>
  <c r="H94" i="9"/>
  <c r="G94" i="9"/>
  <c r="F94" i="9"/>
  <c r="E94" i="9"/>
  <c r="D94" i="9"/>
  <c r="N93" i="9"/>
  <c r="M93" i="9"/>
  <c r="L93" i="9"/>
  <c r="K93" i="9"/>
  <c r="J93" i="9"/>
  <c r="I93" i="9"/>
  <c r="H93" i="9"/>
  <c r="G93" i="9"/>
  <c r="F93" i="9"/>
  <c r="E93" i="9"/>
  <c r="D93" i="9"/>
  <c r="N87" i="9"/>
  <c r="M87" i="9"/>
  <c r="L87" i="9"/>
  <c r="K87" i="9"/>
  <c r="J87" i="9"/>
  <c r="I87" i="9"/>
  <c r="H87" i="9"/>
  <c r="G87" i="9"/>
  <c r="F87" i="9"/>
  <c r="E87" i="9"/>
  <c r="D87" i="9"/>
  <c r="N86" i="9"/>
  <c r="M86" i="9"/>
  <c r="L86" i="9"/>
  <c r="K86" i="9"/>
  <c r="J86" i="9"/>
  <c r="I86" i="9"/>
  <c r="H86" i="9"/>
  <c r="G86" i="9"/>
  <c r="F86" i="9"/>
  <c r="E86" i="9"/>
  <c r="D86" i="9"/>
  <c r="N85" i="9"/>
  <c r="M85" i="9"/>
  <c r="L85" i="9"/>
  <c r="K85" i="9"/>
  <c r="J85" i="9"/>
  <c r="I85" i="9"/>
  <c r="H85" i="9"/>
  <c r="G85" i="9"/>
  <c r="F85" i="9"/>
  <c r="E85" i="9"/>
  <c r="D85" i="9"/>
  <c r="N19" i="9"/>
  <c r="N20" i="9" s="1"/>
  <c r="N100" i="9" s="1"/>
  <c r="M19" i="9"/>
  <c r="M20" i="9" s="1"/>
  <c r="M100" i="9" s="1"/>
  <c r="M102" i="9" s="1"/>
  <c r="L19" i="9"/>
  <c r="L20" i="9" s="1"/>
  <c r="L100" i="9" s="1"/>
  <c r="L102" i="9" s="1"/>
  <c r="K19" i="9"/>
  <c r="K20" i="9" s="1"/>
  <c r="K100" i="9" s="1"/>
  <c r="K102" i="9" s="1"/>
  <c r="J19" i="9"/>
  <c r="J20" i="9" s="1"/>
  <c r="J100" i="9" s="1"/>
  <c r="J102" i="9" s="1"/>
  <c r="I19" i="9"/>
  <c r="I20" i="9" s="1"/>
  <c r="I100" i="9" s="1"/>
  <c r="I102" i="9" s="1"/>
  <c r="H19" i="9"/>
  <c r="H20" i="9" s="1"/>
  <c r="H100" i="9" s="1"/>
  <c r="H102" i="9" s="1"/>
  <c r="G19" i="9"/>
  <c r="G20" i="9" s="1"/>
  <c r="G100" i="9" s="1"/>
  <c r="G102" i="9" s="1"/>
  <c r="F19" i="9"/>
  <c r="F20" i="9" s="1"/>
  <c r="F100" i="9" s="1"/>
  <c r="F102" i="9" s="1"/>
  <c r="E19" i="9"/>
  <c r="E20" i="9" s="1"/>
  <c r="E100" i="9" s="1"/>
  <c r="E102" i="9" s="1"/>
  <c r="D19" i="9"/>
  <c r="D20" i="9" s="1"/>
  <c r="D100" i="9" s="1"/>
  <c r="D102" i="9" s="1"/>
  <c r="N102" i="9" l="1"/>
  <c r="O100" i="9"/>
  <c r="S104" i="9"/>
  <c r="S106" i="9" s="1"/>
  <c r="R106" i="9"/>
  <c r="R108" i="9" s="1"/>
  <c r="N25" i="9"/>
  <c r="N90" i="9"/>
  <c r="I25" i="9"/>
  <c r="I27" i="9" s="1"/>
  <c r="I91" i="9" s="1"/>
  <c r="I90" i="9"/>
  <c r="J25" i="9"/>
  <c r="J90" i="9"/>
  <c r="E25" i="9"/>
  <c r="E27" i="9" s="1"/>
  <c r="E91" i="9" s="1"/>
  <c r="E90" i="9"/>
  <c r="K25" i="9"/>
  <c r="K90" i="9"/>
  <c r="H25" i="9"/>
  <c r="H27" i="9" s="1"/>
  <c r="H91" i="9" s="1"/>
  <c r="H90" i="9"/>
  <c r="D25" i="9"/>
  <c r="D27" i="9" s="1"/>
  <c r="D91" i="9" s="1"/>
  <c r="D90" i="9"/>
  <c r="F25" i="9"/>
  <c r="F27" i="9" s="1"/>
  <c r="F91" i="9" s="1"/>
  <c r="F90" i="9"/>
  <c r="L25" i="9"/>
  <c r="L90" i="9"/>
  <c r="G90" i="9"/>
  <c r="G25" i="9"/>
  <c r="G27" i="9" s="1"/>
  <c r="G91" i="9" s="1"/>
  <c r="M90" i="9"/>
  <c r="M25" i="9"/>
  <c r="S108" i="9" l="1"/>
  <c r="P100" i="9"/>
  <c r="O102" i="9"/>
  <c r="L27" i="9"/>
  <c r="L91" i="9" s="1"/>
  <c r="L96" i="9"/>
  <c r="N27" i="9"/>
  <c r="N91" i="9" s="1"/>
  <c r="N96" i="9"/>
  <c r="M27" i="9"/>
  <c r="M91" i="9" s="1"/>
  <c r="M96" i="9"/>
  <c r="K27" i="9"/>
  <c r="K91" i="9" s="1"/>
  <c r="K96" i="9"/>
  <c r="J27" i="9"/>
  <c r="J91" i="9" s="1"/>
  <c r="J96" i="9"/>
  <c r="Q100" i="9" l="1"/>
  <c r="P102" i="9"/>
  <c r="P4" i="7"/>
  <c r="P6" i="7" s="1"/>
  <c r="N4" i="7"/>
  <c r="O4" i="7" s="1"/>
  <c r="M4" i="7"/>
  <c r="R100" i="9" l="1"/>
  <c r="Q102" i="9"/>
  <c r="Q4" i="7"/>
  <c r="R4" i="7" s="1"/>
  <c r="I34" i="8"/>
  <c r="I33" i="8"/>
  <c r="I31" i="8"/>
  <c r="I29" i="8"/>
  <c r="I28" i="8"/>
  <c r="I27" i="8"/>
  <c r="I22" i="8"/>
  <c r="I7" i="8"/>
  <c r="I3" i="8"/>
  <c r="F18" i="8"/>
  <c r="G18" i="8" s="1"/>
  <c r="I18" i="8" s="1"/>
  <c r="D12" i="8"/>
  <c r="F4" i="8"/>
  <c r="E4" i="8"/>
  <c r="S100" i="9" l="1"/>
  <c r="S102" i="9" s="1"/>
  <c r="T108" i="9" s="1"/>
  <c r="S118" i="9" s="1"/>
  <c r="R102" i="9"/>
  <c r="S4" i="7"/>
  <c r="R6" i="7"/>
  <c r="E12" i="8"/>
  <c r="F12" i="8" s="1"/>
  <c r="V10" i="7"/>
  <c r="U10" i="7"/>
  <c r="T10" i="7"/>
  <c r="S10" i="7"/>
  <c r="R10" i="7"/>
  <c r="Q10" i="7"/>
  <c r="P10" i="7"/>
  <c r="O10" i="7"/>
  <c r="N10" i="7"/>
  <c r="M10" i="7"/>
  <c r="L5" i="7"/>
  <c r="K5" i="7"/>
  <c r="J5" i="7"/>
  <c r="I5" i="7"/>
  <c r="H5" i="7"/>
  <c r="G5" i="7"/>
  <c r="F5" i="7"/>
  <c r="E5" i="7"/>
  <c r="I6" i="7"/>
  <c r="L6" i="7"/>
  <c r="K6" i="7"/>
  <c r="J6" i="7"/>
  <c r="S121" i="9" l="1"/>
  <c r="V119" i="9" s="1"/>
  <c r="T4" i="7"/>
  <c r="U4" i="7" s="1"/>
  <c r="V4" i="7" s="1"/>
  <c r="S6" i="7"/>
  <c r="G12" i="8"/>
  <c r="I12" i="8" s="1"/>
  <c r="I25" i="8" s="1"/>
  <c r="F13" i="8"/>
  <c r="N6" i="7" l="1"/>
  <c r="E2" i="6"/>
  <c r="G2" i="6" s="1"/>
  <c r="O2" i="6"/>
  <c r="P2" i="6"/>
  <c r="E3" i="6"/>
  <c r="G3" i="6"/>
  <c r="O11" i="6"/>
  <c r="P11" i="6" s="1"/>
  <c r="Q11" i="6" s="1"/>
  <c r="N12" i="6"/>
  <c r="P12" i="6"/>
  <c r="Q12" i="6"/>
  <c r="E19" i="6"/>
  <c r="D20" i="6" s="1"/>
  <c r="E4" i="6" s="1"/>
  <c r="G4" i="6" s="1"/>
  <c r="O6" i="7" l="1"/>
  <c r="G6" i="6"/>
  <c r="I6" i="6" s="1"/>
  <c r="L6" i="6" s="1"/>
  <c r="E6" i="6"/>
  <c r="R9" i="1" l="1"/>
  <c r="S9" i="1"/>
  <c r="S8" i="1"/>
  <c r="S7" i="1"/>
  <c r="R7" i="1"/>
  <c r="Q7" i="1"/>
  <c r="S6" i="1"/>
  <c r="R6" i="1"/>
  <c r="Q6" i="1"/>
  <c r="S5" i="1"/>
  <c r="R5" i="1"/>
  <c r="Q5" i="1"/>
  <c r="S4" i="1"/>
  <c r="R4" i="1"/>
  <c r="Q4" i="1"/>
  <c r="Q6" i="7" l="1"/>
  <c r="T6" i="7" l="1"/>
  <c r="V6" i="7" l="1"/>
  <c r="U6" i="7"/>
  <c r="S39" i="1" l="1"/>
  <c r="R39" i="1"/>
  <c r="Q39" i="1"/>
  <c r="S37" i="1"/>
  <c r="R37" i="1"/>
  <c r="Q37" i="1"/>
  <c r="S36" i="1"/>
  <c r="R36" i="1"/>
  <c r="Q36" i="1"/>
  <c r="S35" i="1"/>
  <c r="R35" i="1"/>
  <c r="Q35" i="1"/>
  <c r="S34" i="1"/>
  <c r="R34" i="1"/>
  <c r="Q34" i="1"/>
  <c r="L39" i="1"/>
  <c r="N39" i="1"/>
  <c r="M39" i="1"/>
  <c r="N37" i="1"/>
  <c r="M37" i="1"/>
  <c r="N36" i="1"/>
  <c r="M36" i="1"/>
  <c r="L36" i="1"/>
  <c r="K36" i="1"/>
  <c r="J36" i="1"/>
  <c r="I36" i="1"/>
  <c r="H36" i="1"/>
  <c r="G36" i="1"/>
  <c r="F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E36" i="1"/>
  <c r="E35" i="1"/>
  <c r="E34" i="1"/>
  <c r="N6" i="1" l="1"/>
  <c r="N7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D7" i="1"/>
  <c r="D6" i="1"/>
  <c r="D5" i="1"/>
  <c r="D4" i="1"/>
  <c r="S30" i="1"/>
  <c r="R30" i="1"/>
  <c r="Q30" i="1"/>
  <c r="N30" i="1"/>
  <c r="M30" i="1"/>
  <c r="L30" i="1"/>
  <c r="K30" i="1"/>
  <c r="J30" i="1"/>
  <c r="I30" i="1"/>
  <c r="H30" i="1"/>
  <c r="G30" i="1"/>
  <c r="F30" i="1"/>
  <c r="E30" i="1"/>
  <c r="S26" i="1"/>
  <c r="R26" i="1"/>
  <c r="Q26" i="1"/>
  <c r="N26" i="1"/>
  <c r="M26" i="1"/>
  <c r="L26" i="1"/>
  <c r="K26" i="1"/>
  <c r="J26" i="1"/>
  <c r="I26" i="1"/>
  <c r="H26" i="1"/>
  <c r="G26" i="1"/>
  <c r="F26" i="1"/>
  <c r="E26" i="1"/>
  <c r="S23" i="1"/>
  <c r="R23" i="1"/>
  <c r="Q23" i="1"/>
  <c r="N23" i="1"/>
  <c r="M23" i="1"/>
  <c r="L23" i="1"/>
  <c r="K23" i="1"/>
  <c r="J23" i="1"/>
  <c r="I23" i="1"/>
  <c r="H23" i="1"/>
  <c r="G23" i="1"/>
  <c r="F23" i="1"/>
  <c r="E23" i="1"/>
  <c r="S20" i="1"/>
  <c r="R20" i="1"/>
  <c r="Q20" i="1"/>
  <c r="N20" i="1"/>
  <c r="M20" i="1"/>
  <c r="L20" i="1"/>
  <c r="K20" i="1"/>
  <c r="J20" i="1"/>
  <c r="I20" i="1"/>
  <c r="H20" i="1"/>
  <c r="G20" i="1"/>
  <c r="F20" i="1"/>
  <c r="E20" i="1"/>
  <c r="D30" i="1"/>
  <c r="D26" i="1"/>
  <c r="D23" i="1"/>
  <c r="D20" i="1"/>
  <c r="S13" i="1"/>
  <c r="R13" i="1"/>
  <c r="Q13" i="1"/>
  <c r="P13" i="1"/>
  <c r="F13" i="1" l="1"/>
  <c r="L13" i="1"/>
  <c r="N13" i="1"/>
  <c r="G13" i="1"/>
  <c r="J13" i="1"/>
  <c r="H13" i="1"/>
  <c r="E13" i="1"/>
  <c r="K13" i="1"/>
  <c r="I13" i="1"/>
  <c r="M13" i="1"/>
  <c r="D13" i="1"/>
  <c r="M31" i="1"/>
  <c r="N31" i="1"/>
  <c r="Q31" i="1"/>
  <c r="R31" i="1"/>
  <c r="P31" i="1"/>
  <c r="S31" i="1"/>
  <c r="L31" i="1"/>
  <c r="K31" i="1"/>
  <c r="J31" i="1"/>
  <c r="I31" i="1"/>
  <c r="H31" i="1"/>
  <c r="G31" i="1"/>
  <c r="F31" i="1"/>
  <c r="E31" i="1"/>
  <c r="D31" i="1"/>
  <c r="O31" i="1" l="1"/>
  <c r="M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Vieira</author>
  </authors>
  <commentList>
    <comment ref="L15" authorId="0" shapeId="0" xr:uid="{16784BD5-6DA9-46AF-81FD-418F1F6F9BBE}">
      <text>
        <r>
          <rPr>
            <b/>
            <sz val="9"/>
            <color indexed="81"/>
            <rFont val="Tahoma"/>
            <family val="2"/>
          </rPr>
          <t>Tiago Vieira:</t>
        </r>
        <r>
          <rPr>
            <sz val="9"/>
            <color indexed="81"/>
            <rFont val="Tahoma"/>
            <family val="2"/>
          </rPr>
          <t xml:space="preserve">
Beginning of Y Production</t>
        </r>
      </text>
    </comment>
    <comment ref="J37" authorId="0" shapeId="0" xr:uid="{0E3AC823-EBC8-4162-BE85-64CF8F1C8076}">
      <text>
        <r>
          <rPr>
            <b/>
            <sz val="9"/>
            <color indexed="81"/>
            <rFont val="Tahoma"/>
            <family val="2"/>
          </rPr>
          <t>Tiago Vieira:</t>
        </r>
        <r>
          <rPr>
            <sz val="9"/>
            <color indexed="81"/>
            <rFont val="Tahoma"/>
            <family val="2"/>
          </rPr>
          <t xml:space="preserve">
Y in Production</t>
        </r>
      </text>
    </comment>
  </commentList>
</comments>
</file>

<file path=xl/sharedStrings.xml><?xml version="1.0" encoding="utf-8"?>
<sst xmlns="http://schemas.openxmlformats.org/spreadsheetml/2006/main" count="348" uniqueCount="212">
  <si>
    <t>Model 3</t>
  </si>
  <si>
    <t>Model Y</t>
  </si>
  <si>
    <t>Q1</t>
  </si>
  <si>
    <t>Q2</t>
  </si>
  <si>
    <t>Q3</t>
  </si>
  <si>
    <t>Q4</t>
  </si>
  <si>
    <t>Model S</t>
  </si>
  <si>
    <t>Model X</t>
  </si>
  <si>
    <t>Cybertruck</t>
  </si>
  <si>
    <t>Semi</t>
  </si>
  <si>
    <t>Roadster</t>
  </si>
  <si>
    <t>Compact</t>
  </si>
  <si>
    <t>European Model</t>
  </si>
  <si>
    <t>Total Vehicles Sold</t>
  </si>
  <si>
    <t>NUMBER OF VEHICLES SOLD</t>
  </si>
  <si>
    <t>Fremont Model S</t>
  </si>
  <si>
    <t>Fremont Model X</t>
  </si>
  <si>
    <t>Fremont Model 3</t>
  </si>
  <si>
    <t>Fremont Model Y</t>
  </si>
  <si>
    <t>Total Fremont</t>
  </si>
  <si>
    <t>Shanghai Model 3</t>
  </si>
  <si>
    <t>Shanghai Model Y</t>
  </si>
  <si>
    <t>Total Shanghai</t>
  </si>
  <si>
    <t>Berlin Model 3</t>
  </si>
  <si>
    <t>Berlin Model Y</t>
  </si>
  <si>
    <t>Total Berlin</t>
  </si>
  <si>
    <t>Texas Model Y</t>
  </si>
  <si>
    <t>Texas Cybertruck</t>
  </si>
  <si>
    <t>Texas Semi</t>
  </si>
  <si>
    <t>Total Texas</t>
  </si>
  <si>
    <t>All Sites and Models</t>
  </si>
  <si>
    <t>Automotive Revenue</t>
  </si>
  <si>
    <t>Total Operating Expenses</t>
  </si>
  <si>
    <t>Solar Deployed (MW)</t>
  </si>
  <si>
    <t>Storage Deployed (MWh)</t>
  </si>
  <si>
    <t>Fremont</t>
  </si>
  <si>
    <t>Shanghai</t>
  </si>
  <si>
    <t>Berlin</t>
  </si>
  <si>
    <t>Texas</t>
  </si>
  <si>
    <t>Installed Annual Capacity</t>
  </si>
  <si>
    <t>Model S/X</t>
  </si>
  <si>
    <t>Model 3/Y</t>
  </si>
  <si>
    <t>United States</t>
  </si>
  <si>
    <t>Tesla Semi</t>
  </si>
  <si>
    <t>Regulatory Credits</t>
  </si>
  <si>
    <t>Automotive Revenue Excl. Reg. Credits</t>
  </si>
  <si>
    <t>Gross Profit</t>
  </si>
  <si>
    <t>Total Gross Margin</t>
  </si>
  <si>
    <t>ASP</t>
  </si>
  <si>
    <t>ICannotEnough Estimates</t>
  </si>
  <si>
    <t>energia</t>
  </si>
  <si>
    <t>rev/mwh</t>
  </si>
  <si>
    <t>revenue ($M)</t>
  </si>
  <si>
    <t>mwh</t>
  </si>
  <si>
    <t>kwh</t>
  </si>
  <si>
    <t>twh</t>
  </si>
  <si>
    <t>gwh</t>
  </si>
  <si>
    <t>FSD</t>
  </si>
  <si>
    <t>carros</t>
  </si>
  <si>
    <t>kwh total</t>
  </si>
  <si>
    <t>kwh unit</t>
  </si>
  <si>
    <t>por ação</t>
  </si>
  <si>
    <t>nr ações</t>
  </si>
  <si>
    <t>market cap</t>
  </si>
  <si>
    <t>PE</t>
  </si>
  <si>
    <t>earnings</t>
  </si>
  <si>
    <t>profit %</t>
  </si>
  <si>
    <t>revenue</t>
  </si>
  <si>
    <t>units</t>
  </si>
  <si>
    <t>Vehicles Produced</t>
  </si>
  <si>
    <t>5 year CAGR (%)</t>
  </si>
  <si>
    <t>% Change</t>
  </si>
  <si>
    <t>Solving the Money Problem</t>
  </si>
  <si>
    <t>Vehicles Sold</t>
  </si>
  <si>
    <t>(With Full Self Driving for 2 users, additional users can be added for additional cost, not included here)</t>
  </si>
  <si>
    <t>Sold/Year</t>
  </si>
  <si>
    <t>Avg Cost</t>
  </si>
  <si>
    <t>Margin</t>
  </si>
  <si>
    <t>Tesla Insurance</t>
  </si>
  <si>
    <t>(Cumulative 50M covers all purchasers that have purchased vehicles over time)</t>
  </si>
  <si>
    <t>Total Owned Vehicles</t>
  </si>
  <si>
    <t>Autonomous Network</t>
  </si>
  <si>
    <t>Total Vehicles</t>
  </si>
  <si>
    <t>Revenues</t>
  </si>
  <si>
    <t>Per Day</t>
  </si>
  <si>
    <t>Costs</t>
  </si>
  <si>
    <t>Total Margin Car</t>
  </si>
  <si>
    <t>(312 Days/Year)</t>
  </si>
  <si>
    <t>Fleet Vehicles</t>
  </si>
  <si>
    <t>Royalty</t>
  </si>
  <si>
    <t>(10 hours of Use Per Day, Revenues of $15/hour, Royalty paid to Tesla = 35% Revenue, 6 Days/Week)</t>
  </si>
  <si>
    <t>(12 hours of Use Per Day, Revenues of $15/hour, Costs = 25% of Revenues, 6 Days/Week)</t>
  </si>
  <si>
    <t>(Owner Profit = $150/day - $38costs - $53royalty = $59/day * 312 = 18k per year (this assumes they use their car as well)</t>
  </si>
  <si>
    <t>Energy, Solar, Storage (I don´t have specific estimates, just a guess)</t>
  </si>
  <si>
    <t>Other Overhead Costs</t>
  </si>
  <si>
    <t>Income Taxes(22%)</t>
  </si>
  <si>
    <t>Net Profit</t>
  </si>
  <si>
    <t>Total Shares Outstanding</t>
  </si>
  <si>
    <t>PE ratio</t>
  </si>
  <si>
    <t>Price per Share</t>
  </si>
  <si>
    <t>Market Capitalization</t>
  </si>
  <si>
    <t>Total $ Margin ($B)</t>
  </si>
  <si>
    <t>Earnings per Share</t>
  </si>
  <si>
    <t>$B</t>
  </si>
  <si>
    <t>Assumptions</t>
  </si>
  <si>
    <t>Revenue Growth (% Change)</t>
  </si>
  <si>
    <t>Cost of Goods Sold (% of Revenue)</t>
  </si>
  <si>
    <t>Income Statement</t>
  </si>
  <si>
    <t>Total Revenue</t>
  </si>
  <si>
    <t>Cost of Revenue</t>
  </si>
  <si>
    <t>Automotive</t>
  </si>
  <si>
    <t>Total Cost of Revenue</t>
  </si>
  <si>
    <t>Operating Expenses</t>
  </si>
  <si>
    <t>Selling, general and administrative</t>
  </si>
  <si>
    <t>Restructuring and other</t>
  </si>
  <si>
    <t>Research and development</t>
  </si>
  <si>
    <t>Interest income</t>
  </si>
  <si>
    <t>Interest expense</t>
  </si>
  <si>
    <t>Other expense, net</t>
  </si>
  <si>
    <t>Provision for income taxes</t>
  </si>
  <si>
    <t>Income (loss) from operations</t>
  </si>
  <si>
    <t>Net Income (loss)</t>
  </si>
  <si>
    <t>Income (loss) before income taxes</t>
  </si>
  <si>
    <t>Research and development (% of Revenue)</t>
  </si>
  <si>
    <t>Selling, general and administrative (% of Revenue)</t>
  </si>
  <si>
    <t>Restructuring and other (% of Revenue)</t>
  </si>
  <si>
    <t>Automotive Gross Margin (%)</t>
  </si>
  <si>
    <t>Operating Margin (%)</t>
  </si>
  <si>
    <t>Profit Margin (%)</t>
  </si>
  <si>
    <t>Discounted Cash Flow Model</t>
  </si>
  <si>
    <t>Cars Delivered Growth</t>
  </si>
  <si>
    <t>Tax Rate</t>
  </si>
  <si>
    <t>Less: CAPEX</t>
  </si>
  <si>
    <t>Free Cash Flow</t>
  </si>
  <si>
    <t>Store and Service Locations</t>
  </si>
  <si>
    <t>Mobile Service Fleet</t>
  </si>
  <si>
    <t>Supercharger Stations</t>
  </si>
  <si>
    <t>Supercharger Connectores</t>
  </si>
  <si>
    <t>DELIVERIES BY SITE AND MODEL</t>
  </si>
  <si>
    <t>DELIVERIES BY SITE AND MODEL (%)</t>
  </si>
  <si>
    <t>NUMBER OF VEHICLES PRODUCED</t>
  </si>
  <si>
    <t>Total Vehicles Produced</t>
  </si>
  <si>
    <t>Construction</t>
  </si>
  <si>
    <t>In Development</t>
  </si>
  <si>
    <t>Total Prod Capacity</t>
  </si>
  <si>
    <t>Automotive Gross Margin Excl Reg Credits (%)</t>
  </si>
  <si>
    <t>Gross Margin (%)</t>
  </si>
  <si>
    <t>Cars Delivered</t>
  </si>
  <si>
    <t>GRAPHS</t>
  </si>
  <si>
    <t>Cash Flow Statement</t>
  </si>
  <si>
    <t>Balance Sheet</t>
  </si>
  <si>
    <t>Operating Cash Flow</t>
  </si>
  <si>
    <t>Depreciation and amortization</t>
  </si>
  <si>
    <t>Net cash in operating activities</t>
  </si>
  <si>
    <t>Purchases of PP&amp;E</t>
  </si>
  <si>
    <t>Investing Cash Flow</t>
  </si>
  <si>
    <t>Net cash in investing activities</t>
  </si>
  <si>
    <t>Financing Cash Flow</t>
  </si>
  <si>
    <t>Net cash in financing activities</t>
  </si>
  <si>
    <t>Useful Ratios</t>
  </si>
  <si>
    <t>EBIT</t>
  </si>
  <si>
    <t>EBITDA</t>
  </si>
  <si>
    <t>Share Price ($)</t>
  </si>
  <si>
    <t>Debt</t>
  </si>
  <si>
    <t>Cash</t>
  </si>
  <si>
    <t>Assets</t>
  </si>
  <si>
    <t>Current assets</t>
  </si>
  <si>
    <t>Cash and cash equivalents</t>
  </si>
  <si>
    <t>Restricted cash and marketable securities</t>
  </si>
  <si>
    <t>Accounts receivable</t>
  </si>
  <si>
    <t>Inventory</t>
  </si>
  <si>
    <t>Prepaid expenses and other current assets</t>
  </si>
  <si>
    <t>Total current assets</t>
  </si>
  <si>
    <t>Operating lease vehicles, net</t>
  </si>
  <si>
    <t>Property, plant and equipment, net</t>
  </si>
  <si>
    <t>Intangible assets, net</t>
  </si>
  <si>
    <t>Goodwill</t>
  </si>
  <si>
    <t>Total assets</t>
  </si>
  <si>
    <t>Liabilities and Stockholders’ Equity</t>
  </si>
  <si>
    <t>Current liabilities</t>
  </si>
  <si>
    <t>Accounts payable</t>
  </si>
  <si>
    <t>Accrued liabilities</t>
  </si>
  <si>
    <t>Deferred revenue</t>
  </si>
  <si>
    <t>Customer deposits</t>
  </si>
  <si>
    <t>Current portion of long-term debt and capital leases</t>
  </si>
  <si>
    <t>Total current liabilities</t>
  </si>
  <si>
    <t>Debt and finance leases, net of current portion</t>
  </si>
  <si>
    <t>Deferred revenue, less current portion</t>
  </si>
  <si>
    <t>Other long-term liabilities</t>
  </si>
  <si>
    <t>Total liabilities</t>
  </si>
  <si>
    <t>Equity</t>
  </si>
  <si>
    <t>Stockholders’ equity:</t>
  </si>
  <si>
    <t>Accumulated deficit</t>
  </si>
  <si>
    <t>Total stockholders’ equity</t>
  </si>
  <si>
    <t>Noncontrolling interests in subsidiaries</t>
  </si>
  <si>
    <t>Total liabilities and stockholders’ equity</t>
  </si>
  <si>
    <t>Market Capitalization ($MM)</t>
  </si>
  <si>
    <t>Shares Outstanding ($MM)</t>
  </si>
  <si>
    <t>Enterprise Value ($MM)</t>
  </si>
  <si>
    <t>(in thousands)</t>
  </si>
  <si>
    <t>Transaction FCF</t>
  </si>
  <si>
    <t>Discount Rate</t>
  </si>
  <si>
    <t>Perpetual Growth Rate</t>
  </si>
  <si>
    <t>EV/EBITDA Multiple</t>
  </si>
  <si>
    <t>Terminal Value</t>
  </si>
  <si>
    <t>Average</t>
  </si>
  <si>
    <t>Summary</t>
  </si>
  <si>
    <t>Current Price</t>
  </si>
  <si>
    <t>Target Price</t>
  </si>
  <si>
    <t>EV/EBITDA ($MM)</t>
  </si>
  <si>
    <t>Perp. Growth ($MM)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</si>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</sst>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8" formatCode="_(* #,##0.00_);_(* \(#,##0.00\);_(* &quot;-&quot;??_);_(@_)"/>
    <numFmt numFmtId="169" formatCode="_-&quot;$&quot;* #,##0.00_-;\-&quot;$&quot;* #,##0.00_-;_-&quot;$&quot;* &quot;-&quot;??_-;_-@_-"/>
    <numFmt numFmtId="170" formatCode="0.000%"/>
    <numFmt numFmtId="171" formatCode="\ #,##0_);\(\ #,##0\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Arial Narrow"/>
      <family val="2"/>
    </font>
    <font>
      <sz val="12"/>
      <color indexed="8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00CCF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4"/>
      <color rgb="FF0070C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8" fillId="0" borderId="0"/>
    <xf numFmtId="0" fontId="13" fillId="0" borderId="0"/>
  </cellStyleXfs>
  <cellXfs count="130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0" xfId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9" fontId="3" fillId="0" borderId="0" xfId="2" applyNumberFormat="1" applyFont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4" fillId="2" borderId="0" xfId="1" applyNumberFormat="1" applyFont="1" applyFill="1" applyBorder="1" applyAlignment="1">
      <alignment vertical="center"/>
    </xf>
    <xf numFmtId="164" fontId="9" fillId="0" borderId="0" xfId="1" applyNumberFormat="1" applyFont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43" fontId="0" fillId="0" borderId="0" xfId="1" applyFont="1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10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3" fillId="4" borderId="0" xfId="0" applyNumberFormat="1" applyFont="1" applyFill="1"/>
    <xf numFmtId="170" fontId="3" fillId="0" borderId="0" xfId="2" applyNumberFormat="1" applyFont="1" applyAlignment="1">
      <alignment vertical="center"/>
    </xf>
    <xf numFmtId="170" fontId="3" fillId="4" borderId="0" xfId="2" applyNumberFormat="1" applyFont="1" applyFill="1"/>
    <xf numFmtId="9" fontId="3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165" fontId="12" fillId="0" borderId="0" xfId="2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71" fontId="4" fillId="0" borderId="0" xfId="1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164" fontId="17" fillId="0" borderId="0" xfId="1" applyNumberFormat="1" applyFont="1" applyAlignment="1">
      <alignment horizontal="center" vertical="center"/>
    </xf>
    <xf numFmtId="165" fontId="15" fillId="0" borderId="0" xfId="2" applyNumberFormat="1" applyFont="1" applyAlignment="1">
      <alignment horizontal="center" vertical="center"/>
    </xf>
    <xf numFmtId="165" fontId="16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5" borderId="0" xfId="0" applyFont="1" applyFill="1" applyBorder="1" applyAlignment="1">
      <alignment vertical="center"/>
    </xf>
    <xf numFmtId="0" fontId="0" fillId="5" borderId="0" xfId="0" applyFill="1"/>
    <xf numFmtId="164" fontId="3" fillId="6" borderId="0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 vertical="center"/>
    </xf>
    <xf numFmtId="164" fontId="9" fillId="6" borderId="0" xfId="1" applyNumberFormat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165" fontId="3" fillId="6" borderId="0" xfId="2" applyNumberFormat="1" applyFont="1" applyFill="1" applyBorder="1" applyAlignment="1">
      <alignment horizontal="center" vertical="center"/>
    </xf>
    <xf numFmtId="165" fontId="3" fillId="6" borderId="1" xfId="2" applyNumberFormat="1" applyFont="1" applyFill="1" applyBorder="1" applyAlignment="1">
      <alignment horizontal="center" vertical="center"/>
    </xf>
    <xf numFmtId="9" fontId="3" fillId="6" borderId="0" xfId="2" applyNumberFormat="1" applyFont="1" applyFill="1" applyBorder="1" applyAlignment="1">
      <alignment horizontal="center" vertical="center"/>
    </xf>
    <xf numFmtId="164" fontId="3" fillId="6" borderId="4" xfId="1" applyNumberFormat="1" applyFont="1" applyFill="1" applyBorder="1" applyAlignment="1">
      <alignment horizontal="center" vertical="center"/>
    </xf>
    <xf numFmtId="164" fontId="3" fillId="6" borderId="0" xfId="1" applyNumberFormat="1" applyFont="1" applyFill="1" applyBorder="1" applyAlignment="1">
      <alignment vertical="center"/>
    </xf>
    <xf numFmtId="164" fontId="20" fillId="2" borderId="0" xfId="1" applyNumberFormat="1" applyFont="1" applyFill="1" applyBorder="1" applyAlignment="1">
      <alignment horizontal="center" vertical="center"/>
    </xf>
    <xf numFmtId="164" fontId="21" fillId="2" borderId="0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2" fillId="0" borderId="0" xfId="0" applyFo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5" fontId="3" fillId="3" borderId="0" xfId="2" applyNumberFormat="1" applyFont="1" applyFill="1" applyAlignment="1">
      <alignment horizontal="center" vertical="center"/>
    </xf>
    <xf numFmtId="165" fontId="16" fillId="3" borderId="0" xfId="2" applyNumberFormat="1" applyFont="1" applyFill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6" fillId="0" borderId="1" xfId="1" applyNumberFormat="1" applyFont="1" applyBorder="1" applyAlignment="1">
      <alignment horizontal="center" vertical="center"/>
    </xf>
    <xf numFmtId="171" fontId="3" fillId="0" borderId="0" xfId="1" applyNumberFormat="1" applyFont="1" applyAlignment="1">
      <alignment horizontal="center" vertical="center"/>
    </xf>
    <xf numFmtId="171" fontId="4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4" fontId="16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3" fontId="4" fillId="0" borderId="0" xfId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3" fontId="3" fillId="0" borderId="0" xfId="1" applyFont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4" fillId="7" borderId="0" xfId="0" applyFont="1" applyFill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171" fontId="24" fillId="7" borderId="0" xfId="1" applyNumberFormat="1" applyFont="1" applyFill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center" vertical="center"/>
    </xf>
    <xf numFmtId="171" fontId="4" fillId="0" borderId="0" xfId="1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</cellXfs>
  <cellStyles count="12">
    <cellStyle name="Comma 2" xfId="7" xr:uid="{81D744B3-C29D-487C-950F-81C0D9A384EB}"/>
    <cellStyle name="Comma 3 2" xfId="4" xr:uid="{0C2426AC-A340-467E-A439-4A1B684F0C2D}"/>
    <cellStyle name="Currency 3" xfId="9" xr:uid="{81818EB5-ECBA-4609-8055-B2A926879DC0}"/>
    <cellStyle name="Normal" xfId="0" builtinId="0"/>
    <cellStyle name="Normal 2" xfId="11" xr:uid="{9BC3985F-4DD5-459B-8B72-F0715EAD5BED}"/>
    <cellStyle name="Normal 2 2" xfId="10" xr:uid="{AF4418F2-F8F7-4448-AD53-F1F09A543EED}"/>
    <cellStyle name="Normal 3" xfId="3" xr:uid="{7EB03BD1-36E2-4436-A1AD-439A25E417A0}"/>
    <cellStyle name="Percent 2" xfId="6" xr:uid="{ADF45E0A-2806-4D76-89E7-06EDB58DEB62}"/>
    <cellStyle name="Percent 2 2" xfId="8" xr:uid="{29209F93-2E2E-4983-83E9-1D45D786D0DE}"/>
    <cellStyle name="Percent 3" xfId="5" xr:uid="{9A074473-F205-408D-A46A-A1A1EB8C1DD6}"/>
    <cellStyle name="Percentagem" xfId="2" builtinId="5"/>
    <cellStyle name="Vírgula" xfId="1" builtinId="3"/>
  </cellStyles>
  <dxfs count="0"/>
  <tableStyles count="0" defaultTableStyle="TableStyleMedium2" defaultPivotStyle="PivotStyleLight16"/>
  <colors>
    <mruColors>
      <color rgb="FF30F103"/>
      <color rgb="FFFC652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solidFill>
                  <a:schemeClr val="tx1"/>
                </a:solidFill>
              </a:rPr>
              <a:t>Revenue &amp; Gross</a:t>
            </a:r>
            <a:r>
              <a:rPr lang="pt-PT" sz="1800" baseline="0">
                <a:solidFill>
                  <a:schemeClr val="tx1"/>
                </a:solidFill>
              </a:rPr>
              <a:t> Margin</a:t>
            </a:r>
            <a:endParaRPr lang="pt-PT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0441296233520478"/>
          <c:y val="3.561490750289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7609133713775346E-2"/>
          <c:y val="0.10399272558503445"/>
          <c:w val="0.85644492774778791"/>
          <c:h val="0.77489660810070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'Three Statement Model'!$A$9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cat>
            <c:numRef>
              <c:f>'Three Statement Model'!$C$2:$S$2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'Three Statement Model'!$C$9:$S$9</c:f>
              <c:numCache>
                <c:formatCode>_-* #\ ##0_-;\-* #\ ##0_-;_-* "-"??_-;_-@_-</c:formatCode>
                <c:ptCount val="17"/>
                <c:pt idx="0">
                  <c:v>111943</c:v>
                </c:pt>
                <c:pt idx="1">
                  <c:v>116744</c:v>
                </c:pt>
                <c:pt idx="2">
                  <c:v>204242</c:v>
                </c:pt>
                <c:pt idx="3">
                  <c:v>413256</c:v>
                </c:pt>
                <c:pt idx="4">
                  <c:v>2013496</c:v>
                </c:pt>
                <c:pt idx="5">
                  <c:v>3198356</c:v>
                </c:pt>
                <c:pt idx="6">
                  <c:v>4046025</c:v>
                </c:pt>
                <c:pt idx="7">
                  <c:v>7000132</c:v>
                </c:pt>
                <c:pt idx="8">
                  <c:v>11758751</c:v>
                </c:pt>
                <c:pt idx="9">
                  <c:v>21461000</c:v>
                </c:pt>
                <c:pt idx="10">
                  <c:v>24578000</c:v>
                </c:pt>
                <c:pt idx="11">
                  <c:v>31536000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0AA-8F10-061E94FE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2932256"/>
        <c:axId val="852932584"/>
      </c:barChart>
      <c:lineChart>
        <c:grouping val="standard"/>
        <c:varyColors val="0"/>
        <c:ser>
          <c:idx val="1"/>
          <c:order val="1"/>
          <c:tx>
            <c:strRef>
              <c:f>'Three Statement Model'!$A$87</c:f>
              <c:strCache>
                <c:ptCount val="1"/>
                <c:pt idx="0">
                  <c:v>Automotive Gross Margin (%)</c:v>
                </c:pt>
              </c:strCache>
            </c:strRef>
          </c:tx>
          <c:spPr>
            <a:ln w="28575" cap="rnd">
              <a:solidFill>
                <a:srgbClr val="30F10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'Three Statement Model'!$C$87:$S$87</c:f>
              <c:numCache>
                <c:formatCode>0.0%</c:formatCode>
                <c:ptCount val="17"/>
                <c:pt idx="0">
                  <c:v>8.5177277721697697E-2</c:v>
                </c:pt>
                <c:pt idx="1">
                  <c:v>0.17610581182142193</c:v>
                </c:pt>
                <c:pt idx="2">
                  <c:v>0.22269936998546125</c:v>
                </c:pt>
                <c:pt idx="3">
                  <c:v>3.6404035271027424E-2</c:v>
                </c:pt>
                <c:pt idx="4">
                  <c:v>0.22720551650677301</c:v>
                </c:pt>
                <c:pt idx="5">
                  <c:v>0.28641821183287597</c:v>
                </c:pt>
                <c:pt idx="6">
                  <c:v>0.24530275946926106</c:v>
                </c:pt>
                <c:pt idx="7">
                  <c:v>0.2520459736667986</c:v>
                </c:pt>
                <c:pt idx="8">
                  <c:v>0.22907657681018123</c:v>
                </c:pt>
                <c:pt idx="9">
                  <c:v>0.23445854712395353</c:v>
                </c:pt>
                <c:pt idx="10">
                  <c:v>0.21242975841698286</c:v>
                </c:pt>
                <c:pt idx="11">
                  <c:v>0.25616830665295931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5-40AA-8F10-061E94FE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958480"/>
        <c:axId val="851883992"/>
      </c:lineChart>
      <c:catAx>
        <c:axId val="8529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2932584"/>
        <c:crosses val="autoZero"/>
        <c:auto val="1"/>
        <c:lblAlgn val="ctr"/>
        <c:lblOffset val="100"/>
        <c:noMultiLvlLbl val="0"/>
      </c:catAx>
      <c:valAx>
        <c:axId val="852932584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29322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8518839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958480"/>
        <c:crosses val="max"/>
        <c:crossBetween val="between"/>
      </c:valAx>
      <c:catAx>
        <c:axId val="86195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51883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42514508995239"/>
          <c:y val="0.64518578292153017"/>
          <c:w val="0.23187505439381678"/>
          <c:h val="0.15025144264913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>
                <a:solidFill>
                  <a:schemeClr val="tx1"/>
                </a:solidFill>
              </a:rPr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'Three Statement Model'!$A$126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30F103"/>
            </a:solidFill>
            <a:ln>
              <a:noFill/>
            </a:ln>
            <a:effectLst/>
          </c:spPr>
          <c:invertIfNegative val="0"/>
          <c:cat>
            <c:numRef>
              <c:f>'Three Statement Model'!$C$2:$S$2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'Three Statement Model'!$C$126:$S$126</c:f>
              <c:numCache>
                <c:formatCode>\ #\ ##0_);\(\ #\ ##0\)</c:formatCode>
                <c:ptCount val="17"/>
                <c:pt idx="0">
                  <c:v>-80825</c:v>
                </c:pt>
                <c:pt idx="1">
                  <c:v>-127817</c:v>
                </c:pt>
                <c:pt idx="2">
                  <c:v>-114365</c:v>
                </c:pt>
                <c:pt idx="3">
                  <c:v>-266081</c:v>
                </c:pt>
                <c:pt idx="4">
                  <c:v>257994</c:v>
                </c:pt>
                <c:pt idx="5">
                  <c:v>-57337</c:v>
                </c:pt>
                <c:pt idx="6">
                  <c:v>-524499</c:v>
                </c:pt>
                <c:pt idx="7">
                  <c:v>-123829</c:v>
                </c:pt>
                <c:pt idx="8">
                  <c:v>-60654</c:v>
                </c:pt>
                <c:pt idx="9">
                  <c:v>2098000</c:v>
                </c:pt>
                <c:pt idx="10">
                  <c:v>2405000</c:v>
                </c:pt>
                <c:pt idx="11">
                  <c:v>5943000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B7B-A594-82A4B6C31290}"/>
            </c:ext>
          </c:extLst>
        </c:ser>
        <c:ser>
          <c:idx val="1"/>
          <c:order val="1"/>
          <c:tx>
            <c:strRef>
              <c:f>'Three Statement Model'!$A$127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FC6522"/>
            </a:solidFill>
            <a:ln>
              <a:noFill/>
            </a:ln>
            <a:effectLst/>
          </c:spPr>
          <c:invertIfNegative val="0"/>
          <c:cat>
            <c:numRef>
              <c:f>'Three Statement Model'!$C$2:$S$2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'Three Statement Model'!$C$127:$S$127</c:f>
              <c:numCache>
                <c:formatCode>\ #\ ##0_);\(\ #\ ##0\)</c:formatCode>
                <c:ptCount val="17"/>
                <c:pt idx="0">
                  <c:v>-14244</c:v>
                </c:pt>
                <c:pt idx="1">
                  <c:v>-180297</c:v>
                </c:pt>
                <c:pt idx="2">
                  <c:v>-175928</c:v>
                </c:pt>
                <c:pt idx="3">
                  <c:v>-206930</c:v>
                </c:pt>
                <c:pt idx="4">
                  <c:v>-249417</c:v>
                </c:pt>
                <c:pt idx="5">
                  <c:v>-990444</c:v>
                </c:pt>
                <c:pt idx="6">
                  <c:v>-1673551</c:v>
                </c:pt>
                <c:pt idx="7">
                  <c:v>-1081085</c:v>
                </c:pt>
                <c:pt idx="8">
                  <c:v>-4195877</c:v>
                </c:pt>
                <c:pt idx="9">
                  <c:v>-2337000</c:v>
                </c:pt>
                <c:pt idx="10">
                  <c:v>-1436000</c:v>
                </c:pt>
                <c:pt idx="11">
                  <c:v>-3132000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5-4B7B-A594-82A4B6C31290}"/>
            </c:ext>
          </c:extLst>
        </c:ser>
        <c:ser>
          <c:idx val="2"/>
          <c:order val="2"/>
          <c:tx>
            <c:strRef>
              <c:f>'Three Statement Model'!$A$128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cat>
            <c:numRef>
              <c:f>'Three Statement Model'!$C$2:$S$2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'Three Statement Model'!$C$128:$S$128</c:f>
              <c:numCache>
                <c:formatCode>\ #\ ##0_);\(\ #\ ##0\)</c:formatCode>
                <c:ptCount val="17"/>
                <c:pt idx="0">
                  <c:v>155419</c:v>
                </c:pt>
                <c:pt idx="1">
                  <c:v>338045</c:v>
                </c:pt>
                <c:pt idx="2">
                  <c:v>446000</c:v>
                </c:pt>
                <c:pt idx="3">
                  <c:v>419635</c:v>
                </c:pt>
                <c:pt idx="4">
                  <c:v>635422</c:v>
                </c:pt>
                <c:pt idx="5">
                  <c:v>2143130</c:v>
                </c:pt>
                <c:pt idx="6">
                  <c:v>1523523</c:v>
                </c:pt>
                <c:pt idx="7">
                  <c:v>3743976</c:v>
                </c:pt>
                <c:pt idx="8">
                  <c:v>4414864</c:v>
                </c:pt>
                <c:pt idx="9">
                  <c:v>574000</c:v>
                </c:pt>
                <c:pt idx="10">
                  <c:v>1529000</c:v>
                </c:pt>
                <c:pt idx="11">
                  <c:v>9973000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5-4B7B-A594-82A4B6C3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6344064"/>
        <c:axId val="811519000"/>
      </c:barChart>
      <c:catAx>
        <c:axId val="8063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1519000"/>
        <c:crosses val="autoZero"/>
        <c:auto val="1"/>
        <c:lblAlgn val="ctr"/>
        <c:lblOffset val="100"/>
        <c:noMultiLvlLbl val="0"/>
      </c:catAx>
      <c:valAx>
        <c:axId val="8115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\ ##0_);\(\ 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63440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249898</xdr:colOff>
      <xdr:row>128</xdr:row>
      <xdr:rowOff>180694</xdr:rowOff>
    </xdr:from>
    <xdr:to>
      <xdr:col>9</xdr:col>
      <xdr:colOff>773206</xdr:colOff>
      <xdr:row>143</xdr:row>
      <xdr:rowOff>175932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6DAD9C-0240-49BE-8951-174A37D0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605119</xdr:colOff>
      <xdr:row>129</xdr:row>
      <xdr:rowOff>12045</xdr:rowOff>
    </xdr:from>
    <xdr:to>
      <xdr:col>15</xdr:col>
      <xdr:colOff>526676</xdr:colOff>
      <xdr:row>143</xdr:row>
      <xdr:rowOff>85443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DEF85-1BB3-465E-9D98-396B5D82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LA%20HISTORIC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Pyramid Ratio Analysis"/>
    </sheetNames>
    <sheetDataSet>
      <sheetData sheetId="0">
        <row r="8">
          <cell r="B8">
            <v>99558</v>
          </cell>
          <cell r="C8">
            <v>255266</v>
          </cell>
          <cell r="D8">
            <v>201890</v>
          </cell>
          <cell r="E8">
            <v>845889</v>
          </cell>
          <cell r="F8">
            <v>1905713</v>
          </cell>
          <cell r="G8">
            <v>1196908</v>
          </cell>
          <cell r="H8">
            <v>3393216</v>
          </cell>
          <cell r="I8">
            <v>3367914</v>
          </cell>
          <cell r="J8">
            <v>3686000</v>
          </cell>
          <cell r="K8">
            <v>6268000</v>
          </cell>
          <cell r="L8">
            <v>19384000</v>
          </cell>
        </row>
        <row r="9">
          <cell r="B9">
            <v>73597</v>
          </cell>
          <cell r="C9">
            <v>48537</v>
          </cell>
          <cell r="D9">
            <v>19094</v>
          </cell>
          <cell r="E9">
            <v>3012</v>
          </cell>
          <cell r="F9">
            <v>17947</v>
          </cell>
          <cell r="G9">
            <v>22628</v>
          </cell>
          <cell r="H9">
            <v>105519</v>
          </cell>
          <cell r="I9">
            <v>155323</v>
          </cell>
          <cell r="J9">
            <v>193000</v>
          </cell>
          <cell r="K9">
            <v>0</v>
          </cell>
          <cell r="L9">
            <v>0</v>
          </cell>
        </row>
        <row r="10">
          <cell r="B10">
            <v>6710</v>
          </cell>
          <cell r="C10">
            <v>9539</v>
          </cell>
          <cell r="D10">
            <v>26842</v>
          </cell>
          <cell r="E10">
            <v>49109</v>
          </cell>
          <cell r="F10">
            <v>226604</v>
          </cell>
          <cell r="G10">
            <v>168965</v>
          </cell>
          <cell r="H10">
            <v>499142</v>
          </cell>
          <cell r="I10">
            <v>515381</v>
          </cell>
          <cell r="J10">
            <v>949000</v>
          </cell>
          <cell r="K10">
            <v>1324000</v>
          </cell>
          <cell r="L10">
            <v>1886000</v>
          </cell>
        </row>
        <row r="11">
          <cell r="B11">
            <v>45182</v>
          </cell>
          <cell r="C11">
            <v>50082</v>
          </cell>
          <cell r="D11">
            <v>268504</v>
          </cell>
          <cell r="E11">
            <v>340355</v>
          </cell>
          <cell r="F11">
            <v>953675</v>
          </cell>
          <cell r="G11">
            <v>1277838</v>
          </cell>
          <cell r="H11">
            <v>2067454</v>
          </cell>
          <cell r="I11">
            <v>2263537</v>
          </cell>
          <cell r="J11">
            <v>3113000</v>
          </cell>
          <cell r="K11">
            <v>3552000</v>
          </cell>
          <cell r="L11">
            <v>4101000</v>
          </cell>
        </row>
        <row r="12">
          <cell r="B12">
            <v>10839</v>
          </cell>
          <cell r="C12">
            <v>9414</v>
          </cell>
          <cell r="D12">
            <v>8438</v>
          </cell>
          <cell r="E12">
            <v>27574</v>
          </cell>
          <cell r="F12">
            <v>76134</v>
          </cell>
          <cell r="G12">
            <v>125229</v>
          </cell>
          <cell r="H12">
            <v>194465</v>
          </cell>
          <cell r="I12">
            <v>268365</v>
          </cell>
          <cell r="J12">
            <v>366000</v>
          </cell>
          <cell r="K12">
            <v>959000</v>
          </cell>
          <cell r="L12">
            <v>1346000</v>
          </cell>
        </row>
        <row r="13">
          <cell r="B13">
            <v>235886</v>
          </cell>
          <cell r="C13">
            <v>372838</v>
          </cell>
          <cell r="D13">
            <v>524768</v>
          </cell>
          <cell r="E13">
            <v>1265939</v>
          </cell>
          <cell r="F13">
            <v>3180073</v>
          </cell>
          <cell r="G13">
            <v>2791568</v>
          </cell>
          <cell r="H13">
            <v>6259796</v>
          </cell>
          <cell r="I13">
            <v>6570520</v>
          </cell>
          <cell r="J13">
            <v>8307000</v>
          </cell>
          <cell r="K13">
            <v>12103000</v>
          </cell>
          <cell r="L13">
            <v>26717000</v>
          </cell>
        </row>
        <row r="15">
          <cell r="B15">
            <v>7963</v>
          </cell>
          <cell r="C15">
            <v>11757</v>
          </cell>
          <cell r="D15">
            <v>10071</v>
          </cell>
          <cell r="E15">
            <v>382425</v>
          </cell>
          <cell r="F15">
            <v>766744</v>
          </cell>
          <cell r="G15">
            <v>1791403</v>
          </cell>
          <cell r="H15">
            <v>3134080</v>
          </cell>
          <cell r="I15">
            <v>4116604</v>
          </cell>
          <cell r="J15">
            <v>2090000</v>
          </cell>
          <cell r="K15">
            <v>2447000</v>
          </cell>
          <cell r="L15">
            <v>3091000</v>
          </cell>
        </row>
        <row r="16">
          <cell r="B16">
            <v>114636</v>
          </cell>
          <cell r="C16">
            <v>298414</v>
          </cell>
          <cell r="D16">
            <v>552229</v>
          </cell>
          <cell r="E16">
            <v>738494</v>
          </cell>
          <cell r="F16">
            <v>1829267</v>
          </cell>
          <cell r="G16">
            <v>3403334</v>
          </cell>
          <cell r="H16">
            <v>5982957</v>
          </cell>
          <cell r="I16">
            <v>10027522</v>
          </cell>
          <cell r="J16">
            <v>11330000</v>
          </cell>
          <cell r="K16">
            <v>10396000</v>
          </cell>
          <cell r="L16">
            <v>12747000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376145</v>
          </cell>
          <cell r="I19">
            <v>361502</v>
          </cell>
          <cell r="J19">
            <v>282000</v>
          </cell>
          <cell r="K19">
            <v>339000</v>
          </cell>
          <cell r="L19">
            <v>313000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60237</v>
          </cell>
          <cell r="J20">
            <v>68000</v>
          </cell>
          <cell r="K20">
            <v>198000</v>
          </cell>
          <cell r="L20">
            <v>207000</v>
          </cell>
        </row>
        <row r="24">
          <cell r="B24">
            <v>386082</v>
          </cell>
          <cell r="C24">
            <v>713448</v>
          </cell>
          <cell r="D24">
            <v>1114190</v>
          </cell>
          <cell r="E24">
            <v>2416930</v>
          </cell>
          <cell r="F24">
            <v>5830667</v>
          </cell>
          <cell r="G24">
            <v>8092460</v>
          </cell>
          <cell r="H24">
            <v>22664076</v>
          </cell>
          <cell r="I24">
            <v>28655372</v>
          </cell>
          <cell r="J24">
            <v>29740000</v>
          </cell>
          <cell r="K24">
            <v>34309000</v>
          </cell>
          <cell r="L24">
            <v>52148000</v>
          </cell>
        </row>
        <row r="28">
          <cell r="B28">
            <v>28951</v>
          </cell>
          <cell r="C28">
            <v>56141</v>
          </cell>
          <cell r="D28">
            <v>303382</v>
          </cell>
          <cell r="E28">
            <v>0</v>
          </cell>
          <cell r="F28">
            <v>777946</v>
          </cell>
          <cell r="G28">
            <v>916148</v>
          </cell>
          <cell r="H28">
            <v>1860341</v>
          </cell>
          <cell r="I28">
            <v>2390250</v>
          </cell>
          <cell r="J28">
            <v>3405000</v>
          </cell>
          <cell r="K28">
            <v>3771000</v>
          </cell>
          <cell r="L28">
            <v>6051000</v>
          </cell>
        </row>
        <row r="29">
          <cell r="B29">
            <v>20945</v>
          </cell>
          <cell r="C29">
            <v>32109</v>
          </cell>
          <cell r="D29">
            <v>39798</v>
          </cell>
          <cell r="E29">
            <v>303969</v>
          </cell>
          <cell r="F29">
            <v>268883</v>
          </cell>
          <cell r="G29">
            <v>422798</v>
          </cell>
          <cell r="H29">
            <v>1210028</v>
          </cell>
          <cell r="I29">
            <v>1731366</v>
          </cell>
          <cell r="J29">
            <v>2094000</v>
          </cell>
          <cell r="K29">
            <v>3222000</v>
          </cell>
          <cell r="L29">
            <v>3855000</v>
          </cell>
        </row>
        <row r="30">
          <cell r="B30">
            <v>4635</v>
          </cell>
          <cell r="C30">
            <v>2345</v>
          </cell>
          <cell r="D30">
            <v>1905</v>
          </cell>
          <cell r="E30">
            <v>108252</v>
          </cell>
          <cell r="F30">
            <v>191651</v>
          </cell>
          <cell r="G30">
            <v>423961</v>
          </cell>
          <cell r="H30">
            <v>763126</v>
          </cell>
          <cell r="I30">
            <v>1015253</v>
          </cell>
          <cell r="J30">
            <v>630000</v>
          </cell>
          <cell r="K30">
            <v>1163000</v>
          </cell>
          <cell r="L30">
            <v>1458000</v>
          </cell>
        </row>
        <row r="31">
          <cell r="B31">
            <v>0</v>
          </cell>
          <cell r="C31">
            <v>0</v>
          </cell>
          <cell r="D31">
            <v>138817</v>
          </cell>
          <cell r="E31">
            <v>7722</v>
          </cell>
          <cell r="F31">
            <v>257587</v>
          </cell>
          <cell r="G31">
            <v>283370</v>
          </cell>
          <cell r="H31">
            <v>663859</v>
          </cell>
          <cell r="I31">
            <v>853919</v>
          </cell>
          <cell r="J31">
            <v>793000</v>
          </cell>
          <cell r="K31">
            <v>726000</v>
          </cell>
          <cell r="L31">
            <v>752000</v>
          </cell>
        </row>
        <row r="35">
          <cell r="C35">
            <v>7916</v>
          </cell>
          <cell r="D35">
            <v>50841</v>
          </cell>
          <cell r="E35">
            <v>182</v>
          </cell>
          <cell r="F35">
            <v>611099</v>
          </cell>
          <cell r="G35">
            <v>633166</v>
          </cell>
          <cell r="H35">
            <v>984211</v>
          </cell>
          <cell r="I35">
            <v>796549</v>
          </cell>
          <cell r="J35">
            <v>2568000</v>
          </cell>
          <cell r="K35">
            <v>1785000</v>
          </cell>
          <cell r="L35">
            <v>2132000</v>
          </cell>
        </row>
        <row r="37">
          <cell r="B37">
            <v>85565</v>
          </cell>
          <cell r="C37">
            <v>191339</v>
          </cell>
          <cell r="D37">
            <v>539108</v>
          </cell>
          <cell r="E37">
            <v>675160</v>
          </cell>
          <cell r="F37">
            <v>2107166</v>
          </cell>
          <cell r="G37">
            <v>2816274</v>
          </cell>
          <cell r="H37">
            <v>5827005</v>
          </cell>
          <cell r="I37">
            <v>7674670</v>
          </cell>
          <cell r="J37">
            <v>9993000</v>
          </cell>
          <cell r="K37">
            <v>10667000</v>
          </cell>
          <cell r="L37">
            <v>14248000</v>
          </cell>
        </row>
        <row r="40">
          <cell r="B40">
            <v>71828</v>
          </cell>
          <cell r="C40">
            <v>268335</v>
          </cell>
          <cell r="D40">
            <v>401495</v>
          </cell>
          <cell r="E40">
            <v>236299</v>
          </cell>
          <cell r="F40">
            <v>1818785</v>
          </cell>
          <cell r="G40">
            <v>2040375</v>
          </cell>
          <cell r="H40">
            <v>5860049</v>
          </cell>
          <cell r="I40">
            <v>9415700</v>
          </cell>
          <cell r="J40">
            <v>9404000</v>
          </cell>
          <cell r="K40">
            <v>11634000</v>
          </cell>
          <cell r="L40">
            <v>9556000</v>
          </cell>
        </row>
        <row r="42">
          <cell r="B42">
            <v>2783</v>
          </cell>
          <cell r="C42">
            <v>3146</v>
          </cell>
          <cell r="D42">
            <v>3060</v>
          </cell>
          <cell r="E42">
            <v>12855</v>
          </cell>
          <cell r="F42">
            <v>292271</v>
          </cell>
          <cell r="G42">
            <v>446105</v>
          </cell>
          <cell r="H42">
            <v>851790</v>
          </cell>
          <cell r="I42">
            <v>1177799</v>
          </cell>
          <cell r="J42">
            <v>991000</v>
          </cell>
          <cell r="K42">
            <v>1207000</v>
          </cell>
          <cell r="L42">
            <v>1284000</v>
          </cell>
        </row>
        <row r="45">
          <cell r="B45">
            <v>12274</v>
          </cell>
          <cell r="C45">
            <v>14915</v>
          </cell>
          <cell r="D45">
            <v>25170</v>
          </cell>
          <cell r="E45">
            <v>58197</v>
          </cell>
          <cell r="F45">
            <v>154660</v>
          </cell>
          <cell r="G45">
            <v>364976</v>
          </cell>
          <cell r="H45">
            <v>1891449</v>
          </cell>
          <cell r="I45">
            <v>2442970</v>
          </cell>
          <cell r="J45">
            <v>2710000</v>
          </cell>
          <cell r="K45">
            <v>2691000</v>
          </cell>
          <cell r="L45">
            <v>3330000</v>
          </cell>
        </row>
        <row r="47">
          <cell r="B47">
            <v>179034</v>
          </cell>
          <cell r="C47">
            <v>489403</v>
          </cell>
          <cell r="D47">
            <v>989490</v>
          </cell>
          <cell r="E47">
            <v>1749810</v>
          </cell>
          <cell r="F47">
            <v>4860761</v>
          </cell>
          <cell r="G47">
            <v>6961471</v>
          </cell>
          <cell r="H47">
            <v>16750167</v>
          </cell>
          <cell r="I47">
            <v>23022980</v>
          </cell>
          <cell r="J47">
            <v>23427000</v>
          </cell>
          <cell r="K47">
            <v>26199000</v>
          </cell>
          <cell r="L47">
            <v>28418000</v>
          </cell>
        </row>
        <row r="60">
          <cell r="B60">
            <v>-414982</v>
          </cell>
          <cell r="C60">
            <v>-669392</v>
          </cell>
          <cell r="D60">
            <v>-1065606</v>
          </cell>
          <cell r="E60">
            <v>-1139620</v>
          </cell>
          <cell r="F60">
            <v>-1433660</v>
          </cell>
          <cell r="G60">
            <v>-2322323</v>
          </cell>
          <cell r="H60">
            <v>-2997237</v>
          </cell>
          <cell r="I60">
            <v>-4974299</v>
          </cell>
          <cell r="J60">
            <v>-5318000</v>
          </cell>
          <cell r="K60">
            <v>-6083000</v>
          </cell>
          <cell r="L60">
            <v>-5399000</v>
          </cell>
        </row>
        <row r="61">
          <cell r="B61">
            <v>207048</v>
          </cell>
          <cell r="C61">
            <v>224045</v>
          </cell>
          <cell r="D61">
            <v>124700</v>
          </cell>
          <cell r="E61">
            <v>667120</v>
          </cell>
          <cell r="F61">
            <v>911710</v>
          </cell>
          <cell r="G61">
            <v>1088944</v>
          </cell>
          <cell r="H61">
            <v>4752911</v>
          </cell>
          <cell r="I61">
            <v>4237242</v>
          </cell>
          <cell r="J61">
            <v>4923000</v>
          </cell>
          <cell r="K61">
            <v>6619000</v>
          </cell>
          <cell r="L61">
            <v>22225000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785175</v>
          </cell>
          <cell r="I62">
            <v>997346</v>
          </cell>
          <cell r="J62">
            <v>834000</v>
          </cell>
          <cell r="K62">
            <v>849000</v>
          </cell>
          <cell r="L62">
            <v>850000</v>
          </cell>
        </row>
        <row r="63">
          <cell r="B63">
            <v>386082</v>
          </cell>
          <cell r="C63">
            <v>713448</v>
          </cell>
          <cell r="D63">
            <v>1114190</v>
          </cell>
          <cell r="E63">
            <v>2416930</v>
          </cell>
          <cell r="F63">
            <v>5830667</v>
          </cell>
          <cell r="G63">
            <v>8092460</v>
          </cell>
          <cell r="H63">
            <v>22664076</v>
          </cell>
          <cell r="I63">
            <v>28655372</v>
          </cell>
          <cell r="J63">
            <v>29740000</v>
          </cell>
          <cell r="K63">
            <v>34310000</v>
          </cell>
          <cell r="L63">
            <v>52148000</v>
          </cell>
        </row>
      </sheetData>
      <sheetData sheetId="1">
        <row r="49">
          <cell r="M49">
            <v>933000000</v>
          </cell>
        </row>
      </sheetData>
      <sheetData sheetId="2">
        <row r="9">
          <cell r="B9">
            <v>6940</v>
          </cell>
          <cell r="C9">
            <v>10623</v>
          </cell>
          <cell r="D9">
            <v>16919</v>
          </cell>
          <cell r="E9">
            <v>28825</v>
          </cell>
          <cell r="F9">
            <v>106083</v>
          </cell>
          <cell r="G9">
            <v>231931</v>
          </cell>
          <cell r="H9">
            <v>422590</v>
          </cell>
          <cell r="I9">
            <v>947099</v>
          </cell>
          <cell r="J9">
            <v>1636003</v>
          </cell>
          <cell r="K9">
            <v>1901000</v>
          </cell>
          <cell r="L9">
            <v>2154000</v>
          </cell>
          <cell r="M9">
            <v>2322000</v>
          </cell>
        </row>
        <row r="37">
          <cell r="B37">
            <v>-80825</v>
          </cell>
          <cell r="C37">
            <v>-127817</v>
          </cell>
          <cell r="D37">
            <v>-114365</v>
          </cell>
          <cell r="E37">
            <v>-266081</v>
          </cell>
          <cell r="F37">
            <v>257994</v>
          </cell>
          <cell r="G37">
            <v>-57337</v>
          </cell>
          <cell r="H37">
            <v>-524499</v>
          </cell>
          <cell r="I37">
            <v>-123829</v>
          </cell>
          <cell r="J37">
            <v>-60654</v>
          </cell>
          <cell r="K37">
            <v>2098000</v>
          </cell>
          <cell r="L37">
            <v>2405000</v>
          </cell>
          <cell r="M37">
            <v>5943000</v>
          </cell>
        </row>
        <row r="40">
          <cell r="B40">
            <v>-11884</v>
          </cell>
          <cell r="C40">
            <v>-40203</v>
          </cell>
          <cell r="D40">
            <v>-197896</v>
          </cell>
          <cell r="E40">
            <v>-239228</v>
          </cell>
          <cell r="F40">
            <v>-264224</v>
          </cell>
          <cell r="G40">
            <v>-969885</v>
          </cell>
          <cell r="H40">
            <v>-1634850</v>
          </cell>
          <cell r="I40">
            <v>-1280802</v>
          </cell>
          <cell r="J40">
            <v>-3414814</v>
          </cell>
          <cell r="K40">
            <v>-2101000</v>
          </cell>
          <cell r="L40">
            <v>-1327000</v>
          </cell>
          <cell r="M40">
            <v>-3157000</v>
          </cell>
        </row>
        <row r="51">
          <cell r="B51">
            <v>-14244</v>
          </cell>
          <cell r="C51">
            <v>-180297</v>
          </cell>
          <cell r="D51">
            <v>-175928</v>
          </cell>
          <cell r="E51">
            <v>-206930</v>
          </cell>
          <cell r="F51">
            <v>-249417</v>
          </cell>
          <cell r="G51">
            <v>-990444</v>
          </cell>
          <cell r="H51">
            <v>-1673551</v>
          </cell>
          <cell r="I51">
            <v>-1081085</v>
          </cell>
          <cell r="J51">
            <v>-4195877</v>
          </cell>
          <cell r="K51">
            <v>-2337000</v>
          </cell>
          <cell r="L51">
            <v>-1436000</v>
          </cell>
          <cell r="M51">
            <v>-3132000</v>
          </cell>
        </row>
        <row r="64">
          <cell r="B64">
            <v>155419</v>
          </cell>
          <cell r="C64">
            <v>338045</v>
          </cell>
          <cell r="D64">
            <v>446000</v>
          </cell>
          <cell r="E64">
            <v>419635</v>
          </cell>
          <cell r="F64">
            <v>635422</v>
          </cell>
          <cell r="G64">
            <v>2143130</v>
          </cell>
          <cell r="H64">
            <v>1523523</v>
          </cell>
          <cell r="I64">
            <v>3743976</v>
          </cell>
          <cell r="J64">
            <v>4414864</v>
          </cell>
          <cell r="K64">
            <v>574000</v>
          </cell>
          <cell r="L64">
            <v>1529000</v>
          </cell>
          <cell r="M64">
            <v>9973000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940F-A9BD-4AA9-9F6F-40437285739B}">
  <sheetPr>
    <tabColor theme="1"/>
  </sheetPr>
  <dimension ref="A1:S51"/>
  <sheetViews>
    <sheetView showGridLines="0" zoomScaleNormal="10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N24" sqref="N24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7" width="9.7109375" style="3" customWidth="1"/>
    <col min="8" max="10" width="11.7109375" style="3" customWidth="1"/>
    <col min="11" max="19" width="11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19">
      <c r="D1" s="94">
        <v>2018</v>
      </c>
      <c r="E1" s="94"/>
      <c r="F1" s="94"/>
      <c r="G1" s="94"/>
      <c r="H1" s="94">
        <v>2019</v>
      </c>
      <c r="I1" s="94"/>
      <c r="J1" s="94"/>
      <c r="K1" s="94"/>
      <c r="L1" s="94">
        <v>2020</v>
      </c>
      <c r="M1" s="94"/>
      <c r="N1" s="94"/>
      <c r="O1" s="94"/>
      <c r="P1" s="94">
        <v>2021</v>
      </c>
      <c r="Q1" s="94"/>
      <c r="R1" s="94"/>
      <c r="S1" s="94"/>
    </row>
    <row r="2" spans="1:19">
      <c r="D2" s="56" t="s">
        <v>2</v>
      </c>
      <c r="E2" s="56" t="s">
        <v>3</v>
      </c>
      <c r="F2" s="56" t="s">
        <v>4</v>
      </c>
      <c r="G2" s="56" t="s">
        <v>5</v>
      </c>
      <c r="H2" s="56" t="s">
        <v>2</v>
      </c>
      <c r="I2" s="56" t="s">
        <v>3</v>
      </c>
      <c r="J2" s="56" t="s">
        <v>4</v>
      </c>
      <c r="K2" s="56" t="s">
        <v>5</v>
      </c>
      <c r="L2" s="56" t="s">
        <v>2</v>
      </c>
      <c r="M2" s="56" t="s">
        <v>3</v>
      </c>
      <c r="N2" s="56" t="s">
        <v>4</v>
      </c>
      <c r="O2" s="56" t="s">
        <v>5</v>
      </c>
      <c r="P2" s="56" t="s">
        <v>2</v>
      </c>
      <c r="Q2" s="56" t="s">
        <v>3</v>
      </c>
      <c r="R2" s="56" t="s">
        <v>4</v>
      </c>
      <c r="S2" s="56" t="s">
        <v>5</v>
      </c>
    </row>
    <row r="3" spans="1:19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>
      <c r="B4" s="1" t="s">
        <v>40</v>
      </c>
      <c r="D4" s="8">
        <v>0</v>
      </c>
      <c r="E4" s="8">
        <v>0</v>
      </c>
      <c r="F4" s="8">
        <v>0</v>
      </c>
      <c r="G4" s="8">
        <v>27607</v>
      </c>
      <c r="H4" s="8">
        <v>12091</v>
      </c>
      <c r="I4" s="8">
        <v>17722</v>
      </c>
      <c r="J4" s="8">
        <v>17483</v>
      </c>
      <c r="K4" s="8">
        <v>19475</v>
      </c>
      <c r="L4" s="8">
        <v>12230</v>
      </c>
      <c r="M4" s="8">
        <v>10614</v>
      </c>
      <c r="N4" s="8">
        <v>15275</v>
      </c>
      <c r="O4" s="8">
        <v>18966</v>
      </c>
      <c r="P4" s="8">
        <v>2020</v>
      </c>
      <c r="Q4" s="8">
        <v>0</v>
      </c>
      <c r="R4" s="8">
        <v>0</v>
      </c>
      <c r="S4" s="8">
        <v>0</v>
      </c>
    </row>
    <row r="5" spans="1:19">
      <c r="B5" s="1" t="s">
        <v>41</v>
      </c>
      <c r="D5" s="8">
        <v>0</v>
      </c>
      <c r="E5" s="8">
        <v>0</v>
      </c>
      <c r="F5" s="8">
        <v>0</v>
      </c>
      <c r="G5" s="8">
        <v>63359</v>
      </c>
      <c r="H5" s="8">
        <v>50928</v>
      </c>
      <c r="I5" s="8">
        <v>77634</v>
      </c>
      <c r="J5" s="8">
        <v>79703</v>
      </c>
      <c r="K5" s="8">
        <v>92620</v>
      </c>
      <c r="L5" s="8">
        <v>76266</v>
      </c>
      <c r="M5" s="8">
        <v>80277</v>
      </c>
      <c r="N5" s="8">
        <v>124318</v>
      </c>
      <c r="O5" s="8">
        <v>161701</v>
      </c>
      <c r="P5" s="8">
        <v>182780</v>
      </c>
      <c r="Q5" s="8">
        <v>0</v>
      </c>
      <c r="R5" s="8">
        <v>0</v>
      </c>
      <c r="S5" s="8">
        <v>0</v>
      </c>
    </row>
    <row r="6" spans="1:19">
      <c r="B6" s="1" t="s">
        <v>8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>
      <c r="B7" s="1" t="s">
        <v>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>
      <c r="B8" s="1" t="s">
        <v>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</row>
    <row r="9" spans="1:19">
      <c r="B9" s="1" t="s">
        <v>11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</row>
    <row r="10" spans="1:19">
      <c r="B10" s="1" t="s">
        <v>12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</row>
    <row r="11" spans="1:19">
      <c r="A11" s="2" t="s">
        <v>13</v>
      </c>
      <c r="D11" s="10">
        <f t="shared" ref="D11:S11" si="0">SUM(D3:D10)</f>
        <v>0</v>
      </c>
      <c r="E11" s="10">
        <f t="shared" si="0"/>
        <v>0</v>
      </c>
      <c r="F11" s="10">
        <f t="shared" si="0"/>
        <v>0</v>
      </c>
      <c r="G11" s="10">
        <f t="shared" si="0"/>
        <v>90966</v>
      </c>
      <c r="H11" s="10">
        <f t="shared" si="0"/>
        <v>63019</v>
      </c>
      <c r="I11" s="10">
        <f t="shared" si="0"/>
        <v>95356</v>
      </c>
      <c r="J11" s="10">
        <f t="shared" si="0"/>
        <v>97186</v>
      </c>
      <c r="K11" s="10">
        <f t="shared" si="0"/>
        <v>112095</v>
      </c>
      <c r="L11" s="10">
        <f t="shared" si="0"/>
        <v>88496</v>
      </c>
      <c r="M11" s="10">
        <f t="shared" si="0"/>
        <v>90891</v>
      </c>
      <c r="N11" s="10">
        <f t="shared" si="0"/>
        <v>139593</v>
      </c>
      <c r="O11" s="10">
        <f t="shared" si="0"/>
        <v>180667</v>
      </c>
      <c r="P11" s="10">
        <f t="shared" si="0"/>
        <v>184800</v>
      </c>
      <c r="Q11" s="10">
        <f t="shared" si="0"/>
        <v>0</v>
      </c>
      <c r="R11" s="10">
        <f t="shared" si="0"/>
        <v>0</v>
      </c>
      <c r="S11" s="10">
        <f t="shared" si="0"/>
        <v>0</v>
      </c>
    </row>
    <row r="13" spans="1:19" ht="16.5">
      <c r="A13" s="11" t="s">
        <v>140</v>
      </c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B14" s="1" t="s">
        <v>40</v>
      </c>
      <c r="D14" s="8">
        <v>0</v>
      </c>
      <c r="E14" s="8">
        <v>0</v>
      </c>
      <c r="F14" s="8">
        <v>0</v>
      </c>
      <c r="G14" s="8">
        <v>25161</v>
      </c>
      <c r="H14" s="8">
        <v>14163</v>
      </c>
      <c r="I14" s="8">
        <v>14517</v>
      </c>
      <c r="J14" s="8">
        <v>16318</v>
      </c>
      <c r="K14" s="8">
        <v>17933</v>
      </c>
      <c r="L14" s="8">
        <v>15390</v>
      </c>
      <c r="M14" s="8">
        <v>6326</v>
      </c>
      <c r="N14" s="8">
        <v>16992</v>
      </c>
      <c r="O14" s="8">
        <v>16097</v>
      </c>
      <c r="P14" s="8">
        <v>0</v>
      </c>
      <c r="Q14" s="8">
        <f t="shared" ref="Q14:S14" si="1">SUM(Q23)</f>
        <v>0</v>
      </c>
      <c r="R14" s="8">
        <f t="shared" si="1"/>
        <v>0</v>
      </c>
      <c r="S14" s="8">
        <f t="shared" si="1"/>
        <v>0</v>
      </c>
    </row>
    <row r="15" spans="1:19">
      <c r="B15" s="1" t="s">
        <v>41</v>
      </c>
      <c r="D15" s="8">
        <f>SUM(D25,D28,D31)</f>
        <v>0</v>
      </c>
      <c r="E15" s="8">
        <f t="shared" ref="E15" si="2">SUM(E25,E28,E31)</f>
        <v>0</v>
      </c>
      <c r="F15" s="8">
        <v>56065</v>
      </c>
      <c r="G15" s="8">
        <v>61394</v>
      </c>
      <c r="H15" s="8">
        <v>62975</v>
      </c>
      <c r="I15" s="8">
        <v>72531</v>
      </c>
      <c r="J15" s="8">
        <v>79837</v>
      </c>
      <c r="K15" s="8">
        <v>86958</v>
      </c>
      <c r="L15" s="8">
        <v>87282</v>
      </c>
      <c r="M15" s="8">
        <v>75946</v>
      </c>
      <c r="N15" s="8">
        <v>128044</v>
      </c>
      <c r="O15" s="8">
        <v>163660</v>
      </c>
      <c r="P15" s="8">
        <v>180338</v>
      </c>
      <c r="Q15" s="8">
        <f t="shared" ref="Q15:S15" si="3">SUM(Q25,Q28,Q31)</f>
        <v>0</v>
      </c>
      <c r="R15" s="8">
        <f t="shared" si="3"/>
        <v>0</v>
      </c>
      <c r="S15" s="8">
        <f t="shared" si="3"/>
        <v>0</v>
      </c>
    </row>
    <row r="16" spans="1:19">
      <c r="B16" s="1" t="s">
        <v>8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f>SUM(S35)</f>
        <v>0</v>
      </c>
    </row>
    <row r="17" spans="1:19">
      <c r="B17" s="1" t="s">
        <v>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f>SUM(R36)</f>
        <v>0</v>
      </c>
      <c r="S17" s="9">
        <f>SUM(S36)</f>
        <v>0</v>
      </c>
    </row>
    <row r="18" spans="1:19">
      <c r="B18" s="1" t="s">
        <v>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>
      <c r="B19" s="1" t="s">
        <v>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</row>
    <row r="20" spans="1:19">
      <c r="B20" s="1" t="s">
        <v>12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</row>
    <row r="21" spans="1:19">
      <c r="A21" s="2" t="s">
        <v>141</v>
      </c>
      <c r="D21" s="10">
        <f t="shared" ref="D21:S21" si="4">SUM(D13:D20)</f>
        <v>0</v>
      </c>
      <c r="E21" s="10">
        <f t="shared" si="4"/>
        <v>0</v>
      </c>
      <c r="F21" s="10">
        <f t="shared" si="4"/>
        <v>56065</v>
      </c>
      <c r="G21" s="10">
        <f t="shared" si="4"/>
        <v>86555</v>
      </c>
      <c r="H21" s="10">
        <f t="shared" si="4"/>
        <v>77138</v>
      </c>
      <c r="I21" s="10">
        <f t="shared" si="4"/>
        <v>87048</v>
      </c>
      <c r="J21" s="10">
        <f t="shared" si="4"/>
        <v>96155</v>
      </c>
      <c r="K21" s="10">
        <f t="shared" si="4"/>
        <v>104891</v>
      </c>
      <c r="L21" s="10">
        <f t="shared" si="4"/>
        <v>102672</v>
      </c>
      <c r="M21" s="10">
        <f t="shared" si="4"/>
        <v>82272</v>
      </c>
      <c r="N21" s="10">
        <f t="shared" si="4"/>
        <v>145036</v>
      </c>
      <c r="O21" s="10">
        <f t="shared" si="4"/>
        <v>179757</v>
      </c>
      <c r="P21" s="10">
        <f t="shared" si="4"/>
        <v>180338</v>
      </c>
      <c r="Q21" s="10">
        <f t="shared" si="4"/>
        <v>0</v>
      </c>
      <c r="R21" s="10">
        <f t="shared" si="4"/>
        <v>0</v>
      </c>
      <c r="S21" s="10">
        <f t="shared" si="4"/>
        <v>0</v>
      </c>
    </row>
    <row r="22" spans="1:19" customFormat="1"/>
    <row r="23" spans="1:19">
      <c r="B23" s="1" t="s">
        <v>33</v>
      </c>
      <c r="D23" s="8">
        <v>76</v>
      </c>
      <c r="E23" s="8">
        <v>84</v>
      </c>
      <c r="F23" s="8">
        <v>93</v>
      </c>
      <c r="G23" s="8">
        <v>73</v>
      </c>
      <c r="H23" s="8">
        <v>47</v>
      </c>
      <c r="I23" s="8">
        <v>29</v>
      </c>
      <c r="J23" s="8">
        <v>43</v>
      </c>
      <c r="K23" s="8">
        <v>54</v>
      </c>
      <c r="L23" s="8">
        <v>35</v>
      </c>
      <c r="M23" s="8">
        <v>27</v>
      </c>
      <c r="N23" s="8">
        <v>57</v>
      </c>
      <c r="O23" s="8">
        <v>86</v>
      </c>
      <c r="P23" s="8"/>
      <c r="Q23" s="8"/>
      <c r="R23" s="8"/>
      <c r="S23" s="8"/>
    </row>
    <row r="24" spans="1:19">
      <c r="B24" s="1" t="s">
        <v>34</v>
      </c>
      <c r="D24" s="8">
        <v>373</v>
      </c>
      <c r="E24" s="8">
        <v>203</v>
      </c>
      <c r="F24" s="8">
        <v>239</v>
      </c>
      <c r="G24" s="8">
        <v>225</v>
      </c>
      <c r="H24" s="8">
        <v>229</v>
      </c>
      <c r="I24" s="8">
        <v>415</v>
      </c>
      <c r="J24" s="8">
        <v>477</v>
      </c>
      <c r="K24" s="8">
        <v>530</v>
      </c>
      <c r="L24" s="8">
        <v>260</v>
      </c>
      <c r="M24" s="8">
        <v>419</v>
      </c>
      <c r="N24" s="8">
        <v>759</v>
      </c>
      <c r="O24" s="8">
        <v>1586</v>
      </c>
      <c r="P24" s="8"/>
      <c r="Q24" s="8"/>
      <c r="R24" s="8"/>
      <c r="S24" s="8"/>
    </row>
    <row r="25" spans="1:19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B26" s="1" t="s">
        <v>134</v>
      </c>
      <c r="G26" s="3">
        <v>378</v>
      </c>
      <c r="H26" s="3">
        <v>377</v>
      </c>
      <c r="I26" s="3">
        <v>402</v>
      </c>
      <c r="J26" s="3">
        <v>413</v>
      </c>
      <c r="K26" s="1">
        <v>433</v>
      </c>
      <c r="L26" s="1">
        <v>438</v>
      </c>
      <c r="M26" s="1">
        <v>446</v>
      </c>
      <c r="N26" s="1">
        <v>466</v>
      </c>
      <c r="O26" s="1">
        <v>523</v>
      </c>
    </row>
    <row r="27" spans="1:19">
      <c r="B27" s="1" t="s">
        <v>135</v>
      </c>
      <c r="G27" s="3">
        <v>411</v>
      </c>
      <c r="H27" s="3">
        <v>550</v>
      </c>
      <c r="I27" s="3">
        <v>651</v>
      </c>
      <c r="J27" s="3">
        <v>719</v>
      </c>
      <c r="K27" s="1">
        <v>743</v>
      </c>
      <c r="L27" s="1">
        <v>756</v>
      </c>
      <c r="M27" s="1">
        <v>769</v>
      </c>
      <c r="N27" s="1">
        <v>780</v>
      </c>
      <c r="O27" s="1">
        <v>823</v>
      </c>
    </row>
    <row r="29" spans="1:19">
      <c r="B29" s="1" t="s">
        <v>136</v>
      </c>
      <c r="G29" s="3">
        <v>1421</v>
      </c>
      <c r="H29" s="3">
        <v>1490</v>
      </c>
      <c r="I29" s="3">
        <v>1587</v>
      </c>
      <c r="J29" s="3">
        <v>1653</v>
      </c>
      <c r="K29" s="1">
        <v>1821</v>
      </c>
      <c r="L29" s="1">
        <v>1917</v>
      </c>
      <c r="M29" s="1">
        <v>2035</v>
      </c>
      <c r="N29" s="1">
        <v>2181</v>
      </c>
      <c r="O29" s="1">
        <v>2564</v>
      </c>
    </row>
    <row r="30" spans="1:19">
      <c r="B30" s="1" t="s">
        <v>137</v>
      </c>
      <c r="G30" s="3">
        <v>12002</v>
      </c>
      <c r="H30" s="3">
        <v>12767</v>
      </c>
      <c r="I30" s="3">
        <v>13881</v>
      </c>
      <c r="J30" s="3">
        <v>14658</v>
      </c>
      <c r="K30" s="1">
        <v>16104</v>
      </c>
      <c r="L30" s="1">
        <v>17007</v>
      </c>
      <c r="M30" s="1">
        <v>18.100000000000001</v>
      </c>
      <c r="N30" s="1">
        <v>19437</v>
      </c>
      <c r="O30" s="1">
        <v>23277</v>
      </c>
    </row>
    <row r="33" spans="4:15" ht="16.5">
      <c r="D33"/>
      <c r="E33"/>
      <c r="F33"/>
      <c r="G33"/>
      <c r="H33" s="93" t="s">
        <v>39</v>
      </c>
      <c r="I33" s="93"/>
      <c r="J33" s="93"/>
    </row>
    <row r="34" spans="4:15">
      <c r="D34"/>
      <c r="E34"/>
      <c r="F34"/>
      <c r="G34"/>
    </row>
    <row r="35" spans="4:15">
      <c r="D35"/>
      <c r="E35"/>
      <c r="F35"/>
      <c r="G35"/>
      <c r="H35" s="23" t="s">
        <v>35</v>
      </c>
      <c r="I35" s="1"/>
    </row>
    <row r="36" spans="4:15">
      <c r="D36"/>
      <c r="E36"/>
      <c r="F36"/>
      <c r="G36"/>
      <c r="H36" s="24"/>
      <c r="I36" s="1" t="s">
        <v>40</v>
      </c>
      <c r="J36" s="25">
        <v>90000</v>
      </c>
      <c r="K36" s="25">
        <v>90000</v>
      </c>
      <c r="L36" s="25">
        <v>90000</v>
      </c>
      <c r="M36" s="25">
        <v>90000</v>
      </c>
      <c r="N36" s="25">
        <v>90000</v>
      </c>
      <c r="O36" s="25">
        <v>100000</v>
      </c>
    </row>
    <row r="37" spans="4:15">
      <c r="D37"/>
      <c r="E37"/>
      <c r="F37"/>
      <c r="G37"/>
      <c r="H37" s="24"/>
      <c r="I37" s="1" t="s">
        <v>41</v>
      </c>
      <c r="J37" s="25">
        <v>350000</v>
      </c>
      <c r="K37" s="25">
        <v>400000</v>
      </c>
      <c r="L37" s="25">
        <v>400000</v>
      </c>
      <c r="M37" s="25">
        <v>400000</v>
      </c>
      <c r="N37" s="25">
        <v>500000</v>
      </c>
      <c r="O37" s="25">
        <v>500000</v>
      </c>
    </row>
    <row r="38" spans="4:15">
      <c r="D38"/>
      <c r="E38"/>
      <c r="F38"/>
      <c r="G38"/>
      <c r="H38" s="24"/>
      <c r="I38" s="1"/>
      <c r="J38" s="25"/>
      <c r="K38" s="25"/>
      <c r="L38" s="25"/>
      <c r="M38" s="25"/>
      <c r="N38" s="25"/>
      <c r="O38" s="25"/>
    </row>
    <row r="39" spans="4:15">
      <c r="D39"/>
      <c r="E39"/>
      <c r="F39"/>
      <c r="G39"/>
      <c r="H39" s="23" t="s">
        <v>36</v>
      </c>
      <c r="I39" s="1" t="s">
        <v>0</v>
      </c>
      <c r="J39" s="25">
        <v>150000</v>
      </c>
      <c r="K39" s="25">
        <v>150000</v>
      </c>
      <c r="L39" s="25">
        <v>200000</v>
      </c>
      <c r="M39" s="25">
        <v>200000</v>
      </c>
      <c r="N39" s="25">
        <v>250000</v>
      </c>
      <c r="O39" s="25">
        <v>250000</v>
      </c>
    </row>
    <row r="40" spans="4:15">
      <c r="D40"/>
      <c r="E40"/>
      <c r="F40"/>
      <c r="G40"/>
      <c r="H40" s="24"/>
      <c r="I40" s="1" t="s">
        <v>1</v>
      </c>
      <c r="J40" s="87" t="s">
        <v>143</v>
      </c>
      <c r="K40" s="86" t="s">
        <v>142</v>
      </c>
      <c r="L40" s="86" t="s">
        <v>142</v>
      </c>
      <c r="M40" s="86" t="s">
        <v>142</v>
      </c>
      <c r="N40" s="86" t="s">
        <v>142</v>
      </c>
      <c r="O40" s="25">
        <v>200000</v>
      </c>
    </row>
    <row r="41" spans="4:15">
      <c r="D41"/>
      <c r="E41"/>
      <c r="F41"/>
      <c r="G41"/>
      <c r="H41" s="24"/>
      <c r="I41" s="1"/>
      <c r="J41" s="25"/>
      <c r="K41" s="25"/>
      <c r="L41" s="25"/>
      <c r="M41" s="25"/>
      <c r="N41" s="25"/>
      <c r="O41" s="25"/>
    </row>
    <row r="42" spans="4:15">
      <c r="D42"/>
      <c r="E42"/>
      <c r="F42"/>
      <c r="G42"/>
      <c r="H42" s="23" t="s">
        <v>37</v>
      </c>
      <c r="I42" s="1" t="s">
        <v>0</v>
      </c>
      <c r="J42" s="87" t="s">
        <v>143</v>
      </c>
      <c r="K42" s="87" t="s">
        <v>143</v>
      </c>
      <c r="L42" s="87" t="s">
        <v>143</v>
      </c>
      <c r="M42" s="87" t="s">
        <v>143</v>
      </c>
      <c r="N42" s="87" t="s">
        <v>143</v>
      </c>
      <c r="O42" s="87" t="s">
        <v>143</v>
      </c>
    </row>
    <row r="43" spans="4:15">
      <c r="D43"/>
      <c r="E43"/>
      <c r="F43"/>
      <c r="G43"/>
      <c r="H43" s="24"/>
      <c r="I43" s="1" t="s">
        <v>1</v>
      </c>
      <c r="J43" s="87" t="s">
        <v>143</v>
      </c>
      <c r="K43" s="87" t="s">
        <v>143</v>
      </c>
      <c r="L43" s="86" t="s">
        <v>142</v>
      </c>
      <c r="M43" s="86" t="s">
        <v>142</v>
      </c>
      <c r="N43" s="86" t="s">
        <v>142</v>
      </c>
      <c r="O43" s="86" t="s">
        <v>142</v>
      </c>
    </row>
    <row r="44" spans="4:15">
      <c r="D44"/>
      <c r="E44"/>
      <c r="F44"/>
      <c r="G44"/>
      <c r="H44" s="24"/>
      <c r="I44" s="1"/>
      <c r="J44" s="25"/>
      <c r="K44" s="25"/>
      <c r="L44" s="25"/>
      <c r="M44" s="25"/>
      <c r="N44" s="25"/>
      <c r="O44" s="25"/>
    </row>
    <row r="45" spans="4:15">
      <c r="D45"/>
      <c r="E45"/>
      <c r="F45"/>
      <c r="G45"/>
      <c r="H45" s="23" t="s">
        <v>38</v>
      </c>
      <c r="I45" s="1" t="s">
        <v>1</v>
      </c>
      <c r="J45" s="87" t="s">
        <v>143</v>
      </c>
      <c r="K45" s="87" t="s">
        <v>143</v>
      </c>
      <c r="L45" s="87" t="s">
        <v>143</v>
      </c>
      <c r="M45" s="87" t="s">
        <v>143</v>
      </c>
      <c r="N45" s="86" t="s">
        <v>142</v>
      </c>
      <c r="O45" s="86" t="s">
        <v>142</v>
      </c>
    </row>
    <row r="46" spans="4:15">
      <c r="D46"/>
      <c r="E46"/>
      <c r="F46"/>
      <c r="G46"/>
      <c r="H46" s="24"/>
      <c r="I46" s="1" t="s">
        <v>8</v>
      </c>
      <c r="J46" s="87" t="s">
        <v>143</v>
      </c>
      <c r="K46" s="87" t="s">
        <v>143</v>
      </c>
      <c r="L46" s="87" t="s">
        <v>143</v>
      </c>
      <c r="M46" s="87" t="s">
        <v>143</v>
      </c>
      <c r="N46" s="87" t="s">
        <v>143</v>
      </c>
      <c r="O46" s="87" t="s">
        <v>143</v>
      </c>
    </row>
    <row r="47" spans="4:15">
      <c r="D47"/>
      <c r="E47"/>
      <c r="F47"/>
      <c r="G47"/>
      <c r="H47" s="24"/>
      <c r="I47" s="1"/>
      <c r="J47" s="25"/>
      <c r="K47" s="25"/>
      <c r="L47" s="25"/>
      <c r="M47" s="25"/>
      <c r="N47" s="25"/>
      <c r="O47" s="25"/>
    </row>
    <row r="48" spans="4:15">
      <c r="D48"/>
      <c r="E48"/>
      <c r="F48"/>
      <c r="G48"/>
      <c r="H48" s="23" t="s">
        <v>42</v>
      </c>
      <c r="I48" s="1" t="s">
        <v>43</v>
      </c>
      <c r="J48" s="87" t="s">
        <v>143</v>
      </c>
      <c r="K48" s="87" t="s">
        <v>143</v>
      </c>
      <c r="L48" s="87" t="s">
        <v>143</v>
      </c>
      <c r="M48" s="87" t="s">
        <v>143</v>
      </c>
      <c r="N48" s="87" t="s">
        <v>143</v>
      </c>
      <c r="O48" s="87" t="s">
        <v>143</v>
      </c>
    </row>
    <row r="49" spans="3:15">
      <c r="D49"/>
      <c r="E49"/>
      <c r="F49"/>
      <c r="G49"/>
      <c r="H49" s="24"/>
      <c r="I49" s="1" t="s">
        <v>10</v>
      </c>
      <c r="J49" s="87" t="s">
        <v>143</v>
      </c>
      <c r="K49" s="87" t="s">
        <v>143</v>
      </c>
      <c r="L49" s="87" t="s">
        <v>143</v>
      </c>
      <c r="M49" s="87" t="s">
        <v>143</v>
      </c>
      <c r="N49" s="87" t="s">
        <v>143</v>
      </c>
      <c r="O49" s="87" t="s">
        <v>143</v>
      </c>
    </row>
    <row r="50" spans="3:15" s="91" customFormat="1" ht="15.75">
      <c r="C50" s="88"/>
      <c r="D50" s="89"/>
      <c r="E50" s="89"/>
      <c r="F50" s="89"/>
      <c r="G50" s="89"/>
      <c r="H50" s="90" t="s">
        <v>144</v>
      </c>
      <c r="I50" s="88"/>
      <c r="J50" s="92">
        <f>+SUM(J36:J49)</f>
        <v>590000</v>
      </c>
      <c r="K50" s="92">
        <f t="shared" ref="K50:O50" si="5">+SUM(K36:K49)</f>
        <v>640000</v>
      </c>
      <c r="L50" s="92">
        <f t="shared" si="5"/>
        <v>690000</v>
      </c>
      <c r="M50" s="92">
        <f t="shared" si="5"/>
        <v>690000</v>
      </c>
      <c r="N50" s="92">
        <f t="shared" si="5"/>
        <v>840000</v>
      </c>
      <c r="O50" s="92">
        <f t="shared" si="5"/>
        <v>1050000</v>
      </c>
    </row>
    <row r="51" spans="3:15">
      <c r="D51"/>
      <c r="E51"/>
      <c r="F51"/>
      <c r="G51"/>
    </row>
  </sheetData>
  <mergeCells count="5">
    <mergeCell ref="H33:J33"/>
    <mergeCell ref="D1:G1"/>
    <mergeCell ref="H1:K1"/>
    <mergeCell ref="L1:O1"/>
    <mergeCell ref="P1:S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8EB4-99A2-41F4-A1B4-8FCF6AACD59F}">
  <dimension ref="A1:AD49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3" sqref="P13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28">
      <c r="D1" s="94">
        <v>2018</v>
      </c>
      <c r="E1" s="94"/>
      <c r="F1" s="94"/>
      <c r="G1" s="94"/>
      <c r="H1" s="94">
        <v>2019</v>
      </c>
      <c r="I1" s="94"/>
      <c r="J1" s="94"/>
      <c r="K1" s="94"/>
      <c r="L1" s="94">
        <v>2020</v>
      </c>
      <c r="M1" s="94"/>
      <c r="N1" s="94"/>
      <c r="O1" s="94"/>
      <c r="P1" s="94">
        <v>2021</v>
      </c>
      <c r="Q1" s="94"/>
      <c r="R1" s="94"/>
      <c r="S1" s="94"/>
    </row>
    <row r="2" spans="1:28">
      <c r="D2" s="4" t="s">
        <v>2</v>
      </c>
      <c r="E2" s="4" t="s">
        <v>3</v>
      </c>
      <c r="F2" s="4" t="s">
        <v>4</v>
      </c>
      <c r="G2" s="4" t="s">
        <v>5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8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28">
      <c r="B4" s="1" t="s">
        <v>6</v>
      </c>
      <c r="D4" s="8">
        <f>SUM(D16)</f>
        <v>11730</v>
      </c>
      <c r="E4" s="8">
        <f t="shared" ref="E4:P5" si="0">SUM(E16)</f>
        <v>10949</v>
      </c>
      <c r="F4" s="8">
        <f t="shared" si="0"/>
        <v>14470</v>
      </c>
      <c r="G4" s="8">
        <f t="shared" si="0"/>
        <v>11031</v>
      </c>
      <c r="H4" s="8">
        <f t="shared" si="0"/>
        <v>5800</v>
      </c>
      <c r="I4" s="8">
        <f t="shared" si="0"/>
        <v>8392</v>
      </c>
      <c r="J4" s="8">
        <f t="shared" si="0"/>
        <v>7414</v>
      </c>
      <c r="K4" s="8">
        <f t="shared" si="0"/>
        <v>7862</v>
      </c>
      <c r="L4" s="8">
        <f t="shared" si="0"/>
        <v>3370</v>
      </c>
      <c r="M4" s="8">
        <f t="shared" si="0"/>
        <v>5124</v>
      </c>
      <c r="N4" s="8">
        <f t="shared" si="0"/>
        <v>6387</v>
      </c>
      <c r="O4" s="77">
        <f t="shared" si="0"/>
        <v>6920.9647110036776</v>
      </c>
      <c r="P4" s="77">
        <f t="shared" si="0"/>
        <v>1000</v>
      </c>
      <c r="Q4" s="8">
        <f t="shared" ref="Q4:S4" si="1">SUM(Q16)</f>
        <v>9770</v>
      </c>
      <c r="R4" s="8">
        <f t="shared" si="1"/>
        <v>8025</v>
      </c>
      <c r="S4" s="8">
        <f t="shared" si="1"/>
        <v>8155</v>
      </c>
    </row>
    <row r="5" spans="1:28">
      <c r="B5" s="1" t="s">
        <v>7</v>
      </c>
      <c r="D5" s="8">
        <f>SUM(D17)</f>
        <v>10070</v>
      </c>
      <c r="E5" s="8">
        <f t="shared" ref="E5:N5" si="2">SUM(E17)</f>
        <v>11370</v>
      </c>
      <c r="F5" s="8">
        <f t="shared" si="2"/>
        <v>13240</v>
      </c>
      <c r="G5" s="8">
        <f t="shared" si="2"/>
        <v>11846</v>
      </c>
      <c r="H5" s="8">
        <f t="shared" si="2"/>
        <v>6291</v>
      </c>
      <c r="I5" s="8">
        <f t="shared" si="2"/>
        <v>9330</v>
      </c>
      <c r="J5" s="8">
        <f t="shared" si="2"/>
        <v>10069</v>
      </c>
      <c r="K5" s="8">
        <f t="shared" si="2"/>
        <v>11613</v>
      </c>
      <c r="L5" s="8">
        <f t="shared" si="2"/>
        <v>8860</v>
      </c>
      <c r="M5" s="8">
        <f t="shared" si="2"/>
        <v>5490</v>
      </c>
      <c r="N5" s="8">
        <f t="shared" si="2"/>
        <v>8888</v>
      </c>
      <c r="O5" s="77">
        <f t="shared" si="0"/>
        <v>11999.035288996321</v>
      </c>
      <c r="P5" s="77">
        <f t="shared" si="0"/>
        <v>1020</v>
      </c>
      <c r="Q5" s="8">
        <f t="shared" ref="Q5:S5" si="3">SUM(Q17)</f>
        <v>12650</v>
      </c>
      <c r="R5" s="8">
        <f t="shared" si="3"/>
        <v>10086</v>
      </c>
      <c r="S5" s="8">
        <f t="shared" si="3"/>
        <v>10574</v>
      </c>
    </row>
    <row r="6" spans="1:28">
      <c r="B6" s="1" t="s">
        <v>0</v>
      </c>
      <c r="D6" s="8">
        <f>SUM(D18,D21,D24)</f>
        <v>8182</v>
      </c>
      <c r="E6" s="8">
        <f t="shared" ref="E6:M6" si="4">SUM(E18,E21,E24)</f>
        <v>18449</v>
      </c>
      <c r="F6" s="8">
        <f t="shared" si="4"/>
        <v>56065</v>
      </c>
      <c r="G6" s="8">
        <f t="shared" si="4"/>
        <v>68089</v>
      </c>
      <c r="H6" s="8">
        <f t="shared" si="4"/>
        <v>50928</v>
      </c>
      <c r="I6" s="8">
        <f t="shared" si="4"/>
        <v>77634</v>
      </c>
      <c r="J6" s="8">
        <f t="shared" si="4"/>
        <v>79703</v>
      </c>
      <c r="K6" s="8">
        <f t="shared" si="4"/>
        <v>92620</v>
      </c>
      <c r="L6" s="8">
        <f t="shared" si="4"/>
        <v>74310</v>
      </c>
      <c r="M6" s="8">
        <f t="shared" si="4"/>
        <v>67082</v>
      </c>
      <c r="N6" s="8">
        <f>SUM(N18,N21,N24)</f>
        <v>91965</v>
      </c>
      <c r="O6" s="77">
        <f>SUM(O18,O21,O24)</f>
        <v>115000</v>
      </c>
      <c r="P6" s="77">
        <f t="shared" ref="P6" si="5">SUM(P18,P21,P24)</f>
        <v>100000</v>
      </c>
      <c r="Q6" s="8">
        <f t="shared" ref="Q6:S6" si="6">SUM(Q18,Q21,Q24)</f>
        <v>119130</v>
      </c>
      <c r="R6" s="8">
        <f t="shared" si="6"/>
        <v>119590</v>
      </c>
      <c r="S6" s="8">
        <f t="shared" si="6"/>
        <v>123485</v>
      </c>
    </row>
    <row r="7" spans="1:28">
      <c r="B7" s="1" t="s">
        <v>1</v>
      </c>
      <c r="D7" s="8">
        <f>SUM(D19,D22,D25,D27)</f>
        <v>0</v>
      </c>
      <c r="E7" s="8">
        <f t="shared" ref="E7:P7" si="7">SUM(E19,E22,E25,E27)</f>
        <v>0</v>
      </c>
      <c r="F7" s="8">
        <f t="shared" si="7"/>
        <v>0</v>
      </c>
      <c r="G7" s="8">
        <f t="shared" si="7"/>
        <v>0</v>
      </c>
      <c r="H7" s="8">
        <f t="shared" si="7"/>
        <v>0</v>
      </c>
      <c r="I7" s="8">
        <f t="shared" si="7"/>
        <v>0</v>
      </c>
      <c r="J7" s="8">
        <f t="shared" si="7"/>
        <v>0</v>
      </c>
      <c r="K7" s="8">
        <f t="shared" si="7"/>
        <v>0</v>
      </c>
      <c r="L7" s="8">
        <f t="shared" si="7"/>
        <v>1956</v>
      </c>
      <c r="M7" s="8">
        <f t="shared" si="7"/>
        <v>13195</v>
      </c>
      <c r="N7" s="8">
        <f t="shared" si="7"/>
        <v>32353</v>
      </c>
      <c r="O7" s="77">
        <f t="shared" si="7"/>
        <v>46250</v>
      </c>
      <c r="P7" s="77">
        <f t="shared" si="7"/>
        <v>82780</v>
      </c>
      <c r="Q7" s="8">
        <f t="shared" ref="Q7:S7" si="8">SUM(Q19,Q22,Q25,Q27)</f>
        <v>69200</v>
      </c>
      <c r="R7" s="8">
        <f t="shared" si="8"/>
        <v>90800</v>
      </c>
      <c r="S7" s="8">
        <f t="shared" si="8"/>
        <v>120950</v>
      </c>
    </row>
    <row r="8" spans="1:28">
      <c r="B8" s="1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85">
        <v>0</v>
      </c>
      <c r="P8" s="85">
        <v>0</v>
      </c>
      <c r="Q8" s="9">
        <v>0</v>
      </c>
      <c r="R8" s="9">
        <v>0</v>
      </c>
      <c r="S8" s="9">
        <f>SUM(S28)</f>
        <v>7700</v>
      </c>
    </row>
    <row r="9" spans="1:28">
      <c r="B9" s="1" t="s">
        <v>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85">
        <v>0</v>
      </c>
      <c r="P9" s="85">
        <v>0</v>
      </c>
      <c r="Q9" s="9">
        <v>0</v>
      </c>
      <c r="R9" s="9">
        <f>SUM(R29)</f>
        <v>300</v>
      </c>
      <c r="S9" s="9">
        <f>SUM(S29)</f>
        <v>4800</v>
      </c>
    </row>
    <row r="10" spans="1:28">
      <c r="B10" s="1" t="s">
        <v>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85">
        <v>0</v>
      </c>
      <c r="P10" s="85">
        <v>0</v>
      </c>
      <c r="Q10" s="9">
        <v>0</v>
      </c>
      <c r="R10" s="9">
        <v>0</v>
      </c>
      <c r="S10" s="9">
        <v>0</v>
      </c>
    </row>
    <row r="11" spans="1:28">
      <c r="B11" s="1" t="s">
        <v>11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9">
        <v>0</v>
      </c>
      <c r="N11" s="9">
        <v>0</v>
      </c>
      <c r="O11" s="85">
        <v>0</v>
      </c>
      <c r="P11" s="85">
        <v>0</v>
      </c>
      <c r="Q11" s="9">
        <v>0</v>
      </c>
      <c r="R11" s="9">
        <v>0</v>
      </c>
      <c r="S11" s="9">
        <v>0</v>
      </c>
    </row>
    <row r="12" spans="1:28">
      <c r="B12" s="1" t="s">
        <v>12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v>0</v>
      </c>
      <c r="L12" s="9">
        <v>0</v>
      </c>
      <c r="M12" s="9">
        <v>0</v>
      </c>
      <c r="N12" s="9">
        <v>0</v>
      </c>
      <c r="O12" s="85">
        <v>0</v>
      </c>
      <c r="P12" s="85">
        <v>0</v>
      </c>
      <c r="Q12" s="9">
        <v>0</v>
      </c>
      <c r="R12" s="9">
        <v>0</v>
      </c>
      <c r="S12" s="9">
        <v>0</v>
      </c>
    </row>
    <row r="13" spans="1:28">
      <c r="A13" s="2" t="s">
        <v>13</v>
      </c>
      <c r="D13" s="10">
        <f>SUM(D3:D12)</f>
        <v>29982</v>
      </c>
      <c r="E13" s="10">
        <f t="shared" ref="E13:S13" si="9">SUM(E3:E12)</f>
        <v>40768</v>
      </c>
      <c r="F13" s="10">
        <f t="shared" si="9"/>
        <v>83775</v>
      </c>
      <c r="G13" s="10">
        <f t="shared" si="9"/>
        <v>90966</v>
      </c>
      <c r="H13" s="10">
        <f t="shared" si="9"/>
        <v>63019</v>
      </c>
      <c r="I13" s="10">
        <f t="shared" si="9"/>
        <v>95356</v>
      </c>
      <c r="J13" s="10">
        <f t="shared" si="9"/>
        <v>97186</v>
      </c>
      <c r="K13" s="10">
        <f t="shared" si="9"/>
        <v>112095</v>
      </c>
      <c r="L13" s="10">
        <f t="shared" si="9"/>
        <v>88496</v>
      </c>
      <c r="M13" s="10">
        <f t="shared" si="9"/>
        <v>90891</v>
      </c>
      <c r="N13" s="10">
        <f t="shared" si="9"/>
        <v>139593</v>
      </c>
      <c r="O13" s="10">
        <f t="shared" si="9"/>
        <v>180170</v>
      </c>
      <c r="P13" s="10">
        <f t="shared" si="9"/>
        <v>184800</v>
      </c>
      <c r="Q13" s="10">
        <f t="shared" si="9"/>
        <v>210750</v>
      </c>
      <c r="R13" s="10">
        <f t="shared" si="9"/>
        <v>228801</v>
      </c>
      <c r="S13" s="10">
        <f t="shared" si="9"/>
        <v>275664</v>
      </c>
    </row>
    <row r="14" spans="1:28">
      <c r="P14" s="1" t="s">
        <v>49</v>
      </c>
      <c r="U14"/>
      <c r="V14"/>
      <c r="W14"/>
      <c r="X14"/>
      <c r="Y14"/>
      <c r="Z14"/>
      <c r="AA14"/>
      <c r="AB14"/>
    </row>
    <row r="15" spans="1:28" ht="16.5">
      <c r="A15" s="11" t="s">
        <v>138</v>
      </c>
      <c r="G15" s="80"/>
      <c r="H15" s="80"/>
      <c r="I15" s="80"/>
      <c r="J15" s="80"/>
      <c r="K15" s="80"/>
      <c r="L15" s="80"/>
      <c r="M15" s="80"/>
      <c r="N15" s="80"/>
      <c r="O15" s="75"/>
      <c r="U15"/>
      <c r="V15"/>
      <c r="W15"/>
      <c r="X15"/>
      <c r="Y15"/>
      <c r="Z15"/>
      <c r="AA15"/>
      <c r="AB15"/>
    </row>
    <row r="16" spans="1:28">
      <c r="B16" s="1" t="s">
        <v>15</v>
      </c>
      <c r="D16" s="8">
        <v>11730</v>
      </c>
      <c r="E16" s="8">
        <v>10949</v>
      </c>
      <c r="F16" s="8">
        <v>14470</v>
      </c>
      <c r="G16" s="8">
        <v>11031</v>
      </c>
      <c r="H16" s="8">
        <v>5800</v>
      </c>
      <c r="I16" s="8">
        <v>8392</v>
      </c>
      <c r="J16" s="8">
        <v>7414</v>
      </c>
      <c r="K16" s="8">
        <v>7862</v>
      </c>
      <c r="L16" s="8">
        <v>3370</v>
      </c>
      <c r="M16" s="8">
        <v>5124</v>
      </c>
      <c r="N16" s="8">
        <v>6387</v>
      </c>
      <c r="O16" s="77">
        <v>6920.9647110036776</v>
      </c>
      <c r="P16" s="77">
        <v>1000</v>
      </c>
      <c r="Q16" s="17">
        <v>9770</v>
      </c>
      <c r="R16" s="17">
        <v>8025</v>
      </c>
      <c r="S16" s="17">
        <v>8155</v>
      </c>
      <c r="U16"/>
      <c r="V16"/>
      <c r="W16"/>
      <c r="X16"/>
      <c r="Y16"/>
      <c r="Z16"/>
      <c r="AA16"/>
      <c r="AB16"/>
    </row>
    <row r="17" spans="2:28">
      <c r="B17" s="1" t="s">
        <v>16</v>
      </c>
      <c r="D17" s="8">
        <v>10070</v>
      </c>
      <c r="E17" s="8">
        <v>11370</v>
      </c>
      <c r="F17" s="8">
        <v>13240</v>
      </c>
      <c r="G17" s="8">
        <v>11846</v>
      </c>
      <c r="H17" s="8">
        <v>6291</v>
      </c>
      <c r="I17" s="8">
        <v>9330</v>
      </c>
      <c r="J17" s="8">
        <v>10069</v>
      </c>
      <c r="K17" s="8">
        <v>11613</v>
      </c>
      <c r="L17" s="8">
        <v>8860</v>
      </c>
      <c r="M17" s="8">
        <v>5490</v>
      </c>
      <c r="N17" s="8">
        <v>8888</v>
      </c>
      <c r="O17" s="77">
        <v>11999.035288996321</v>
      </c>
      <c r="P17" s="77">
        <v>1020</v>
      </c>
      <c r="Q17" s="17">
        <v>12650</v>
      </c>
      <c r="R17" s="17">
        <v>10086</v>
      </c>
      <c r="S17" s="17">
        <v>10574</v>
      </c>
      <c r="U17"/>
      <c r="V17"/>
      <c r="W17"/>
      <c r="X17"/>
      <c r="Y17"/>
      <c r="Z17"/>
      <c r="AA17"/>
      <c r="AB17"/>
    </row>
    <row r="18" spans="2:28">
      <c r="B18" s="1" t="s">
        <v>17</v>
      </c>
      <c r="D18" s="8">
        <v>8182</v>
      </c>
      <c r="E18" s="8">
        <v>18449</v>
      </c>
      <c r="F18" s="8">
        <v>56065</v>
      </c>
      <c r="G18" s="8">
        <v>68089</v>
      </c>
      <c r="H18" s="8">
        <v>50928</v>
      </c>
      <c r="I18" s="8">
        <v>77634</v>
      </c>
      <c r="J18" s="8">
        <v>79703</v>
      </c>
      <c r="K18" s="8">
        <v>91930</v>
      </c>
      <c r="L18" s="8">
        <v>64313</v>
      </c>
      <c r="M18" s="8">
        <v>34242</v>
      </c>
      <c r="N18" s="8">
        <v>57415</v>
      </c>
      <c r="O18" s="77">
        <v>80000</v>
      </c>
      <c r="P18" s="77">
        <v>75000</v>
      </c>
      <c r="Q18" s="17">
        <v>64880</v>
      </c>
      <c r="R18" s="17">
        <v>65590</v>
      </c>
      <c r="S18" s="17">
        <v>66800</v>
      </c>
      <c r="U18"/>
      <c r="V18"/>
      <c r="W18"/>
      <c r="X18"/>
      <c r="Y18"/>
      <c r="Z18"/>
      <c r="AA18"/>
      <c r="AB18"/>
    </row>
    <row r="19" spans="2:28">
      <c r="B19" s="1" t="s">
        <v>18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1956</v>
      </c>
      <c r="M19" s="12">
        <v>13195</v>
      </c>
      <c r="N19" s="12">
        <v>32353</v>
      </c>
      <c r="O19" s="78">
        <v>45250</v>
      </c>
      <c r="P19" s="78">
        <v>52605</v>
      </c>
      <c r="Q19" s="18">
        <v>51350</v>
      </c>
      <c r="R19" s="18">
        <v>53000</v>
      </c>
      <c r="S19" s="18">
        <v>56000</v>
      </c>
      <c r="U19"/>
      <c r="V19"/>
      <c r="W19"/>
      <c r="X19"/>
      <c r="Y19"/>
      <c r="Z19"/>
      <c r="AA19"/>
      <c r="AB19"/>
    </row>
    <row r="20" spans="2:28">
      <c r="B20" s="5" t="s">
        <v>19</v>
      </c>
      <c r="D20" s="26">
        <f>SUM(D16:D19)</f>
        <v>29982</v>
      </c>
      <c r="E20" s="26">
        <f t="shared" ref="E20:S20" si="10">SUM(E16:E19)</f>
        <v>40768</v>
      </c>
      <c r="F20" s="26">
        <f t="shared" si="10"/>
        <v>83775</v>
      </c>
      <c r="G20" s="26">
        <f t="shared" si="10"/>
        <v>90966</v>
      </c>
      <c r="H20" s="26">
        <f t="shared" si="10"/>
        <v>63019</v>
      </c>
      <c r="I20" s="26">
        <f t="shared" si="10"/>
        <v>95356</v>
      </c>
      <c r="J20" s="26">
        <f t="shared" si="10"/>
        <v>97186</v>
      </c>
      <c r="K20" s="26">
        <f t="shared" si="10"/>
        <v>111405</v>
      </c>
      <c r="L20" s="26">
        <f t="shared" si="10"/>
        <v>78499</v>
      </c>
      <c r="M20" s="26">
        <f t="shared" si="10"/>
        <v>58051</v>
      </c>
      <c r="N20" s="26">
        <f t="shared" si="10"/>
        <v>105043</v>
      </c>
      <c r="O20" s="79">
        <f t="shared" si="10"/>
        <v>144170</v>
      </c>
      <c r="P20" s="79">
        <f t="shared" si="10"/>
        <v>129625</v>
      </c>
      <c r="Q20" s="27">
        <f t="shared" si="10"/>
        <v>138650</v>
      </c>
      <c r="R20" s="27">
        <f t="shared" si="10"/>
        <v>136701</v>
      </c>
      <c r="S20" s="27">
        <f t="shared" si="10"/>
        <v>141529</v>
      </c>
      <c r="U20"/>
      <c r="V20"/>
      <c r="W20"/>
      <c r="X20"/>
      <c r="Y20"/>
      <c r="Z20"/>
      <c r="AA20"/>
      <c r="AB20"/>
    </row>
    <row r="21" spans="2:28">
      <c r="B21" s="1" t="s">
        <v>20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690</v>
      </c>
      <c r="L21" s="8">
        <v>9997</v>
      </c>
      <c r="M21" s="8">
        <v>32840</v>
      </c>
      <c r="N21" s="8">
        <v>34550</v>
      </c>
      <c r="O21" s="77">
        <v>35000</v>
      </c>
      <c r="P21" s="77">
        <v>25000</v>
      </c>
      <c r="Q21" s="17">
        <v>54250</v>
      </c>
      <c r="R21" s="17">
        <v>54000</v>
      </c>
      <c r="S21" s="17">
        <v>55385</v>
      </c>
      <c r="U21"/>
      <c r="V21"/>
      <c r="W21"/>
      <c r="X21"/>
      <c r="Y21"/>
      <c r="Z21"/>
      <c r="AA21"/>
      <c r="AB21"/>
    </row>
    <row r="22" spans="2:28">
      <c r="B22" s="1" t="s">
        <v>21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78">
        <v>1000</v>
      </c>
      <c r="P22" s="78">
        <v>30175</v>
      </c>
      <c r="Q22" s="18">
        <v>15550</v>
      </c>
      <c r="R22" s="18">
        <v>27250</v>
      </c>
      <c r="S22" s="18">
        <v>37400</v>
      </c>
      <c r="U22"/>
      <c r="V22"/>
      <c r="W22"/>
      <c r="X22"/>
      <c r="Y22"/>
      <c r="Z22"/>
      <c r="AA22"/>
      <c r="AB22"/>
    </row>
    <row r="23" spans="2:28">
      <c r="B23" s="5" t="s">
        <v>22</v>
      </c>
      <c r="D23" s="26">
        <f>SUM(D21:D22)</f>
        <v>0</v>
      </c>
      <c r="E23" s="26">
        <f t="shared" ref="E23:S23" si="11">SUM(E21:E22)</f>
        <v>0</v>
      </c>
      <c r="F23" s="26">
        <f t="shared" si="11"/>
        <v>0</v>
      </c>
      <c r="G23" s="26">
        <f t="shared" si="11"/>
        <v>0</v>
      </c>
      <c r="H23" s="26">
        <f t="shared" si="11"/>
        <v>0</v>
      </c>
      <c r="I23" s="26">
        <f t="shared" si="11"/>
        <v>0</v>
      </c>
      <c r="J23" s="26">
        <f t="shared" si="11"/>
        <v>0</v>
      </c>
      <c r="K23" s="26">
        <f t="shared" si="11"/>
        <v>690</v>
      </c>
      <c r="L23" s="26">
        <f t="shared" si="11"/>
        <v>9997</v>
      </c>
      <c r="M23" s="26">
        <f t="shared" si="11"/>
        <v>32840</v>
      </c>
      <c r="N23" s="26">
        <f t="shared" si="11"/>
        <v>34550</v>
      </c>
      <c r="O23" s="79">
        <f t="shared" si="11"/>
        <v>36000</v>
      </c>
      <c r="P23" s="79">
        <f t="shared" si="11"/>
        <v>55175</v>
      </c>
      <c r="Q23" s="27">
        <f t="shared" si="11"/>
        <v>69800</v>
      </c>
      <c r="R23" s="27">
        <f t="shared" si="11"/>
        <v>81250</v>
      </c>
      <c r="S23" s="27">
        <f t="shared" si="11"/>
        <v>92785</v>
      </c>
      <c r="U23"/>
      <c r="V23"/>
      <c r="W23"/>
      <c r="X23"/>
      <c r="Y23"/>
      <c r="Z23"/>
      <c r="AA23"/>
      <c r="AB23"/>
    </row>
    <row r="24" spans="2:28">
      <c r="B24" s="1" t="s">
        <v>23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77">
        <v>0</v>
      </c>
      <c r="P24" s="77">
        <v>0</v>
      </c>
      <c r="Q24" s="17">
        <v>0</v>
      </c>
      <c r="R24" s="17">
        <v>0</v>
      </c>
      <c r="S24" s="17">
        <v>1300</v>
      </c>
      <c r="U24"/>
      <c r="V24"/>
      <c r="W24"/>
      <c r="X24"/>
      <c r="Y24"/>
      <c r="Z24"/>
      <c r="AA24"/>
      <c r="AB24"/>
    </row>
    <row r="25" spans="2:28">
      <c r="B25" s="1" t="s">
        <v>24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78">
        <v>0</v>
      </c>
      <c r="P25" s="78">
        <v>0</v>
      </c>
      <c r="Q25" s="18">
        <v>2300</v>
      </c>
      <c r="R25" s="18">
        <v>8650</v>
      </c>
      <c r="S25" s="18">
        <v>14600</v>
      </c>
      <c r="U25"/>
      <c r="V25"/>
      <c r="W25"/>
      <c r="X25"/>
      <c r="Y25"/>
      <c r="Z25"/>
      <c r="AA25"/>
      <c r="AB25"/>
    </row>
    <row r="26" spans="2:28">
      <c r="B26" s="5" t="s">
        <v>25</v>
      </c>
      <c r="D26" s="26">
        <f>SUM(D24:D25)</f>
        <v>0</v>
      </c>
      <c r="E26" s="26">
        <f t="shared" ref="E26:S26" si="12">SUM(E24:E25)</f>
        <v>0</v>
      </c>
      <c r="F26" s="26">
        <f t="shared" si="12"/>
        <v>0</v>
      </c>
      <c r="G26" s="26">
        <f t="shared" si="12"/>
        <v>0</v>
      </c>
      <c r="H26" s="26">
        <f t="shared" si="12"/>
        <v>0</v>
      </c>
      <c r="I26" s="26">
        <f t="shared" si="12"/>
        <v>0</v>
      </c>
      <c r="J26" s="26">
        <f t="shared" si="12"/>
        <v>0</v>
      </c>
      <c r="K26" s="26">
        <f t="shared" si="12"/>
        <v>0</v>
      </c>
      <c r="L26" s="26">
        <f t="shared" si="12"/>
        <v>0</v>
      </c>
      <c r="M26" s="26">
        <f t="shared" si="12"/>
        <v>0</v>
      </c>
      <c r="N26" s="26">
        <f t="shared" si="12"/>
        <v>0</v>
      </c>
      <c r="O26" s="79">
        <f t="shared" si="12"/>
        <v>0</v>
      </c>
      <c r="P26" s="79">
        <f t="shared" si="12"/>
        <v>0</v>
      </c>
      <c r="Q26" s="27">
        <f t="shared" si="12"/>
        <v>2300</v>
      </c>
      <c r="R26" s="27">
        <f t="shared" si="12"/>
        <v>8650</v>
      </c>
      <c r="S26" s="27">
        <f t="shared" si="12"/>
        <v>15900</v>
      </c>
      <c r="U26"/>
      <c r="V26"/>
      <c r="W26"/>
      <c r="X26"/>
      <c r="Y26"/>
      <c r="Z26"/>
      <c r="AA26"/>
      <c r="AB26"/>
    </row>
    <row r="27" spans="2:28">
      <c r="B27" s="1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77">
        <v>0</v>
      </c>
      <c r="P27" s="77">
        <v>0</v>
      </c>
      <c r="Q27" s="17">
        <v>0</v>
      </c>
      <c r="R27" s="17">
        <v>1900</v>
      </c>
      <c r="S27" s="17">
        <v>12950</v>
      </c>
      <c r="U27"/>
      <c r="V27"/>
      <c r="W27"/>
      <c r="X27"/>
      <c r="Y27"/>
      <c r="Z27"/>
      <c r="AA27"/>
      <c r="AB27"/>
    </row>
    <row r="28" spans="2:28">
      <c r="B28" s="1" t="s">
        <v>27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77">
        <v>0</v>
      </c>
      <c r="P28" s="77">
        <v>0</v>
      </c>
      <c r="Q28" s="17">
        <v>0</v>
      </c>
      <c r="R28" s="17">
        <v>0</v>
      </c>
      <c r="S28" s="17">
        <v>7700</v>
      </c>
      <c r="U28"/>
      <c r="V28"/>
      <c r="W28"/>
      <c r="X28"/>
      <c r="Y28"/>
      <c r="Z28"/>
      <c r="AA28"/>
      <c r="AB28"/>
    </row>
    <row r="29" spans="2:28">
      <c r="B29" s="1" t="s">
        <v>28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78">
        <v>0</v>
      </c>
      <c r="P29" s="78">
        <v>0</v>
      </c>
      <c r="Q29" s="18">
        <v>0</v>
      </c>
      <c r="R29" s="18">
        <v>300</v>
      </c>
      <c r="S29" s="18">
        <v>4800</v>
      </c>
      <c r="U29"/>
      <c r="V29"/>
      <c r="W29"/>
      <c r="X29"/>
      <c r="Y29"/>
      <c r="Z29"/>
      <c r="AA29"/>
      <c r="AB29"/>
    </row>
    <row r="30" spans="2:28">
      <c r="B30" s="5" t="s">
        <v>29</v>
      </c>
      <c r="D30" s="26">
        <f>SUM(D27:D29)</f>
        <v>0</v>
      </c>
      <c r="E30" s="26">
        <f t="shared" ref="E30:S30" si="13">SUM(E27:E29)</f>
        <v>0</v>
      </c>
      <c r="F30" s="26">
        <f t="shared" si="13"/>
        <v>0</v>
      </c>
      <c r="G30" s="26">
        <f t="shared" si="13"/>
        <v>0</v>
      </c>
      <c r="H30" s="26">
        <f t="shared" si="13"/>
        <v>0</v>
      </c>
      <c r="I30" s="26">
        <f t="shared" si="13"/>
        <v>0</v>
      </c>
      <c r="J30" s="26">
        <f t="shared" si="13"/>
        <v>0</v>
      </c>
      <c r="K30" s="26">
        <f t="shared" si="13"/>
        <v>0</v>
      </c>
      <c r="L30" s="26">
        <f t="shared" si="13"/>
        <v>0</v>
      </c>
      <c r="M30" s="26">
        <f t="shared" si="13"/>
        <v>0</v>
      </c>
      <c r="N30" s="26">
        <f t="shared" si="13"/>
        <v>0</v>
      </c>
      <c r="O30" s="79">
        <f t="shared" si="13"/>
        <v>0</v>
      </c>
      <c r="P30" s="79">
        <f t="shared" si="13"/>
        <v>0</v>
      </c>
      <c r="Q30" s="27">
        <f t="shared" si="13"/>
        <v>0</v>
      </c>
      <c r="R30" s="27">
        <f t="shared" si="13"/>
        <v>2200</v>
      </c>
      <c r="S30" s="27">
        <f t="shared" si="13"/>
        <v>25450</v>
      </c>
      <c r="U30"/>
      <c r="V30"/>
      <c r="W30"/>
      <c r="X30"/>
      <c r="Y30"/>
      <c r="Z30"/>
      <c r="AA30"/>
      <c r="AB30"/>
    </row>
    <row r="31" spans="2:28">
      <c r="B31" s="1" t="s">
        <v>30</v>
      </c>
      <c r="D31" s="26">
        <f>SUM(D30,D26,D23,D20)</f>
        <v>29982</v>
      </c>
      <c r="E31" s="26">
        <f t="shared" ref="E31:S31" si="14">SUM(E30,E26,E23,E20)</f>
        <v>40768</v>
      </c>
      <c r="F31" s="26">
        <f t="shared" si="14"/>
        <v>83775</v>
      </c>
      <c r="G31" s="26">
        <f t="shared" si="14"/>
        <v>90966</v>
      </c>
      <c r="H31" s="26">
        <f t="shared" si="14"/>
        <v>63019</v>
      </c>
      <c r="I31" s="26">
        <f t="shared" si="14"/>
        <v>95356</v>
      </c>
      <c r="J31" s="26">
        <f t="shared" si="14"/>
        <v>97186</v>
      </c>
      <c r="K31" s="26">
        <f t="shared" si="14"/>
        <v>112095</v>
      </c>
      <c r="L31" s="26">
        <f t="shared" si="14"/>
        <v>88496</v>
      </c>
      <c r="M31" s="26">
        <f t="shared" si="14"/>
        <v>90891</v>
      </c>
      <c r="N31" s="26">
        <f t="shared" si="14"/>
        <v>139593</v>
      </c>
      <c r="O31" s="26">
        <f t="shared" si="14"/>
        <v>180170</v>
      </c>
      <c r="P31" s="26">
        <f t="shared" si="14"/>
        <v>184800</v>
      </c>
      <c r="Q31" s="27">
        <f t="shared" si="14"/>
        <v>210750</v>
      </c>
      <c r="R31" s="27">
        <f t="shared" si="14"/>
        <v>228801</v>
      </c>
      <c r="S31" s="27">
        <f t="shared" si="14"/>
        <v>275664</v>
      </c>
      <c r="U31"/>
      <c r="V31"/>
      <c r="W31"/>
      <c r="X31"/>
      <c r="Y31"/>
      <c r="Z31"/>
      <c r="AA31"/>
      <c r="AB31"/>
    </row>
    <row r="32" spans="2:28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76"/>
      <c r="P32"/>
      <c r="Q32"/>
      <c r="R32"/>
      <c r="S32"/>
      <c r="U32"/>
      <c r="V32"/>
      <c r="W32"/>
      <c r="X32"/>
      <c r="Y32"/>
      <c r="Z32"/>
      <c r="AA32"/>
      <c r="AB32"/>
    </row>
    <row r="33" spans="1:30" ht="16.5">
      <c r="A33" s="11" t="s">
        <v>139</v>
      </c>
      <c r="O33" s="75"/>
      <c r="U33"/>
      <c r="V33"/>
      <c r="W33"/>
      <c r="X33"/>
      <c r="Y33"/>
      <c r="Z33"/>
      <c r="AA33"/>
      <c r="AB33"/>
    </row>
    <row r="34" spans="1:30">
      <c r="B34" s="1" t="s">
        <v>15</v>
      </c>
      <c r="D34" s="8">
        <v>0</v>
      </c>
      <c r="E34" s="14">
        <f>E16/D16-1</f>
        <v>-6.6581415174765568E-2</v>
      </c>
      <c r="F34" s="14">
        <f t="shared" ref="F34:N34" si="15">F16/E16-1</f>
        <v>0.32158187962370999</v>
      </c>
      <c r="G34" s="14">
        <f t="shared" si="15"/>
        <v>-0.23766413268832065</v>
      </c>
      <c r="H34" s="14">
        <f t="shared" si="15"/>
        <v>-0.47420904723053214</v>
      </c>
      <c r="I34" s="14">
        <f t="shared" si="15"/>
        <v>0.44689655172413789</v>
      </c>
      <c r="J34" s="14">
        <f t="shared" si="15"/>
        <v>-0.11653956148713063</v>
      </c>
      <c r="K34" s="14">
        <f t="shared" si="15"/>
        <v>6.0426220663609476E-2</v>
      </c>
      <c r="L34" s="14">
        <f t="shared" si="15"/>
        <v>-0.57135588908674639</v>
      </c>
      <c r="M34" s="14">
        <f t="shared" si="15"/>
        <v>0.52047477744807114</v>
      </c>
      <c r="N34" s="14">
        <f t="shared" si="15"/>
        <v>0.24648711943793922</v>
      </c>
      <c r="O34" s="81">
        <f>O16/N16-1</f>
        <v>8.3601802255155455E-2</v>
      </c>
      <c r="P34" s="81">
        <f t="shared" ref="P34" si="16">P16/O16-1</f>
        <v>-0.85551147249600989</v>
      </c>
      <c r="Q34" s="20">
        <f t="shared" ref="Q34:S34" si="17">Q16/P16-1</f>
        <v>8.77</v>
      </c>
      <c r="R34" s="20">
        <f t="shared" si="17"/>
        <v>-0.17860798362333674</v>
      </c>
      <c r="S34" s="20">
        <f t="shared" si="17"/>
        <v>1.6199376947040545E-2</v>
      </c>
      <c r="U34"/>
      <c r="V34"/>
      <c r="W34"/>
      <c r="X34"/>
      <c r="Y34"/>
      <c r="Z34"/>
      <c r="AA34"/>
      <c r="AB34"/>
    </row>
    <row r="35" spans="1:30">
      <c r="B35" s="1" t="s">
        <v>16</v>
      </c>
      <c r="D35" s="8">
        <v>0</v>
      </c>
      <c r="E35" s="14">
        <f>E17/D17-1</f>
        <v>0.12909632571996021</v>
      </c>
      <c r="F35" s="14">
        <f t="shared" ref="F35:S37" si="18">F17/E17-1</f>
        <v>0.16446789797713279</v>
      </c>
      <c r="G35" s="14">
        <f t="shared" si="18"/>
        <v>-0.10528700906344413</v>
      </c>
      <c r="H35" s="14">
        <f t="shared" si="18"/>
        <v>-0.46893466148911023</v>
      </c>
      <c r="I35" s="14">
        <f t="shared" si="18"/>
        <v>0.48307105388650462</v>
      </c>
      <c r="J35" s="14">
        <f t="shared" si="18"/>
        <v>7.9206859592711787E-2</v>
      </c>
      <c r="K35" s="14">
        <f t="shared" si="18"/>
        <v>0.15334194060979245</v>
      </c>
      <c r="L35" s="14">
        <f t="shared" si="18"/>
        <v>-0.23706191337294413</v>
      </c>
      <c r="M35" s="14">
        <f t="shared" si="18"/>
        <v>-0.38036117381489842</v>
      </c>
      <c r="N35" s="14">
        <f t="shared" si="18"/>
        <v>0.61894353369763211</v>
      </c>
      <c r="O35" s="81">
        <f t="shared" si="18"/>
        <v>0.35002647265935205</v>
      </c>
      <c r="P35" s="81">
        <f t="shared" si="18"/>
        <v>-0.91499316608099424</v>
      </c>
      <c r="Q35" s="20">
        <f t="shared" si="18"/>
        <v>11.401960784313726</v>
      </c>
      <c r="R35" s="20">
        <f t="shared" si="18"/>
        <v>-0.20268774703557313</v>
      </c>
      <c r="S35" s="20">
        <f t="shared" si="18"/>
        <v>4.8383898473131071E-2</v>
      </c>
      <c r="U35"/>
      <c r="V35"/>
      <c r="W35"/>
      <c r="X35"/>
      <c r="Y35"/>
      <c r="Z35"/>
      <c r="AA35"/>
      <c r="AB35"/>
    </row>
    <row r="36" spans="1:30">
      <c r="B36" s="1" t="s">
        <v>17</v>
      </c>
      <c r="D36" s="8">
        <v>0</v>
      </c>
      <c r="E36" s="14">
        <f>E18/D18-1</f>
        <v>1.2548276704962111</v>
      </c>
      <c r="F36" s="14">
        <f t="shared" ref="F36:S37" si="19">F18/E18-1</f>
        <v>2.0389180985419264</v>
      </c>
      <c r="G36" s="14">
        <f t="shared" si="19"/>
        <v>0.21446535271559797</v>
      </c>
      <c r="H36" s="14">
        <f t="shared" si="19"/>
        <v>-0.25203777408979422</v>
      </c>
      <c r="I36" s="14">
        <f t="shared" si="19"/>
        <v>0.52438737040527794</v>
      </c>
      <c r="J36" s="14">
        <f t="shared" si="19"/>
        <v>2.6650694283432586E-2</v>
      </c>
      <c r="K36" s="14">
        <f t="shared" si="19"/>
        <v>0.15340702357502223</v>
      </c>
      <c r="L36" s="14">
        <f t="shared" si="19"/>
        <v>-0.30041335798977487</v>
      </c>
      <c r="M36" s="14">
        <f t="shared" si="19"/>
        <v>-0.46757265249638491</v>
      </c>
      <c r="N36" s="14">
        <f t="shared" si="19"/>
        <v>0.67674201273290113</v>
      </c>
      <c r="O36" s="81">
        <f t="shared" si="18"/>
        <v>0.39336410345728479</v>
      </c>
      <c r="P36" s="81">
        <f t="shared" si="18"/>
        <v>-6.25E-2</v>
      </c>
      <c r="Q36" s="20">
        <f t="shared" si="19"/>
        <v>-0.13493333333333335</v>
      </c>
      <c r="R36" s="20">
        <f t="shared" si="19"/>
        <v>1.094327990135624E-2</v>
      </c>
      <c r="S36" s="20">
        <f t="shared" si="19"/>
        <v>1.8447934136301303E-2</v>
      </c>
    </row>
    <row r="37" spans="1:30">
      <c r="B37" s="1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5">
        <f t="shared" si="19"/>
        <v>5.7459100204498981</v>
      </c>
      <c r="N37" s="15">
        <f t="shared" si="19"/>
        <v>1.4519136036377414</v>
      </c>
      <c r="O37" s="82">
        <f t="shared" si="18"/>
        <v>0.39863382066578068</v>
      </c>
      <c r="P37" s="82">
        <f t="shared" si="18"/>
        <v>0.16254143646408847</v>
      </c>
      <c r="Q37" s="22">
        <f t="shared" si="19"/>
        <v>-2.3857047809143661E-2</v>
      </c>
      <c r="R37" s="22">
        <f t="shared" si="19"/>
        <v>3.213242453748788E-2</v>
      </c>
      <c r="S37" s="22">
        <f t="shared" si="19"/>
        <v>5.6603773584905648E-2</v>
      </c>
    </row>
    <row r="38" spans="1:30">
      <c r="B38" s="5" t="s">
        <v>35</v>
      </c>
      <c r="D38" s="8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83"/>
      <c r="P38" s="77"/>
      <c r="Q38" s="17"/>
      <c r="R38" s="17"/>
      <c r="S38" s="17"/>
    </row>
    <row r="39" spans="1:30">
      <c r="B39" s="1" t="s">
        <v>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14">
        <f>L21/K21-1</f>
        <v>13.48840579710145</v>
      </c>
      <c r="M39" s="14">
        <f t="shared" ref="M39:S39" si="20">M21/L21-1</f>
        <v>2.2849854956486948</v>
      </c>
      <c r="N39" s="14">
        <f t="shared" si="20"/>
        <v>5.2070645554202155E-2</v>
      </c>
      <c r="O39" s="81">
        <f t="shared" si="20"/>
        <v>1.3024602026049159E-2</v>
      </c>
      <c r="P39" s="81">
        <f t="shared" si="20"/>
        <v>-0.2857142857142857</v>
      </c>
      <c r="Q39" s="20">
        <f t="shared" si="20"/>
        <v>1.17</v>
      </c>
      <c r="R39" s="20">
        <f t="shared" si="20"/>
        <v>-4.6082949308755561E-3</v>
      </c>
      <c r="S39" s="20">
        <f t="shared" si="20"/>
        <v>2.5648148148148087E-2</v>
      </c>
    </row>
    <row r="40" spans="1:30">
      <c r="B40" s="1" t="s">
        <v>21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78">
        <v>0</v>
      </c>
      <c r="P40" s="78">
        <v>0</v>
      </c>
      <c r="Q40" s="18">
        <v>0</v>
      </c>
      <c r="R40" s="18">
        <v>0</v>
      </c>
      <c r="S40" s="18">
        <v>0</v>
      </c>
    </row>
    <row r="41" spans="1:30">
      <c r="B41" s="5" t="s">
        <v>36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77"/>
      <c r="P41" s="77"/>
      <c r="Q41" s="17"/>
      <c r="R41" s="17"/>
      <c r="S41" s="17"/>
    </row>
    <row r="42" spans="1:30">
      <c r="B42" s="1" t="s">
        <v>23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77">
        <v>0</v>
      </c>
      <c r="P42" s="77">
        <v>0</v>
      </c>
      <c r="Q42" s="17">
        <v>0</v>
      </c>
      <c r="R42" s="17">
        <v>0</v>
      </c>
      <c r="S42" s="17">
        <v>0</v>
      </c>
    </row>
    <row r="43" spans="1:30">
      <c r="B43" s="1" t="s">
        <v>24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78">
        <v>0</v>
      </c>
      <c r="P43" s="78">
        <v>0</v>
      </c>
      <c r="Q43" s="18">
        <v>0</v>
      </c>
      <c r="R43" s="18">
        <v>0</v>
      </c>
      <c r="S43" s="18">
        <v>0</v>
      </c>
    </row>
    <row r="44" spans="1:30">
      <c r="B44" s="5" t="s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77"/>
      <c r="P44" s="77"/>
      <c r="Q44" s="17"/>
      <c r="R44" s="17"/>
      <c r="S44" s="17"/>
      <c r="U44"/>
      <c r="V44"/>
      <c r="W44"/>
      <c r="X44"/>
      <c r="Y44"/>
      <c r="Z44"/>
      <c r="AA44"/>
      <c r="AB44"/>
      <c r="AC44"/>
      <c r="AD44"/>
    </row>
    <row r="45" spans="1:30">
      <c r="B45" s="1" t="s">
        <v>26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77">
        <v>0</v>
      </c>
      <c r="P45" s="77">
        <v>0</v>
      </c>
      <c r="Q45" s="17">
        <v>0</v>
      </c>
      <c r="R45" s="17">
        <v>0</v>
      </c>
      <c r="S45" s="17">
        <v>0</v>
      </c>
      <c r="U45"/>
      <c r="V45"/>
      <c r="W45"/>
      <c r="X45"/>
      <c r="Y45"/>
      <c r="Z45"/>
      <c r="AA45"/>
      <c r="AB45"/>
      <c r="AC45"/>
      <c r="AD45"/>
    </row>
    <row r="46" spans="1:30">
      <c r="B46" s="1" t="s">
        <v>27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77">
        <v>0</v>
      </c>
      <c r="P46" s="77">
        <v>0</v>
      </c>
      <c r="Q46" s="17">
        <v>0</v>
      </c>
      <c r="R46" s="17">
        <v>0</v>
      </c>
      <c r="S46" s="17">
        <v>0</v>
      </c>
      <c r="U46"/>
      <c r="V46"/>
      <c r="W46"/>
      <c r="X46"/>
      <c r="Y46"/>
      <c r="Z46"/>
      <c r="AA46"/>
      <c r="AB46"/>
      <c r="AC46"/>
      <c r="AD46"/>
    </row>
    <row r="47" spans="1:30">
      <c r="B47" s="1" t="s">
        <v>28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78">
        <v>0</v>
      </c>
      <c r="P47" s="78">
        <v>0</v>
      </c>
      <c r="Q47" s="18">
        <v>0</v>
      </c>
      <c r="R47" s="18">
        <v>0</v>
      </c>
      <c r="S47" s="18">
        <v>0</v>
      </c>
      <c r="U47"/>
      <c r="V47"/>
      <c r="W47"/>
      <c r="X47"/>
      <c r="Y47"/>
      <c r="Z47"/>
      <c r="AA47"/>
      <c r="AB47"/>
      <c r="AC47"/>
      <c r="AD47"/>
    </row>
    <row r="48" spans="1:30" ht="15.75" thickBot="1">
      <c r="B48" s="5" t="s">
        <v>38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84"/>
      <c r="P48" s="84"/>
      <c r="Q48" s="19"/>
      <c r="R48" s="19"/>
      <c r="S48" s="19"/>
      <c r="U48"/>
      <c r="V48"/>
      <c r="W48"/>
      <c r="X48"/>
      <c r="Y48"/>
      <c r="Z48"/>
      <c r="AA48"/>
      <c r="AB48"/>
      <c r="AC48"/>
      <c r="AD48"/>
    </row>
    <row r="49" spans="15:15" customFormat="1">
      <c r="O49" s="76"/>
    </row>
  </sheetData>
  <mergeCells count="4">
    <mergeCell ref="D1:G1"/>
    <mergeCell ref="H1:K1"/>
    <mergeCell ref="L1:O1"/>
    <mergeCell ref="P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5698-F042-482B-8953-F3F74812771F}">
  <dimension ref="A2:V128"/>
  <sheetViews>
    <sheetView showGridLines="0" tabSelected="1" zoomScale="85" zoomScaleNormal="85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T113" sqref="T113"/>
    </sheetView>
  </sheetViews>
  <sheetFormatPr defaultRowHeight="15" outlineLevelCol="1"/>
  <cols>
    <col min="1" max="1" width="44.42578125" style="73" bestFit="1" customWidth="1"/>
    <col min="2" max="2" width="9.140625" style="57"/>
    <col min="3" max="9" width="13.7109375" style="57" customWidth="1" outlineLevel="1"/>
    <col min="10" max="13" width="15.7109375" style="57" customWidth="1" outlineLevel="1"/>
    <col min="14" max="19" width="15.7109375" style="57" customWidth="1"/>
    <col min="20" max="20" width="18" style="57" bestFit="1" customWidth="1"/>
    <col min="21" max="21" width="9.140625" style="57"/>
    <col min="22" max="22" width="10.28515625" style="57" bestFit="1" customWidth="1"/>
    <col min="23" max="16384" width="9.140625" style="57"/>
  </cols>
  <sheetData>
    <row r="2" spans="1:19">
      <c r="C2" s="57">
        <v>2009</v>
      </c>
      <c r="D2" s="57">
        <v>2010</v>
      </c>
      <c r="E2" s="57">
        <v>2011</v>
      </c>
      <c r="F2" s="57">
        <v>2012</v>
      </c>
      <c r="G2" s="57">
        <v>2013</v>
      </c>
      <c r="H2" s="57">
        <v>2014</v>
      </c>
      <c r="I2" s="57">
        <v>2015</v>
      </c>
      <c r="J2" s="57">
        <v>2016</v>
      </c>
      <c r="K2" s="57">
        <v>2017</v>
      </c>
      <c r="L2" s="57">
        <v>2018</v>
      </c>
      <c r="M2" s="57">
        <v>2019</v>
      </c>
      <c r="N2" s="57">
        <v>2020</v>
      </c>
      <c r="O2" s="57">
        <v>2021</v>
      </c>
      <c r="P2" s="57">
        <v>2022</v>
      </c>
      <c r="Q2" s="57">
        <v>2023</v>
      </c>
      <c r="R2" s="57">
        <v>2024</v>
      </c>
      <c r="S2" s="57">
        <v>2025</v>
      </c>
    </row>
    <row r="4" spans="1:19" s="64" customFormat="1" ht="24.75" customHeight="1" thickBot="1">
      <c r="A4" s="112" t="s">
        <v>107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19">
      <c r="A5" s="74" t="s">
        <v>199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7"/>
      <c r="P5" s="67"/>
      <c r="Q5" s="67"/>
      <c r="R5" s="67"/>
      <c r="S5" s="67"/>
    </row>
    <row r="6" spans="1:19">
      <c r="A6" s="73" t="s">
        <v>45</v>
      </c>
      <c r="C6" s="61">
        <v>111943</v>
      </c>
      <c r="D6" s="61">
        <v>97078</v>
      </c>
      <c r="E6" s="61">
        <v>148568</v>
      </c>
      <c r="F6" s="61">
        <v>385699</v>
      </c>
      <c r="G6" s="61">
        <v>1997786</v>
      </c>
      <c r="H6" s="61">
        <v>3007012</v>
      </c>
      <c r="I6" s="61">
        <v>3740973</v>
      </c>
      <c r="J6" s="61">
        <v>6350766</v>
      </c>
      <c r="K6" s="61">
        <v>9641300</v>
      </c>
      <c r="L6" s="61">
        <v>18515000</v>
      </c>
      <c r="M6" s="61">
        <v>20821000</v>
      </c>
      <c r="N6" s="61">
        <v>27236000</v>
      </c>
      <c r="O6" s="67"/>
      <c r="P6" s="67"/>
      <c r="Q6" s="67"/>
      <c r="R6" s="67"/>
      <c r="S6" s="67"/>
    </row>
    <row r="7" spans="1:19">
      <c r="A7" s="73" t="s">
        <v>44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  <c r="P7" s="67"/>
      <c r="Q7" s="67"/>
      <c r="R7" s="67"/>
      <c r="S7" s="67"/>
    </row>
    <row r="8" spans="1:19">
      <c r="A8" s="101" t="s">
        <v>31</v>
      </c>
      <c r="B8" s="102"/>
      <c r="C8" s="12">
        <f>+C6-C7</f>
        <v>111943</v>
      </c>
      <c r="D8" s="12">
        <f t="shared" ref="D8:N8" si="0">+D6-D7</f>
        <v>97078</v>
      </c>
      <c r="E8" s="12">
        <f t="shared" si="0"/>
        <v>148568</v>
      </c>
      <c r="F8" s="12">
        <f t="shared" si="0"/>
        <v>385699</v>
      </c>
      <c r="G8" s="12">
        <f t="shared" si="0"/>
        <v>1997786</v>
      </c>
      <c r="H8" s="12">
        <f t="shared" si="0"/>
        <v>3007012</v>
      </c>
      <c r="I8" s="12">
        <f t="shared" si="0"/>
        <v>3740973</v>
      </c>
      <c r="J8" s="12">
        <f t="shared" si="0"/>
        <v>6350766</v>
      </c>
      <c r="K8" s="12">
        <f t="shared" si="0"/>
        <v>9641300</v>
      </c>
      <c r="L8" s="12">
        <f t="shared" si="0"/>
        <v>18515000</v>
      </c>
      <c r="M8" s="12">
        <f t="shared" si="0"/>
        <v>20821000</v>
      </c>
      <c r="N8" s="12">
        <f t="shared" si="0"/>
        <v>27236000</v>
      </c>
      <c r="O8" s="61"/>
      <c r="P8" s="61"/>
      <c r="Q8" s="61"/>
      <c r="R8" s="61"/>
      <c r="S8" s="61"/>
    </row>
    <row r="9" spans="1:19">
      <c r="A9" s="74" t="s">
        <v>108</v>
      </c>
      <c r="C9" s="61">
        <v>111943</v>
      </c>
      <c r="D9" s="61">
        <v>116744</v>
      </c>
      <c r="E9" s="61">
        <v>204242</v>
      </c>
      <c r="F9" s="61">
        <v>413256</v>
      </c>
      <c r="G9" s="61">
        <v>2013496</v>
      </c>
      <c r="H9" s="61">
        <v>3198356</v>
      </c>
      <c r="I9" s="61">
        <v>4046025</v>
      </c>
      <c r="J9" s="62">
        <v>7000132</v>
      </c>
      <c r="K9" s="62">
        <v>11758751</v>
      </c>
      <c r="L9" s="62">
        <v>21461000</v>
      </c>
      <c r="M9" s="62">
        <v>24578000</v>
      </c>
      <c r="N9" s="62">
        <v>31536000</v>
      </c>
      <c r="O9" s="66"/>
      <c r="P9" s="66"/>
      <c r="Q9" s="66"/>
      <c r="R9" s="66"/>
      <c r="S9" s="66"/>
    </row>
    <row r="10" spans="1:19">
      <c r="A10" s="74"/>
      <c r="C10" s="61"/>
      <c r="D10" s="61"/>
      <c r="E10" s="61"/>
      <c r="F10" s="61"/>
      <c r="G10" s="61"/>
      <c r="H10" s="61"/>
      <c r="I10" s="61"/>
      <c r="J10" s="59"/>
      <c r="K10" s="59"/>
      <c r="L10" s="59"/>
      <c r="M10" s="59"/>
      <c r="N10" s="59"/>
      <c r="O10" s="67"/>
      <c r="P10" s="67"/>
      <c r="Q10" s="67"/>
      <c r="R10" s="67"/>
      <c r="S10" s="67"/>
    </row>
    <row r="11" spans="1:19">
      <c r="A11" s="74" t="s">
        <v>109</v>
      </c>
      <c r="O11" s="68"/>
      <c r="P11" s="68"/>
      <c r="Q11" s="68"/>
      <c r="R11" s="68"/>
      <c r="S11" s="68"/>
    </row>
    <row r="12" spans="1:19">
      <c r="A12" s="101" t="s">
        <v>110</v>
      </c>
      <c r="B12" s="102"/>
      <c r="C12" s="12">
        <v>102408</v>
      </c>
      <c r="D12" s="12">
        <v>79982</v>
      </c>
      <c r="E12" s="12">
        <v>115482</v>
      </c>
      <c r="F12" s="12">
        <v>371658</v>
      </c>
      <c r="G12" s="12">
        <v>1543878</v>
      </c>
      <c r="H12" s="12">
        <v>2145749</v>
      </c>
      <c r="I12" s="12">
        <v>2823302</v>
      </c>
      <c r="J12" s="12">
        <v>4750081</v>
      </c>
      <c r="K12" s="12">
        <v>7432704</v>
      </c>
      <c r="L12" s="12">
        <v>14174000</v>
      </c>
      <c r="M12" s="12">
        <v>16398000</v>
      </c>
      <c r="N12" s="12">
        <v>20259000</v>
      </c>
      <c r="O12" s="67"/>
      <c r="P12" s="67"/>
      <c r="Q12" s="67"/>
      <c r="R12" s="67"/>
      <c r="S12" s="67"/>
    </row>
    <row r="13" spans="1:19">
      <c r="A13" s="74" t="s">
        <v>111</v>
      </c>
      <c r="C13" s="61">
        <v>102408</v>
      </c>
      <c r="D13" s="61">
        <v>86013</v>
      </c>
      <c r="E13" s="61">
        <v>142647</v>
      </c>
      <c r="F13" s="61">
        <v>383189</v>
      </c>
      <c r="G13" s="61">
        <v>1557234</v>
      </c>
      <c r="H13" s="61">
        <v>2316685</v>
      </c>
      <c r="I13" s="61">
        <v>3122522</v>
      </c>
      <c r="J13" s="62">
        <v>5400875</v>
      </c>
      <c r="K13" s="62">
        <v>9536264</v>
      </c>
      <c r="L13" s="62">
        <v>17419000</v>
      </c>
      <c r="M13" s="62">
        <v>20509000</v>
      </c>
      <c r="N13" s="62">
        <v>24906000</v>
      </c>
      <c r="O13" s="66"/>
      <c r="P13" s="66"/>
      <c r="Q13" s="66"/>
      <c r="R13" s="66"/>
      <c r="S13" s="66"/>
    </row>
    <row r="14" spans="1:19">
      <c r="A14" s="74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7"/>
      <c r="P14" s="67"/>
      <c r="Q14" s="67"/>
      <c r="R14" s="67"/>
      <c r="S14" s="67"/>
    </row>
    <row r="15" spans="1:19">
      <c r="A15" s="74" t="s">
        <v>112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7"/>
      <c r="P15" s="67"/>
      <c r="Q15" s="67"/>
      <c r="R15" s="67"/>
      <c r="S15" s="67"/>
    </row>
    <row r="16" spans="1:19">
      <c r="A16" s="73" t="s">
        <v>115</v>
      </c>
      <c r="C16" s="61">
        <v>19282</v>
      </c>
      <c r="D16" s="61">
        <v>92996</v>
      </c>
      <c r="E16" s="61">
        <v>208981</v>
      </c>
      <c r="F16" s="61">
        <v>273978</v>
      </c>
      <c r="G16" s="61">
        <v>231976</v>
      </c>
      <c r="H16" s="61">
        <v>464700</v>
      </c>
      <c r="I16" s="61">
        <v>717900</v>
      </c>
      <c r="J16" s="61">
        <v>834408</v>
      </c>
      <c r="K16" s="61">
        <v>1378073</v>
      </c>
      <c r="L16" s="61">
        <v>1460000</v>
      </c>
      <c r="M16" s="61">
        <v>1343000</v>
      </c>
      <c r="N16" s="61">
        <v>1491000</v>
      </c>
      <c r="O16" s="67"/>
      <c r="P16" s="67"/>
      <c r="Q16" s="67"/>
      <c r="R16" s="67"/>
      <c r="S16" s="67"/>
    </row>
    <row r="17" spans="1:19">
      <c r="A17" s="73" t="s">
        <v>113</v>
      </c>
      <c r="C17" s="61">
        <v>42150</v>
      </c>
      <c r="D17" s="61">
        <v>84573</v>
      </c>
      <c r="E17" s="61">
        <v>104102</v>
      </c>
      <c r="F17" s="61">
        <v>150372</v>
      </c>
      <c r="G17" s="61">
        <v>285569</v>
      </c>
      <c r="H17" s="61">
        <v>603660</v>
      </c>
      <c r="I17" s="61">
        <v>922232</v>
      </c>
      <c r="J17" s="61">
        <v>1432189</v>
      </c>
      <c r="K17" s="61">
        <v>2476500</v>
      </c>
      <c r="L17" s="61">
        <v>2835000</v>
      </c>
      <c r="M17" s="61">
        <v>2646000</v>
      </c>
      <c r="N17" s="61">
        <v>3145000</v>
      </c>
      <c r="O17" s="67"/>
      <c r="P17" s="67"/>
      <c r="Q17" s="67"/>
      <c r="R17" s="67"/>
      <c r="S17" s="67"/>
    </row>
    <row r="18" spans="1:19">
      <c r="A18" s="73" t="s">
        <v>114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135000</v>
      </c>
      <c r="M18" s="61">
        <v>149000</v>
      </c>
      <c r="N18" s="61">
        <v>0</v>
      </c>
      <c r="O18" s="67"/>
      <c r="P18" s="67"/>
      <c r="Q18" s="67"/>
      <c r="R18" s="67"/>
      <c r="S18" s="67"/>
    </row>
    <row r="19" spans="1:19">
      <c r="A19" s="103" t="s">
        <v>32</v>
      </c>
      <c r="B19" s="102"/>
      <c r="C19" s="12">
        <f>+SUM(C16:C18)</f>
        <v>61432</v>
      </c>
      <c r="D19" s="12">
        <f t="shared" ref="D19:N19" si="1">+SUM(D16:D18)</f>
        <v>177569</v>
      </c>
      <c r="E19" s="12">
        <f t="shared" si="1"/>
        <v>313083</v>
      </c>
      <c r="F19" s="12">
        <f t="shared" si="1"/>
        <v>424350</v>
      </c>
      <c r="G19" s="12">
        <f t="shared" si="1"/>
        <v>517545</v>
      </c>
      <c r="H19" s="12">
        <f t="shared" si="1"/>
        <v>1068360</v>
      </c>
      <c r="I19" s="12">
        <f t="shared" si="1"/>
        <v>1640132</v>
      </c>
      <c r="J19" s="16">
        <f t="shared" si="1"/>
        <v>2266597</v>
      </c>
      <c r="K19" s="16">
        <f t="shared" si="1"/>
        <v>3854573</v>
      </c>
      <c r="L19" s="16">
        <f t="shared" si="1"/>
        <v>4430000</v>
      </c>
      <c r="M19" s="16">
        <f t="shared" si="1"/>
        <v>4138000</v>
      </c>
      <c r="N19" s="16">
        <f t="shared" si="1"/>
        <v>4636000</v>
      </c>
      <c r="O19" s="66"/>
      <c r="P19" s="66"/>
      <c r="Q19" s="66"/>
      <c r="R19" s="66"/>
      <c r="S19" s="66"/>
    </row>
    <row r="20" spans="1:19" s="58" customFormat="1">
      <c r="A20" s="74" t="s">
        <v>120</v>
      </c>
      <c r="C20" s="63">
        <f>+C9-C13-C19</f>
        <v>-51897</v>
      </c>
      <c r="D20" s="63">
        <f t="shared" ref="D20:N20" si="2">+D9-D13-D19</f>
        <v>-146838</v>
      </c>
      <c r="E20" s="63">
        <f t="shared" si="2"/>
        <v>-251488</v>
      </c>
      <c r="F20" s="63">
        <f t="shared" si="2"/>
        <v>-394283</v>
      </c>
      <c r="G20" s="63">
        <f t="shared" si="2"/>
        <v>-61283</v>
      </c>
      <c r="H20" s="63">
        <f t="shared" si="2"/>
        <v>-186689</v>
      </c>
      <c r="I20" s="63">
        <f t="shared" si="2"/>
        <v>-716629</v>
      </c>
      <c r="J20" s="63">
        <f t="shared" si="2"/>
        <v>-667340</v>
      </c>
      <c r="K20" s="63">
        <f t="shared" si="2"/>
        <v>-1632086</v>
      </c>
      <c r="L20" s="63">
        <f t="shared" si="2"/>
        <v>-388000</v>
      </c>
      <c r="M20" s="63">
        <f t="shared" si="2"/>
        <v>-69000</v>
      </c>
      <c r="N20" s="63">
        <f t="shared" si="2"/>
        <v>1994000</v>
      </c>
      <c r="O20" s="69"/>
      <c r="P20" s="69"/>
      <c r="Q20" s="69"/>
      <c r="R20" s="69"/>
      <c r="S20" s="69"/>
    </row>
    <row r="21" spans="1:19">
      <c r="A21" s="74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7"/>
      <c r="P21" s="67"/>
      <c r="Q21" s="67"/>
      <c r="R21" s="67"/>
      <c r="S21" s="67"/>
    </row>
    <row r="22" spans="1:19">
      <c r="A22" s="73" t="s">
        <v>116</v>
      </c>
      <c r="B22" s="58"/>
      <c r="C22" s="61">
        <v>159</v>
      </c>
      <c r="D22" s="61">
        <v>258</v>
      </c>
      <c r="E22" s="61">
        <v>255</v>
      </c>
      <c r="F22" s="61">
        <v>288</v>
      </c>
      <c r="G22" s="61">
        <v>189</v>
      </c>
      <c r="H22" s="61">
        <v>1126</v>
      </c>
      <c r="I22" s="61">
        <v>1508</v>
      </c>
      <c r="J22" s="61">
        <v>8530</v>
      </c>
      <c r="K22" s="61">
        <v>19686</v>
      </c>
      <c r="L22" s="61">
        <v>24000</v>
      </c>
      <c r="M22" s="61">
        <v>44000</v>
      </c>
      <c r="N22" s="61">
        <v>30000</v>
      </c>
      <c r="O22" s="67"/>
      <c r="P22" s="67"/>
      <c r="Q22" s="67"/>
      <c r="R22" s="67"/>
      <c r="S22" s="67"/>
    </row>
    <row r="23" spans="1:19">
      <c r="A23" s="73" t="s">
        <v>117</v>
      </c>
      <c r="B23" s="58"/>
      <c r="C23" s="61">
        <v>-2531</v>
      </c>
      <c r="D23" s="61">
        <v>-992</v>
      </c>
      <c r="E23" s="61">
        <v>-43</v>
      </c>
      <c r="F23" s="61">
        <v>-254</v>
      </c>
      <c r="G23" s="61">
        <v>-32934</v>
      </c>
      <c r="H23" s="61">
        <v>-100886</v>
      </c>
      <c r="I23" s="61">
        <v>-118851</v>
      </c>
      <c r="J23" s="61">
        <v>-198810</v>
      </c>
      <c r="K23" s="61">
        <v>-471259</v>
      </c>
      <c r="L23" s="61">
        <v>-663000</v>
      </c>
      <c r="M23" s="61">
        <v>-685000</v>
      </c>
      <c r="N23" s="61">
        <v>-748000</v>
      </c>
      <c r="O23" s="67"/>
      <c r="P23" s="67"/>
      <c r="Q23" s="67"/>
      <c r="R23" s="67"/>
      <c r="S23" s="67"/>
    </row>
    <row r="24" spans="1:19">
      <c r="A24" s="101" t="s">
        <v>118</v>
      </c>
      <c r="B24" s="104"/>
      <c r="C24" s="12">
        <v>-1445</v>
      </c>
      <c r="D24" s="12">
        <v>-6583</v>
      </c>
      <c r="E24" s="12">
        <v>-2646</v>
      </c>
      <c r="F24" s="12">
        <v>-1828</v>
      </c>
      <c r="G24" s="12">
        <v>22602</v>
      </c>
      <c r="H24" s="12">
        <v>1813</v>
      </c>
      <c r="I24" s="12">
        <v>-41652</v>
      </c>
      <c r="J24" s="12">
        <v>111272</v>
      </c>
      <c r="K24" s="12">
        <v>-125373</v>
      </c>
      <c r="L24" s="12">
        <v>22000</v>
      </c>
      <c r="M24" s="12">
        <v>45000</v>
      </c>
      <c r="N24" s="12">
        <v>-122000</v>
      </c>
      <c r="O24" s="67"/>
      <c r="P24" s="67"/>
      <c r="Q24" s="67"/>
      <c r="R24" s="67"/>
      <c r="S24" s="67"/>
    </row>
    <row r="25" spans="1:19" s="58" customFormat="1">
      <c r="A25" s="74" t="s">
        <v>122</v>
      </c>
      <c r="C25" s="63">
        <f>+SUM(C20:C24)</f>
        <v>-55714</v>
      </c>
      <c r="D25" s="63">
        <f t="shared" ref="D25:N25" si="3">+SUM(D20:D24)</f>
        <v>-154155</v>
      </c>
      <c r="E25" s="63">
        <f t="shared" si="3"/>
        <v>-253922</v>
      </c>
      <c r="F25" s="63">
        <f t="shared" si="3"/>
        <v>-396077</v>
      </c>
      <c r="G25" s="63">
        <f t="shared" si="3"/>
        <v>-71426</v>
      </c>
      <c r="H25" s="63">
        <f t="shared" si="3"/>
        <v>-284636</v>
      </c>
      <c r="I25" s="63">
        <f t="shared" si="3"/>
        <v>-875624</v>
      </c>
      <c r="J25" s="63">
        <f t="shared" si="3"/>
        <v>-746348</v>
      </c>
      <c r="K25" s="63">
        <f t="shared" si="3"/>
        <v>-2209032</v>
      </c>
      <c r="L25" s="63">
        <f t="shared" si="3"/>
        <v>-1005000</v>
      </c>
      <c r="M25" s="63">
        <f t="shared" si="3"/>
        <v>-665000</v>
      </c>
      <c r="N25" s="63">
        <f t="shared" si="3"/>
        <v>1154000</v>
      </c>
      <c r="O25" s="69"/>
      <c r="P25" s="69"/>
      <c r="Q25" s="69"/>
      <c r="R25" s="69"/>
      <c r="S25" s="69"/>
    </row>
    <row r="26" spans="1:19">
      <c r="A26" s="101" t="s">
        <v>119</v>
      </c>
      <c r="B26" s="104"/>
      <c r="C26" s="12">
        <v>26</v>
      </c>
      <c r="D26" s="12">
        <v>173</v>
      </c>
      <c r="E26" s="12">
        <v>489</v>
      </c>
      <c r="F26" s="12">
        <v>136</v>
      </c>
      <c r="G26" s="12">
        <v>2588</v>
      </c>
      <c r="H26" s="12">
        <v>9404</v>
      </c>
      <c r="I26" s="12">
        <v>13039</v>
      </c>
      <c r="J26" s="12">
        <v>26698</v>
      </c>
      <c r="K26" s="12">
        <v>31546</v>
      </c>
      <c r="L26" s="12">
        <v>58000</v>
      </c>
      <c r="M26" s="12">
        <v>110000</v>
      </c>
      <c r="N26" s="12">
        <v>292000</v>
      </c>
      <c r="O26" s="67"/>
      <c r="P26" s="67"/>
      <c r="Q26" s="67"/>
      <c r="R26" s="67"/>
      <c r="S26" s="67"/>
    </row>
    <row r="27" spans="1:19" s="58" customFormat="1">
      <c r="A27" s="74" t="s">
        <v>121</v>
      </c>
      <c r="C27" s="63">
        <f>+C25-C26</f>
        <v>-55740</v>
      </c>
      <c r="D27" s="63">
        <f t="shared" ref="D27:N27" si="4">+D25-D26</f>
        <v>-154328</v>
      </c>
      <c r="E27" s="63">
        <f t="shared" si="4"/>
        <v>-254411</v>
      </c>
      <c r="F27" s="63">
        <f t="shared" si="4"/>
        <v>-396213</v>
      </c>
      <c r="G27" s="63">
        <f t="shared" si="4"/>
        <v>-74014</v>
      </c>
      <c r="H27" s="63">
        <f t="shared" si="4"/>
        <v>-294040</v>
      </c>
      <c r="I27" s="63">
        <f t="shared" si="4"/>
        <v>-888663</v>
      </c>
      <c r="J27" s="63">
        <f t="shared" si="4"/>
        <v>-773046</v>
      </c>
      <c r="K27" s="63">
        <f t="shared" si="4"/>
        <v>-2240578</v>
      </c>
      <c r="L27" s="63">
        <f t="shared" si="4"/>
        <v>-1063000</v>
      </c>
      <c r="M27" s="63">
        <f t="shared" si="4"/>
        <v>-775000</v>
      </c>
      <c r="N27" s="63">
        <f t="shared" si="4"/>
        <v>862000</v>
      </c>
      <c r="O27" s="69"/>
      <c r="P27" s="69"/>
      <c r="Q27" s="69"/>
      <c r="R27" s="69"/>
      <c r="S27" s="69"/>
    </row>
    <row r="28" spans="1:19">
      <c r="A28" s="74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7"/>
      <c r="P28" s="67"/>
      <c r="Q28" s="67"/>
      <c r="R28" s="67"/>
      <c r="S28" s="67"/>
    </row>
    <row r="29" spans="1:19" ht="24" thickBot="1">
      <c r="A29" s="112" t="s">
        <v>150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7"/>
      <c r="P29" s="67"/>
      <c r="Q29" s="67"/>
      <c r="R29" s="67"/>
      <c r="S29" s="67"/>
    </row>
    <row r="30" spans="1:19">
      <c r="A30" s="74" t="s">
        <v>199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7"/>
      <c r="P30" s="67"/>
      <c r="Q30" s="67"/>
      <c r="R30" s="67"/>
      <c r="S30" s="67"/>
    </row>
    <row r="31" spans="1:19" ht="18.75">
      <c r="A31" s="105" t="s">
        <v>165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7"/>
      <c r="P31" s="67"/>
      <c r="Q31" s="67"/>
      <c r="R31" s="67"/>
      <c r="S31" s="67"/>
    </row>
    <row r="32" spans="1:19" ht="15.75">
      <c r="A32" s="106" t="s">
        <v>166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7"/>
      <c r="P32" s="67"/>
      <c r="Q32" s="67"/>
      <c r="R32" s="67"/>
      <c r="S32" s="67"/>
    </row>
    <row r="33" spans="1:19">
      <c r="A33" s="73" t="s">
        <v>167</v>
      </c>
      <c r="C33" s="61"/>
      <c r="D33" s="61">
        <f>+'[1]Balance Sheet'!B$8</f>
        <v>99558</v>
      </c>
      <c r="E33" s="61">
        <f>+'[1]Balance Sheet'!C$8</f>
        <v>255266</v>
      </c>
      <c r="F33" s="61">
        <f>+'[1]Balance Sheet'!D$8</f>
        <v>201890</v>
      </c>
      <c r="G33" s="61">
        <f>+'[1]Balance Sheet'!E$8</f>
        <v>845889</v>
      </c>
      <c r="H33" s="61">
        <f>+'[1]Balance Sheet'!F$8</f>
        <v>1905713</v>
      </c>
      <c r="I33" s="61">
        <f>+'[1]Balance Sheet'!G$8</f>
        <v>1196908</v>
      </c>
      <c r="J33" s="61">
        <f>+'[1]Balance Sheet'!H$8</f>
        <v>3393216</v>
      </c>
      <c r="K33" s="61">
        <f>+'[1]Balance Sheet'!I$8</f>
        <v>3367914</v>
      </c>
      <c r="L33" s="61">
        <f>+'[1]Balance Sheet'!J$8</f>
        <v>3686000</v>
      </c>
      <c r="M33" s="61">
        <f>+'[1]Balance Sheet'!K$8</f>
        <v>6268000</v>
      </c>
      <c r="N33" s="61">
        <f>+'[1]Balance Sheet'!L$8</f>
        <v>19384000</v>
      </c>
      <c r="O33" s="61">
        <f>+'[1]Balance Sheet'!M$8</f>
        <v>0</v>
      </c>
      <c r="P33" s="61">
        <f>+'[1]Balance Sheet'!N$8</f>
        <v>0</v>
      </c>
      <c r="Q33" s="61">
        <f>+'[1]Balance Sheet'!O$8</f>
        <v>0</v>
      </c>
      <c r="R33" s="61">
        <f>+'[1]Balance Sheet'!P$8</f>
        <v>0</v>
      </c>
      <c r="S33" s="61">
        <f>+'[1]Balance Sheet'!Q$8</f>
        <v>0</v>
      </c>
    </row>
    <row r="34" spans="1:19">
      <c r="A34" s="73" t="s">
        <v>168</v>
      </c>
      <c r="C34" s="61"/>
      <c r="D34" s="61">
        <f>+'[1]Balance Sheet'!B$9</f>
        <v>73597</v>
      </c>
      <c r="E34" s="61">
        <f>+'[1]Balance Sheet'!C$9</f>
        <v>48537</v>
      </c>
      <c r="F34" s="61">
        <f>+'[1]Balance Sheet'!D$9</f>
        <v>19094</v>
      </c>
      <c r="G34" s="61">
        <f>+'[1]Balance Sheet'!E$9</f>
        <v>3012</v>
      </c>
      <c r="H34" s="61">
        <f>+'[1]Balance Sheet'!F$9</f>
        <v>17947</v>
      </c>
      <c r="I34" s="61">
        <f>+'[1]Balance Sheet'!G$9</f>
        <v>22628</v>
      </c>
      <c r="J34" s="61">
        <f>+'[1]Balance Sheet'!H$9</f>
        <v>105519</v>
      </c>
      <c r="K34" s="61">
        <f>+'[1]Balance Sheet'!I$9</f>
        <v>155323</v>
      </c>
      <c r="L34" s="61">
        <f>+'[1]Balance Sheet'!J$9</f>
        <v>193000</v>
      </c>
      <c r="M34" s="61">
        <f>+'[1]Balance Sheet'!K$9</f>
        <v>0</v>
      </c>
      <c r="N34" s="61">
        <f>+'[1]Balance Sheet'!L$9</f>
        <v>0</v>
      </c>
      <c r="O34" s="61">
        <f>+'[1]Balance Sheet'!M$9</f>
        <v>0</v>
      </c>
      <c r="P34" s="61">
        <f>+'[1]Balance Sheet'!N$9</f>
        <v>0</v>
      </c>
      <c r="Q34" s="61">
        <f>+'[1]Balance Sheet'!O$9</f>
        <v>0</v>
      </c>
      <c r="R34" s="61">
        <f>+'[1]Balance Sheet'!P$9</f>
        <v>0</v>
      </c>
      <c r="S34" s="61">
        <f>+'[1]Balance Sheet'!Q$9</f>
        <v>0</v>
      </c>
    </row>
    <row r="35" spans="1:19">
      <c r="A35" s="73" t="s">
        <v>169</v>
      </c>
      <c r="C35" s="61"/>
      <c r="D35" s="61">
        <f>+'[1]Balance Sheet'!B$10</f>
        <v>6710</v>
      </c>
      <c r="E35" s="61">
        <f>+'[1]Balance Sheet'!C$10</f>
        <v>9539</v>
      </c>
      <c r="F35" s="61">
        <f>+'[1]Balance Sheet'!D$10</f>
        <v>26842</v>
      </c>
      <c r="G35" s="61">
        <f>+'[1]Balance Sheet'!E$10</f>
        <v>49109</v>
      </c>
      <c r="H35" s="61">
        <f>+'[1]Balance Sheet'!F$10</f>
        <v>226604</v>
      </c>
      <c r="I35" s="61">
        <f>+'[1]Balance Sheet'!G$10</f>
        <v>168965</v>
      </c>
      <c r="J35" s="61">
        <f>+'[1]Balance Sheet'!H$10</f>
        <v>499142</v>
      </c>
      <c r="K35" s="61">
        <f>+'[1]Balance Sheet'!I$10</f>
        <v>515381</v>
      </c>
      <c r="L35" s="61">
        <f>+'[1]Balance Sheet'!J$10</f>
        <v>949000</v>
      </c>
      <c r="M35" s="61">
        <f>+'[1]Balance Sheet'!K$10</f>
        <v>1324000</v>
      </c>
      <c r="N35" s="61">
        <f>+'[1]Balance Sheet'!L$10</f>
        <v>1886000</v>
      </c>
      <c r="O35" s="61">
        <f>+'[1]Balance Sheet'!M$10</f>
        <v>0</v>
      </c>
      <c r="P35" s="61">
        <f>+'[1]Balance Sheet'!N$10</f>
        <v>0</v>
      </c>
      <c r="Q35" s="61">
        <f>+'[1]Balance Sheet'!O$10</f>
        <v>0</v>
      </c>
      <c r="R35" s="61">
        <f>+'[1]Balance Sheet'!P$10</f>
        <v>0</v>
      </c>
      <c r="S35" s="61">
        <f>+'[1]Balance Sheet'!Q$10</f>
        <v>0</v>
      </c>
    </row>
    <row r="36" spans="1:19">
      <c r="A36" s="73" t="s">
        <v>170</v>
      </c>
      <c r="C36" s="61"/>
      <c r="D36" s="61">
        <f>+'[1]Balance Sheet'!B$11</f>
        <v>45182</v>
      </c>
      <c r="E36" s="61">
        <f>+'[1]Balance Sheet'!C$11</f>
        <v>50082</v>
      </c>
      <c r="F36" s="61">
        <f>+'[1]Balance Sheet'!D$11</f>
        <v>268504</v>
      </c>
      <c r="G36" s="61">
        <f>+'[1]Balance Sheet'!E$11</f>
        <v>340355</v>
      </c>
      <c r="H36" s="61">
        <f>+'[1]Balance Sheet'!F$11</f>
        <v>953675</v>
      </c>
      <c r="I36" s="61">
        <f>+'[1]Balance Sheet'!G$11</f>
        <v>1277838</v>
      </c>
      <c r="J36" s="61">
        <f>+'[1]Balance Sheet'!H$11</f>
        <v>2067454</v>
      </c>
      <c r="K36" s="61">
        <f>+'[1]Balance Sheet'!I$11</f>
        <v>2263537</v>
      </c>
      <c r="L36" s="61">
        <f>+'[1]Balance Sheet'!J$11</f>
        <v>3113000</v>
      </c>
      <c r="M36" s="61">
        <f>+'[1]Balance Sheet'!K$11</f>
        <v>3552000</v>
      </c>
      <c r="N36" s="61">
        <f>+'[1]Balance Sheet'!L$11</f>
        <v>4101000</v>
      </c>
      <c r="O36" s="61">
        <f>+'[1]Balance Sheet'!M$11</f>
        <v>0</v>
      </c>
      <c r="P36" s="61">
        <f>+'[1]Balance Sheet'!N$11</f>
        <v>0</v>
      </c>
      <c r="Q36" s="61">
        <f>+'[1]Balance Sheet'!O$11</f>
        <v>0</v>
      </c>
      <c r="R36" s="61">
        <f>+'[1]Balance Sheet'!P$11</f>
        <v>0</v>
      </c>
      <c r="S36" s="61">
        <f>+'[1]Balance Sheet'!Q$11</f>
        <v>0</v>
      </c>
    </row>
    <row r="37" spans="1:19">
      <c r="A37" s="101" t="s">
        <v>171</v>
      </c>
      <c r="B37" s="102"/>
      <c r="C37" s="12"/>
      <c r="D37" s="12">
        <f>+'[1]Balance Sheet'!B$12</f>
        <v>10839</v>
      </c>
      <c r="E37" s="12">
        <f>+'[1]Balance Sheet'!C$12</f>
        <v>9414</v>
      </c>
      <c r="F37" s="12">
        <f>+'[1]Balance Sheet'!D$12</f>
        <v>8438</v>
      </c>
      <c r="G37" s="12">
        <f>+'[1]Balance Sheet'!E$12</f>
        <v>27574</v>
      </c>
      <c r="H37" s="12">
        <f>+'[1]Balance Sheet'!F$12</f>
        <v>76134</v>
      </c>
      <c r="I37" s="12">
        <f>+'[1]Balance Sheet'!G$12</f>
        <v>125229</v>
      </c>
      <c r="J37" s="12">
        <f>+'[1]Balance Sheet'!H$12</f>
        <v>194465</v>
      </c>
      <c r="K37" s="12">
        <f>+'[1]Balance Sheet'!I$12</f>
        <v>268365</v>
      </c>
      <c r="L37" s="12">
        <f>+'[1]Balance Sheet'!J$12</f>
        <v>366000</v>
      </c>
      <c r="M37" s="12">
        <f>+'[1]Balance Sheet'!K$12</f>
        <v>959000</v>
      </c>
      <c r="N37" s="12">
        <f>+'[1]Balance Sheet'!L$12</f>
        <v>1346000</v>
      </c>
      <c r="O37" s="12">
        <f>+'[1]Balance Sheet'!M$12</f>
        <v>0</v>
      </c>
      <c r="P37" s="12">
        <f>+'[1]Balance Sheet'!N$12</f>
        <v>0</v>
      </c>
      <c r="Q37" s="12">
        <f>+'[1]Balance Sheet'!O$12</f>
        <v>0</v>
      </c>
      <c r="R37" s="12">
        <f>+'[1]Balance Sheet'!P$12</f>
        <v>0</v>
      </c>
      <c r="S37" s="12">
        <f>+'[1]Balance Sheet'!Q$12</f>
        <v>0</v>
      </c>
    </row>
    <row r="38" spans="1:19" s="58" customFormat="1">
      <c r="A38" s="74" t="s">
        <v>172</v>
      </c>
      <c r="C38" s="62"/>
      <c r="D38" s="62">
        <f>+'[1]Balance Sheet'!B$13</f>
        <v>235886</v>
      </c>
      <c r="E38" s="62">
        <f>+'[1]Balance Sheet'!C$13</f>
        <v>372838</v>
      </c>
      <c r="F38" s="62">
        <f>+'[1]Balance Sheet'!D$13</f>
        <v>524768</v>
      </c>
      <c r="G38" s="62">
        <f>+'[1]Balance Sheet'!E$13</f>
        <v>1265939</v>
      </c>
      <c r="H38" s="62">
        <f>+'[1]Balance Sheet'!F$13</f>
        <v>3180073</v>
      </c>
      <c r="I38" s="62">
        <f>+'[1]Balance Sheet'!G$13</f>
        <v>2791568</v>
      </c>
      <c r="J38" s="62">
        <f>+'[1]Balance Sheet'!H$13</f>
        <v>6259796</v>
      </c>
      <c r="K38" s="62">
        <f>+'[1]Balance Sheet'!I$13</f>
        <v>6570520</v>
      </c>
      <c r="L38" s="62">
        <f>+'[1]Balance Sheet'!J$13</f>
        <v>8307000</v>
      </c>
      <c r="M38" s="62">
        <f>+'[1]Balance Sheet'!K$13</f>
        <v>12103000</v>
      </c>
      <c r="N38" s="62">
        <f>+'[1]Balance Sheet'!L$13</f>
        <v>26717000</v>
      </c>
      <c r="O38" s="62">
        <f>+'[1]Balance Sheet'!M$13</f>
        <v>0</v>
      </c>
      <c r="P38" s="62">
        <f>+'[1]Balance Sheet'!N$13</f>
        <v>0</v>
      </c>
      <c r="Q38" s="62">
        <f>+'[1]Balance Sheet'!O$13</f>
        <v>0</v>
      </c>
      <c r="R38" s="62">
        <f>+'[1]Balance Sheet'!P$13</f>
        <v>0</v>
      </c>
      <c r="S38" s="62">
        <f>+'[1]Balance Sheet'!Q$13</f>
        <v>0</v>
      </c>
    </row>
    <row r="39" spans="1:19">
      <c r="A39" s="74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</row>
    <row r="40" spans="1:19">
      <c r="A40" s="73" t="s">
        <v>173</v>
      </c>
      <c r="C40" s="61"/>
      <c r="D40" s="61">
        <f>+'[1]Balance Sheet'!B$15</f>
        <v>7963</v>
      </c>
      <c r="E40" s="61">
        <f>+'[1]Balance Sheet'!C$15</f>
        <v>11757</v>
      </c>
      <c r="F40" s="61">
        <f>+'[1]Balance Sheet'!D$15</f>
        <v>10071</v>
      </c>
      <c r="G40" s="61">
        <f>+'[1]Balance Sheet'!E$15</f>
        <v>382425</v>
      </c>
      <c r="H40" s="61">
        <f>+'[1]Balance Sheet'!F$15</f>
        <v>766744</v>
      </c>
      <c r="I40" s="61">
        <f>+'[1]Balance Sheet'!G$15</f>
        <v>1791403</v>
      </c>
      <c r="J40" s="61">
        <f>+'[1]Balance Sheet'!H$15</f>
        <v>3134080</v>
      </c>
      <c r="K40" s="61">
        <f>+'[1]Balance Sheet'!I$15</f>
        <v>4116604</v>
      </c>
      <c r="L40" s="61">
        <f>+'[1]Balance Sheet'!J$15</f>
        <v>2090000</v>
      </c>
      <c r="M40" s="61">
        <f>+'[1]Balance Sheet'!K$15</f>
        <v>2447000</v>
      </c>
      <c r="N40" s="61">
        <f>+'[1]Balance Sheet'!L$15</f>
        <v>3091000</v>
      </c>
      <c r="O40" s="61">
        <f>+'[1]Balance Sheet'!M$15</f>
        <v>0</v>
      </c>
      <c r="P40" s="61">
        <f>+'[1]Balance Sheet'!N$15</f>
        <v>0</v>
      </c>
      <c r="Q40" s="61">
        <f>+'[1]Balance Sheet'!O$15</f>
        <v>0</v>
      </c>
      <c r="R40" s="61">
        <f>+'[1]Balance Sheet'!P$15</f>
        <v>0</v>
      </c>
      <c r="S40" s="61">
        <f>+'[1]Balance Sheet'!Q$15</f>
        <v>0</v>
      </c>
    </row>
    <row r="41" spans="1:19">
      <c r="A41" s="73" t="s">
        <v>174</v>
      </c>
      <c r="C41" s="61"/>
      <c r="D41" s="61">
        <f>+'[1]Balance Sheet'!B$16</f>
        <v>114636</v>
      </c>
      <c r="E41" s="61">
        <f>+'[1]Balance Sheet'!C$16</f>
        <v>298414</v>
      </c>
      <c r="F41" s="61">
        <f>+'[1]Balance Sheet'!D$16</f>
        <v>552229</v>
      </c>
      <c r="G41" s="61">
        <f>+'[1]Balance Sheet'!E$16</f>
        <v>738494</v>
      </c>
      <c r="H41" s="61">
        <f>+'[1]Balance Sheet'!F$16</f>
        <v>1829267</v>
      </c>
      <c r="I41" s="61">
        <f>+'[1]Balance Sheet'!G$16</f>
        <v>3403334</v>
      </c>
      <c r="J41" s="61">
        <f>+'[1]Balance Sheet'!H$16</f>
        <v>5982957</v>
      </c>
      <c r="K41" s="61">
        <f>+'[1]Balance Sheet'!I$16</f>
        <v>10027522</v>
      </c>
      <c r="L41" s="61">
        <f>+'[1]Balance Sheet'!J$16</f>
        <v>11330000</v>
      </c>
      <c r="M41" s="61">
        <f>+'[1]Balance Sheet'!K$16</f>
        <v>10396000</v>
      </c>
      <c r="N41" s="61">
        <f>+'[1]Balance Sheet'!L$16</f>
        <v>12747000</v>
      </c>
      <c r="O41" s="61">
        <f>+'[1]Balance Sheet'!M$16</f>
        <v>0</v>
      </c>
      <c r="P41" s="61">
        <f>+'[1]Balance Sheet'!N$16</f>
        <v>0</v>
      </c>
      <c r="Q41" s="61">
        <f>+'[1]Balance Sheet'!O$16</f>
        <v>0</v>
      </c>
      <c r="R41" s="61">
        <f>+'[1]Balance Sheet'!P$16</f>
        <v>0</v>
      </c>
      <c r="S41" s="61">
        <f>+'[1]Balance Sheet'!Q$16</f>
        <v>0</v>
      </c>
    </row>
    <row r="42" spans="1:19">
      <c r="A42" s="73" t="s">
        <v>175</v>
      </c>
      <c r="C42" s="61"/>
      <c r="D42" s="61">
        <f>+'[1]Balance Sheet'!B$19</f>
        <v>0</v>
      </c>
      <c r="E42" s="61">
        <f>+'[1]Balance Sheet'!C$19</f>
        <v>0</v>
      </c>
      <c r="F42" s="61">
        <f>+'[1]Balance Sheet'!D$19</f>
        <v>0</v>
      </c>
      <c r="G42" s="61">
        <f>+'[1]Balance Sheet'!E$19</f>
        <v>0</v>
      </c>
      <c r="H42" s="61">
        <f>+'[1]Balance Sheet'!F$19</f>
        <v>0</v>
      </c>
      <c r="I42" s="61">
        <f>+'[1]Balance Sheet'!G$19</f>
        <v>0</v>
      </c>
      <c r="J42" s="61">
        <f>+'[1]Balance Sheet'!H$19</f>
        <v>376145</v>
      </c>
      <c r="K42" s="61">
        <f>+'[1]Balance Sheet'!I$19</f>
        <v>361502</v>
      </c>
      <c r="L42" s="61">
        <f>+'[1]Balance Sheet'!J$19</f>
        <v>282000</v>
      </c>
      <c r="M42" s="61">
        <f>+'[1]Balance Sheet'!K$19</f>
        <v>339000</v>
      </c>
      <c r="N42" s="61">
        <f>+'[1]Balance Sheet'!L$19</f>
        <v>313000</v>
      </c>
      <c r="O42" s="61">
        <f>+'[1]Balance Sheet'!M$19</f>
        <v>0</v>
      </c>
      <c r="P42" s="61">
        <f>+'[1]Balance Sheet'!N$19</f>
        <v>0</v>
      </c>
      <c r="Q42" s="61">
        <f>+'[1]Balance Sheet'!O$19</f>
        <v>0</v>
      </c>
      <c r="R42" s="61">
        <f>+'[1]Balance Sheet'!P$19</f>
        <v>0</v>
      </c>
      <c r="S42" s="61">
        <f>+'[1]Balance Sheet'!Q$19</f>
        <v>0</v>
      </c>
    </row>
    <row r="43" spans="1:19">
      <c r="A43" s="101" t="s">
        <v>176</v>
      </c>
      <c r="B43" s="102"/>
      <c r="C43" s="12"/>
      <c r="D43" s="12">
        <f>+'[1]Balance Sheet'!B$20</f>
        <v>0</v>
      </c>
      <c r="E43" s="12">
        <f>+'[1]Balance Sheet'!C$20</f>
        <v>0</v>
      </c>
      <c r="F43" s="12">
        <f>+'[1]Balance Sheet'!D$20</f>
        <v>0</v>
      </c>
      <c r="G43" s="12">
        <f>+'[1]Balance Sheet'!E$20</f>
        <v>0</v>
      </c>
      <c r="H43" s="12">
        <f>+'[1]Balance Sheet'!F$20</f>
        <v>0</v>
      </c>
      <c r="I43" s="12">
        <f>+'[1]Balance Sheet'!G$20</f>
        <v>0</v>
      </c>
      <c r="J43" s="12">
        <f>+'[1]Balance Sheet'!H$20</f>
        <v>0</v>
      </c>
      <c r="K43" s="12">
        <f>+'[1]Balance Sheet'!I$20</f>
        <v>60237</v>
      </c>
      <c r="L43" s="12">
        <f>+'[1]Balance Sheet'!J$20</f>
        <v>68000</v>
      </c>
      <c r="M43" s="12">
        <f>+'[1]Balance Sheet'!K$20</f>
        <v>198000</v>
      </c>
      <c r="N43" s="12">
        <f>+'[1]Balance Sheet'!L$20</f>
        <v>207000</v>
      </c>
      <c r="O43" s="12">
        <f>+'[1]Balance Sheet'!M$20</f>
        <v>0</v>
      </c>
      <c r="P43" s="12">
        <f>+'[1]Balance Sheet'!N$20</f>
        <v>0</v>
      </c>
      <c r="Q43" s="12">
        <f>+'[1]Balance Sheet'!O$20</f>
        <v>0</v>
      </c>
      <c r="R43" s="12">
        <f>+'[1]Balance Sheet'!P$20</f>
        <v>0</v>
      </c>
      <c r="S43" s="12">
        <f>+'[1]Balance Sheet'!Q$20</f>
        <v>0</v>
      </c>
    </row>
    <row r="44" spans="1:19" s="58" customFormat="1">
      <c r="A44" s="74" t="s">
        <v>177</v>
      </c>
      <c r="C44" s="62"/>
      <c r="D44" s="62">
        <f>+'[1]Balance Sheet'!B$24</f>
        <v>386082</v>
      </c>
      <c r="E44" s="62">
        <f>+'[1]Balance Sheet'!C$24</f>
        <v>713448</v>
      </c>
      <c r="F44" s="62">
        <f>+'[1]Balance Sheet'!D$24</f>
        <v>1114190</v>
      </c>
      <c r="G44" s="62">
        <f>+'[1]Balance Sheet'!E$24</f>
        <v>2416930</v>
      </c>
      <c r="H44" s="62">
        <f>+'[1]Balance Sheet'!F$24</f>
        <v>5830667</v>
      </c>
      <c r="I44" s="62">
        <f>+'[1]Balance Sheet'!G$24</f>
        <v>8092460</v>
      </c>
      <c r="J44" s="62">
        <f>+'[1]Balance Sheet'!H$24</f>
        <v>22664076</v>
      </c>
      <c r="K44" s="62">
        <f>+'[1]Balance Sheet'!I$24</f>
        <v>28655372</v>
      </c>
      <c r="L44" s="62">
        <f>+'[1]Balance Sheet'!J$24</f>
        <v>29740000</v>
      </c>
      <c r="M44" s="62">
        <f>+'[1]Balance Sheet'!K$24</f>
        <v>34309000</v>
      </c>
      <c r="N44" s="62">
        <f>+'[1]Balance Sheet'!L$24</f>
        <v>52148000</v>
      </c>
      <c r="O44" s="62">
        <f>+'[1]Balance Sheet'!M$24</f>
        <v>0</v>
      </c>
      <c r="P44" s="62">
        <f>+'[1]Balance Sheet'!N$24</f>
        <v>0</v>
      </c>
      <c r="Q44" s="62">
        <f>+'[1]Balance Sheet'!O$24</f>
        <v>0</v>
      </c>
      <c r="R44" s="62">
        <f>+'[1]Balance Sheet'!P$24</f>
        <v>0</v>
      </c>
      <c r="S44" s="62">
        <f>+'[1]Balance Sheet'!Q$24</f>
        <v>0</v>
      </c>
    </row>
    <row r="45" spans="1:19"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spans="1:19" ht="18.75">
      <c r="A46" s="105" t="s">
        <v>178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</row>
    <row r="47" spans="1:19" ht="15.75">
      <c r="A47" s="106" t="s">
        <v>179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</row>
    <row r="48" spans="1:19">
      <c r="A48" s="73" t="s">
        <v>180</v>
      </c>
      <c r="C48" s="61"/>
      <c r="D48" s="61">
        <f>+'[1]Balance Sheet'!B$28</f>
        <v>28951</v>
      </c>
      <c r="E48" s="61">
        <f>+'[1]Balance Sheet'!C$28</f>
        <v>56141</v>
      </c>
      <c r="F48" s="61">
        <f>+'[1]Balance Sheet'!D$28</f>
        <v>303382</v>
      </c>
      <c r="G48" s="61">
        <f>+'[1]Balance Sheet'!E$28</f>
        <v>0</v>
      </c>
      <c r="H48" s="61">
        <f>+'[1]Balance Sheet'!F$28</f>
        <v>777946</v>
      </c>
      <c r="I48" s="61">
        <f>+'[1]Balance Sheet'!G$28</f>
        <v>916148</v>
      </c>
      <c r="J48" s="61">
        <f>+'[1]Balance Sheet'!H$28</f>
        <v>1860341</v>
      </c>
      <c r="K48" s="61">
        <f>+'[1]Balance Sheet'!I$28</f>
        <v>2390250</v>
      </c>
      <c r="L48" s="61">
        <f>+'[1]Balance Sheet'!J$28</f>
        <v>3405000</v>
      </c>
      <c r="M48" s="61">
        <f>+'[1]Balance Sheet'!K$28</f>
        <v>3771000</v>
      </c>
      <c r="N48" s="61">
        <f>+'[1]Balance Sheet'!L$28</f>
        <v>6051000</v>
      </c>
      <c r="O48" s="61">
        <f>+'[1]Balance Sheet'!M$28</f>
        <v>0</v>
      </c>
      <c r="P48" s="61">
        <f>+'[1]Balance Sheet'!N$28</f>
        <v>0</v>
      </c>
      <c r="Q48" s="61">
        <f>+'[1]Balance Sheet'!O$28</f>
        <v>0</v>
      </c>
      <c r="R48" s="61">
        <f>+'[1]Balance Sheet'!P$28</f>
        <v>0</v>
      </c>
      <c r="S48" s="61">
        <f>+'[1]Balance Sheet'!Q$28</f>
        <v>0</v>
      </c>
    </row>
    <row r="49" spans="1:19">
      <c r="A49" s="73" t="s">
        <v>181</v>
      </c>
      <c r="C49" s="61"/>
      <c r="D49" s="61">
        <f>+'[1]Balance Sheet'!B$29</f>
        <v>20945</v>
      </c>
      <c r="E49" s="61">
        <f>+'[1]Balance Sheet'!C$29</f>
        <v>32109</v>
      </c>
      <c r="F49" s="61">
        <f>+'[1]Balance Sheet'!D$29</f>
        <v>39798</v>
      </c>
      <c r="G49" s="61">
        <f>+'[1]Balance Sheet'!E$29</f>
        <v>303969</v>
      </c>
      <c r="H49" s="61">
        <f>+'[1]Balance Sheet'!F$29</f>
        <v>268883</v>
      </c>
      <c r="I49" s="61">
        <f>+'[1]Balance Sheet'!G$29</f>
        <v>422798</v>
      </c>
      <c r="J49" s="61">
        <f>+'[1]Balance Sheet'!H$29</f>
        <v>1210028</v>
      </c>
      <c r="K49" s="61">
        <f>+'[1]Balance Sheet'!I$29</f>
        <v>1731366</v>
      </c>
      <c r="L49" s="61">
        <f>+'[1]Balance Sheet'!J$29</f>
        <v>2094000</v>
      </c>
      <c r="M49" s="61">
        <f>+'[1]Balance Sheet'!K$29</f>
        <v>3222000</v>
      </c>
      <c r="N49" s="61">
        <f>+'[1]Balance Sheet'!L$29</f>
        <v>3855000</v>
      </c>
      <c r="O49" s="61">
        <f>+'[1]Balance Sheet'!M$29</f>
        <v>0</v>
      </c>
      <c r="P49" s="61">
        <f>+'[1]Balance Sheet'!N$29</f>
        <v>0</v>
      </c>
      <c r="Q49" s="61">
        <f>+'[1]Balance Sheet'!O$29</f>
        <v>0</v>
      </c>
      <c r="R49" s="61">
        <f>+'[1]Balance Sheet'!P$29</f>
        <v>0</v>
      </c>
      <c r="S49" s="61">
        <f>+'[1]Balance Sheet'!Q$29</f>
        <v>0</v>
      </c>
    </row>
    <row r="50" spans="1:19">
      <c r="A50" s="73" t="s">
        <v>182</v>
      </c>
      <c r="C50" s="61"/>
      <c r="D50" s="61">
        <f>+'[1]Balance Sheet'!B$30</f>
        <v>4635</v>
      </c>
      <c r="E50" s="61">
        <f>+'[1]Balance Sheet'!C$30</f>
        <v>2345</v>
      </c>
      <c r="F50" s="61">
        <f>+'[1]Balance Sheet'!D$30</f>
        <v>1905</v>
      </c>
      <c r="G50" s="61">
        <f>+'[1]Balance Sheet'!E$30</f>
        <v>108252</v>
      </c>
      <c r="H50" s="61">
        <f>+'[1]Balance Sheet'!F$30</f>
        <v>191651</v>
      </c>
      <c r="I50" s="61">
        <f>+'[1]Balance Sheet'!G$30</f>
        <v>423961</v>
      </c>
      <c r="J50" s="61">
        <f>+'[1]Balance Sheet'!H$30</f>
        <v>763126</v>
      </c>
      <c r="K50" s="61">
        <f>+'[1]Balance Sheet'!I$30</f>
        <v>1015253</v>
      </c>
      <c r="L50" s="61">
        <f>+'[1]Balance Sheet'!J$30</f>
        <v>630000</v>
      </c>
      <c r="M50" s="61">
        <f>+'[1]Balance Sheet'!K$30</f>
        <v>1163000</v>
      </c>
      <c r="N50" s="61">
        <f>+'[1]Balance Sheet'!L$30</f>
        <v>1458000</v>
      </c>
      <c r="O50" s="61">
        <f>+'[1]Balance Sheet'!M$30</f>
        <v>0</v>
      </c>
      <c r="P50" s="61">
        <f>+'[1]Balance Sheet'!N$30</f>
        <v>0</v>
      </c>
      <c r="Q50" s="61">
        <f>+'[1]Balance Sheet'!O$30</f>
        <v>0</v>
      </c>
      <c r="R50" s="61">
        <f>+'[1]Balance Sheet'!P$30</f>
        <v>0</v>
      </c>
      <c r="S50" s="61">
        <f>+'[1]Balance Sheet'!Q$30</f>
        <v>0</v>
      </c>
    </row>
    <row r="51" spans="1:19">
      <c r="A51" s="73" t="s">
        <v>183</v>
      </c>
      <c r="C51" s="61"/>
      <c r="D51" s="61">
        <f>+'[1]Balance Sheet'!B$31</f>
        <v>0</v>
      </c>
      <c r="E51" s="61">
        <f>+'[1]Balance Sheet'!C$31</f>
        <v>0</v>
      </c>
      <c r="F51" s="61">
        <f>+'[1]Balance Sheet'!D$31</f>
        <v>138817</v>
      </c>
      <c r="G51" s="61">
        <f>+'[1]Balance Sheet'!E$31</f>
        <v>7722</v>
      </c>
      <c r="H51" s="61">
        <f>+'[1]Balance Sheet'!F$31</f>
        <v>257587</v>
      </c>
      <c r="I51" s="61">
        <f>+'[1]Balance Sheet'!G$31</f>
        <v>283370</v>
      </c>
      <c r="J51" s="61">
        <f>+'[1]Balance Sheet'!H$31</f>
        <v>663859</v>
      </c>
      <c r="K51" s="61">
        <f>+'[1]Balance Sheet'!I$31</f>
        <v>853919</v>
      </c>
      <c r="L51" s="61">
        <f>+'[1]Balance Sheet'!J$31</f>
        <v>793000</v>
      </c>
      <c r="M51" s="61">
        <f>+'[1]Balance Sheet'!K$31</f>
        <v>726000</v>
      </c>
      <c r="N51" s="61">
        <f>+'[1]Balance Sheet'!L$31</f>
        <v>752000</v>
      </c>
      <c r="O51" s="61">
        <f>+'[1]Balance Sheet'!M$31</f>
        <v>0</v>
      </c>
      <c r="P51" s="61">
        <f>+'[1]Balance Sheet'!N$31</f>
        <v>0</v>
      </c>
      <c r="Q51" s="61">
        <f>+'[1]Balance Sheet'!O$31</f>
        <v>0</v>
      </c>
      <c r="R51" s="61">
        <f>+'[1]Balance Sheet'!P$31</f>
        <v>0</v>
      </c>
      <c r="S51" s="61">
        <f>+'[1]Balance Sheet'!Q$31</f>
        <v>0</v>
      </c>
    </row>
    <row r="52" spans="1:19">
      <c r="A52" s="101" t="s">
        <v>184</v>
      </c>
      <c r="B52" s="102"/>
      <c r="C52" s="12"/>
      <c r="D52" s="12">
        <f>+'[1]Balance Sheet'!B$35</f>
        <v>0</v>
      </c>
      <c r="E52" s="12">
        <f>+'[1]Balance Sheet'!C$35</f>
        <v>7916</v>
      </c>
      <c r="F52" s="12">
        <f>+'[1]Balance Sheet'!D$35</f>
        <v>50841</v>
      </c>
      <c r="G52" s="12">
        <f>+'[1]Balance Sheet'!E$35</f>
        <v>182</v>
      </c>
      <c r="H52" s="12">
        <f>+'[1]Balance Sheet'!F$35</f>
        <v>611099</v>
      </c>
      <c r="I52" s="12">
        <f>+'[1]Balance Sheet'!G$35</f>
        <v>633166</v>
      </c>
      <c r="J52" s="12">
        <f>+'[1]Balance Sheet'!H$35</f>
        <v>984211</v>
      </c>
      <c r="K52" s="12">
        <f>+'[1]Balance Sheet'!I$35</f>
        <v>796549</v>
      </c>
      <c r="L52" s="12">
        <f>+'[1]Balance Sheet'!J$35</f>
        <v>2568000</v>
      </c>
      <c r="M52" s="12">
        <f>+'[1]Balance Sheet'!K$35</f>
        <v>1785000</v>
      </c>
      <c r="N52" s="12">
        <f>+'[1]Balance Sheet'!L$35</f>
        <v>2132000</v>
      </c>
      <c r="O52" s="12">
        <f>+'[1]Balance Sheet'!M$35</f>
        <v>0</v>
      </c>
      <c r="P52" s="12">
        <f>+'[1]Balance Sheet'!N$35</f>
        <v>0</v>
      </c>
      <c r="Q52" s="12">
        <f>+'[1]Balance Sheet'!O$35</f>
        <v>0</v>
      </c>
      <c r="R52" s="12">
        <f>+'[1]Balance Sheet'!P$35</f>
        <v>0</v>
      </c>
      <c r="S52" s="12">
        <f>+'[1]Balance Sheet'!Q$35</f>
        <v>0</v>
      </c>
    </row>
    <row r="53" spans="1:19" s="58" customFormat="1">
      <c r="A53" s="74" t="s">
        <v>185</v>
      </c>
      <c r="C53" s="62"/>
      <c r="D53" s="62">
        <f>+'[1]Balance Sheet'!B$37</f>
        <v>85565</v>
      </c>
      <c r="E53" s="62">
        <f>+'[1]Balance Sheet'!C$37</f>
        <v>191339</v>
      </c>
      <c r="F53" s="62">
        <f>+'[1]Balance Sheet'!D$37</f>
        <v>539108</v>
      </c>
      <c r="G53" s="62">
        <f>+'[1]Balance Sheet'!E$37</f>
        <v>675160</v>
      </c>
      <c r="H53" s="62">
        <f>+'[1]Balance Sheet'!F$37</f>
        <v>2107166</v>
      </c>
      <c r="I53" s="62">
        <f>+'[1]Balance Sheet'!G$37</f>
        <v>2816274</v>
      </c>
      <c r="J53" s="62">
        <f>+'[1]Balance Sheet'!H$37</f>
        <v>5827005</v>
      </c>
      <c r="K53" s="62">
        <f>+'[1]Balance Sheet'!I$37</f>
        <v>7674670</v>
      </c>
      <c r="L53" s="62">
        <f>+'[1]Balance Sheet'!J$37</f>
        <v>9993000</v>
      </c>
      <c r="M53" s="62">
        <f>+'[1]Balance Sheet'!K$37</f>
        <v>10667000</v>
      </c>
      <c r="N53" s="62">
        <f>+'[1]Balance Sheet'!L$37</f>
        <v>14248000</v>
      </c>
      <c r="O53" s="62">
        <f>+'[1]Balance Sheet'!M$37</f>
        <v>0</v>
      </c>
      <c r="P53" s="62">
        <f>+'[1]Balance Sheet'!N$37</f>
        <v>0</v>
      </c>
      <c r="Q53" s="62">
        <f>+'[1]Balance Sheet'!O$37</f>
        <v>0</v>
      </c>
      <c r="R53" s="62">
        <f>+'[1]Balance Sheet'!P$37</f>
        <v>0</v>
      </c>
      <c r="S53" s="62">
        <f>+'[1]Balance Sheet'!Q$37</f>
        <v>0</v>
      </c>
    </row>
    <row r="54" spans="1:19"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</row>
    <row r="55" spans="1:19">
      <c r="A55" s="73" t="s">
        <v>186</v>
      </c>
      <c r="C55" s="61"/>
      <c r="D55" s="61">
        <f>+'[1]Balance Sheet'!B$40</f>
        <v>71828</v>
      </c>
      <c r="E55" s="61">
        <f>+'[1]Balance Sheet'!C$40</f>
        <v>268335</v>
      </c>
      <c r="F55" s="61">
        <f>+'[1]Balance Sheet'!D$40</f>
        <v>401495</v>
      </c>
      <c r="G55" s="61">
        <f>+'[1]Balance Sheet'!E$40</f>
        <v>236299</v>
      </c>
      <c r="H55" s="61">
        <f>+'[1]Balance Sheet'!F$40</f>
        <v>1818785</v>
      </c>
      <c r="I55" s="61">
        <f>+'[1]Balance Sheet'!G$40</f>
        <v>2040375</v>
      </c>
      <c r="J55" s="61">
        <f>+'[1]Balance Sheet'!H$40</f>
        <v>5860049</v>
      </c>
      <c r="K55" s="61">
        <f>+'[1]Balance Sheet'!I$40</f>
        <v>9415700</v>
      </c>
      <c r="L55" s="61">
        <f>+'[1]Balance Sheet'!J$40</f>
        <v>9404000</v>
      </c>
      <c r="M55" s="61">
        <f>+'[1]Balance Sheet'!K$40</f>
        <v>11634000</v>
      </c>
      <c r="N55" s="61">
        <f>+'[1]Balance Sheet'!L$40</f>
        <v>9556000</v>
      </c>
      <c r="O55" s="61">
        <f>+'[1]Balance Sheet'!M$40</f>
        <v>0</v>
      </c>
      <c r="P55" s="61">
        <f>+'[1]Balance Sheet'!N$40</f>
        <v>0</v>
      </c>
      <c r="Q55" s="61">
        <f>+'[1]Balance Sheet'!O$40</f>
        <v>0</v>
      </c>
      <c r="R55" s="61">
        <f>+'[1]Balance Sheet'!P$40</f>
        <v>0</v>
      </c>
      <c r="S55" s="61">
        <f>+'[1]Balance Sheet'!Q$40</f>
        <v>0</v>
      </c>
    </row>
    <row r="56" spans="1:19">
      <c r="A56" s="73" t="s">
        <v>187</v>
      </c>
      <c r="C56" s="61"/>
      <c r="D56" s="61">
        <f>+'[1]Balance Sheet'!B$42</f>
        <v>2783</v>
      </c>
      <c r="E56" s="61">
        <f>+'[1]Balance Sheet'!C$42</f>
        <v>3146</v>
      </c>
      <c r="F56" s="61">
        <f>+'[1]Balance Sheet'!D$42</f>
        <v>3060</v>
      </c>
      <c r="G56" s="61">
        <f>+'[1]Balance Sheet'!E$42</f>
        <v>12855</v>
      </c>
      <c r="H56" s="61">
        <f>+'[1]Balance Sheet'!F$42</f>
        <v>292271</v>
      </c>
      <c r="I56" s="61">
        <f>+'[1]Balance Sheet'!G$42</f>
        <v>446105</v>
      </c>
      <c r="J56" s="61">
        <f>+'[1]Balance Sheet'!H$42</f>
        <v>851790</v>
      </c>
      <c r="K56" s="61">
        <f>+'[1]Balance Sheet'!I$42</f>
        <v>1177799</v>
      </c>
      <c r="L56" s="61">
        <f>+'[1]Balance Sheet'!J$42</f>
        <v>991000</v>
      </c>
      <c r="M56" s="61">
        <f>+'[1]Balance Sheet'!K$42</f>
        <v>1207000</v>
      </c>
      <c r="N56" s="61">
        <f>+'[1]Balance Sheet'!L$42</f>
        <v>1284000</v>
      </c>
      <c r="O56" s="61">
        <f>+'[1]Balance Sheet'!M$42</f>
        <v>0</v>
      </c>
      <c r="P56" s="61">
        <f>+'[1]Balance Sheet'!N$42</f>
        <v>0</v>
      </c>
      <c r="Q56" s="61">
        <f>+'[1]Balance Sheet'!O$42</f>
        <v>0</v>
      </c>
      <c r="R56" s="61">
        <f>+'[1]Balance Sheet'!P$42</f>
        <v>0</v>
      </c>
      <c r="S56" s="61">
        <f>+'[1]Balance Sheet'!Q$42</f>
        <v>0</v>
      </c>
    </row>
    <row r="57" spans="1:19">
      <c r="A57" s="73" t="s">
        <v>188</v>
      </c>
      <c r="C57" s="61"/>
      <c r="D57" s="61">
        <f>+'[1]Balance Sheet'!B$45</f>
        <v>12274</v>
      </c>
      <c r="E57" s="61">
        <f>+'[1]Balance Sheet'!C$45</f>
        <v>14915</v>
      </c>
      <c r="F57" s="61">
        <f>+'[1]Balance Sheet'!D$45</f>
        <v>25170</v>
      </c>
      <c r="G57" s="61">
        <f>+'[1]Balance Sheet'!E$45</f>
        <v>58197</v>
      </c>
      <c r="H57" s="61">
        <f>+'[1]Balance Sheet'!F$45</f>
        <v>154660</v>
      </c>
      <c r="I57" s="61">
        <f>+'[1]Balance Sheet'!G$45</f>
        <v>364976</v>
      </c>
      <c r="J57" s="61">
        <f>+'[1]Balance Sheet'!H$45</f>
        <v>1891449</v>
      </c>
      <c r="K57" s="61">
        <f>+'[1]Balance Sheet'!I$45</f>
        <v>2442970</v>
      </c>
      <c r="L57" s="61">
        <f>+'[1]Balance Sheet'!J$45</f>
        <v>2710000</v>
      </c>
      <c r="M57" s="61">
        <f>+'[1]Balance Sheet'!K$45</f>
        <v>2691000</v>
      </c>
      <c r="N57" s="61">
        <f>+'[1]Balance Sheet'!L$45</f>
        <v>3330000</v>
      </c>
      <c r="O57" s="61">
        <f>+'[1]Balance Sheet'!M$45</f>
        <v>0</v>
      </c>
      <c r="P57" s="61">
        <f>+'[1]Balance Sheet'!N$45</f>
        <v>0</v>
      </c>
      <c r="Q57" s="61">
        <f>+'[1]Balance Sheet'!O$45</f>
        <v>0</v>
      </c>
      <c r="R57" s="61">
        <f>+'[1]Balance Sheet'!P$45</f>
        <v>0</v>
      </c>
      <c r="S57" s="61">
        <f>+'[1]Balance Sheet'!Q$45</f>
        <v>0</v>
      </c>
    </row>
    <row r="58" spans="1:19" s="58" customFormat="1">
      <c r="A58" s="74" t="s">
        <v>189</v>
      </c>
      <c r="C58" s="62"/>
      <c r="D58" s="62">
        <f>+'[1]Balance Sheet'!B$47</f>
        <v>179034</v>
      </c>
      <c r="E58" s="62">
        <f>+'[1]Balance Sheet'!C$47</f>
        <v>489403</v>
      </c>
      <c r="F58" s="62">
        <f>+'[1]Balance Sheet'!D$47</f>
        <v>989490</v>
      </c>
      <c r="G58" s="62">
        <f>+'[1]Balance Sheet'!E$47</f>
        <v>1749810</v>
      </c>
      <c r="H58" s="62">
        <f>+'[1]Balance Sheet'!F$47</f>
        <v>4860761</v>
      </c>
      <c r="I58" s="62">
        <f>+'[1]Balance Sheet'!G$47</f>
        <v>6961471</v>
      </c>
      <c r="J58" s="62">
        <f>+'[1]Balance Sheet'!H$47</f>
        <v>16750167</v>
      </c>
      <c r="K58" s="62">
        <f>+'[1]Balance Sheet'!I$47</f>
        <v>23022980</v>
      </c>
      <c r="L58" s="62">
        <f>+'[1]Balance Sheet'!J$47</f>
        <v>23427000</v>
      </c>
      <c r="M58" s="62">
        <f>+'[1]Balance Sheet'!K$47</f>
        <v>26199000</v>
      </c>
      <c r="N58" s="62">
        <f>+'[1]Balance Sheet'!L$47</f>
        <v>28418000</v>
      </c>
      <c r="O58" s="62">
        <f>+'[1]Balance Sheet'!M$47</f>
        <v>0</v>
      </c>
      <c r="P58" s="62">
        <f>+'[1]Balance Sheet'!N$47</f>
        <v>0</v>
      </c>
      <c r="Q58" s="62">
        <f>+'[1]Balance Sheet'!O$47</f>
        <v>0</v>
      </c>
      <c r="R58" s="62">
        <f>+'[1]Balance Sheet'!P$47</f>
        <v>0</v>
      </c>
      <c r="S58" s="62">
        <f>+'[1]Balance Sheet'!Q$47</f>
        <v>0</v>
      </c>
    </row>
    <row r="59" spans="1:19"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</row>
    <row r="60" spans="1:19" ht="18.75">
      <c r="A60" s="105" t="s">
        <v>190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</row>
    <row r="61" spans="1:19" ht="15.75">
      <c r="A61" s="106" t="s">
        <v>191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</row>
    <row r="62" spans="1:19"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</row>
    <row r="63" spans="1:19">
      <c r="A63" s="101" t="s">
        <v>192</v>
      </c>
      <c r="B63" s="102"/>
      <c r="C63" s="12"/>
      <c r="D63" s="12">
        <f>+'[1]Balance Sheet'!B$60</f>
        <v>-414982</v>
      </c>
      <c r="E63" s="12">
        <f>+'[1]Balance Sheet'!C$60</f>
        <v>-669392</v>
      </c>
      <c r="F63" s="12">
        <f>+'[1]Balance Sheet'!D$60</f>
        <v>-1065606</v>
      </c>
      <c r="G63" s="12">
        <f>+'[1]Balance Sheet'!E$60</f>
        <v>-1139620</v>
      </c>
      <c r="H63" s="12">
        <f>+'[1]Balance Sheet'!F$60</f>
        <v>-1433660</v>
      </c>
      <c r="I63" s="12">
        <f>+'[1]Balance Sheet'!G$60</f>
        <v>-2322323</v>
      </c>
      <c r="J63" s="12">
        <f>+'[1]Balance Sheet'!H$60</f>
        <v>-2997237</v>
      </c>
      <c r="K63" s="12">
        <f>+'[1]Balance Sheet'!I$60</f>
        <v>-4974299</v>
      </c>
      <c r="L63" s="12">
        <f>+'[1]Balance Sheet'!J$60</f>
        <v>-5318000</v>
      </c>
      <c r="M63" s="12">
        <f>+'[1]Balance Sheet'!K$60</f>
        <v>-6083000</v>
      </c>
      <c r="N63" s="12">
        <f>+'[1]Balance Sheet'!L$60</f>
        <v>-5399000</v>
      </c>
      <c r="O63" s="12">
        <f>+'[1]Balance Sheet'!M$60</f>
        <v>0</v>
      </c>
      <c r="P63" s="12">
        <f>+'[1]Balance Sheet'!N$60</f>
        <v>0</v>
      </c>
      <c r="Q63" s="12">
        <f>+'[1]Balance Sheet'!O$60</f>
        <v>0</v>
      </c>
      <c r="R63" s="12">
        <f>+'[1]Balance Sheet'!P$60</f>
        <v>0</v>
      </c>
      <c r="S63" s="12">
        <f>+'[1]Balance Sheet'!Q$60</f>
        <v>0</v>
      </c>
    </row>
    <row r="64" spans="1:19" s="58" customFormat="1">
      <c r="A64" s="74" t="s">
        <v>193</v>
      </c>
      <c r="C64" s="62"/>
      <c r="D64" s="62">
        <f>+'[1]Balance Sheet'!B$61</f>
        <v>207048</v>
      </c>
      <c r="E64" s="62">
        <f>+'[1]Balance Sheet'!C$61</f>
        <v>224045</v>
      </c>
      <c r="F64" s="62">
        <f>+'[1]Balance Sheet'!D$61</f>
        <v>124700</v>
      </c>
      <c r="G64" s="62">
        <f>+'[1]Balance Sheet'!E$61</f>
        <v>667120</v>
      </c>
      <c r="H64" s="62">
        <f>+'[1]Balance Sheet'!F$61</f>
        <v>911710</v>
      </c>
      <c r="I64" s="62">
        <f>+'[1]Balance Sheet'!G$61</f>
        <v>1088944</v>
      </c>
      <c r="J64" s="62">
        <f>+'[1]Balance Sheet'!H$61</f>
        <v>4752911</v>
      </c>
      <c r="K64" s="62">
        <f>+'[1]Balance Sheet'!I$61</f>
        <v>4237242</v>
      </c>
      <c r="L64" s="62">
        <f>+'[1]Balance Sheet'!J$61</f>
        <v>4923000</v>
      </c>
      <c r="M64" s="62">
        <f>+'[1]Balance Sheet'!K$61</f>
        <v>6619000</v>
      </c>
      <c r="N64" s="62">
        <f>+'[1]Balance Sheet'!L$61</f>
        <v>22225000</v>
      </c>
      <c r="O64" s="62">
        <f>+'[1]Balance Sheet'!M$61</f>
        <v>0</v>
      </c>
      <c r="P64" s="62">
        <f>+'[1]Balance Sheet'!N$61</f>
        <v>0</v>
      </c>
      <c r="Q64" s="62">
        <f>+'[1]Balance Sheet'!O$61</f>
        <v>0</v>
      </c>
      <c r="R64" s="62">
        <f>+'[1]Balance Sheet'!P$61</f>
        <v>0</v>
      </c>
      <c r="S64" s="62">
        <f>+'[1]Balance Sheet'!Q$61</f>
        <v>0</v>
      </c>
    </row>
    <row r="65" spans="1:19">
      <c r="A65" s="101" t="s">
        <v>194</v>
      </c>
      <c r="B65" s="102"/>
      <c r="C65" s="12"/>
      <c r="D65" s="12">
        <f>+'[1]Balance Sheet'!B$62</f>
        <v>0</v>
      </c>
      <c r="E65" s="12">
        <f>+'[1]Balance Sheet'!C$62</f>
        <v>0</v>
      </c>
      <c r="F65" s="12">
        <f>+'[1]Balance Sheet'!D$62</f>
        <v>0</v>
      </c>
      <c r="G65" s="12">
        <f>+'[1]Balance Sheet'!E$62</f>
        <v>0</v>
      </c>
      <c r="H65" s="12">
        <f>+'[1]Balance Sheet'!F$62</f>
        <v>0</v>
      </c>
      <c r="I65" s="12">
        <f>+'[1]Balance Sheet'!G$62</f>
        <v>0</v>
      </c>
      <c r="J65" s="12">
        <f>+'[1]Balance Sheet'!H$62</f>
        <v>785175</v>
      </c>
      <c r="K65" s="12">
        <f>+'[1]Balance Sheet'!I$62</f>
        <v>997346</v>
      </c>
      <c r="L65" s="12">
        <f>+'[1]Balance Sheet'!J$62</f>
        <v>834000</v>
      </c>
      <c r="M65" s="12">
        <f>+'[1]Balance Sheet'!K$62</f>
        <v>849000</v>
      </c>
      <c r="N65" s="12">
        <f>+'[1]Balance Sheet'!L$62</f>
        <v>850000</v>
      </c>
      <c r="O65" s="12">
        <f>+'[1]Balance Sheet'!M$62</f>
        <v>0</v>
      </c>
      <c r="P65" s="12">
        <f>+'[1]Balance Sheet'!N$62</f>
        <v>0</v>
      </c>
      <c r="Q65" s="12">
        <f>+'[1]Balance Sheet'!O$62</f>
        <v>0</v>
      </c>
      <c r="R65" s="12">
        <f>+'[1]Balance Sheet'!P$62</f>
        <v>0</v>
      </c>
      <c r="S65" s="12">
        <f>+'[1]Balance Sheet'!Q$62</f>
        <v>0</v>
      </c>
    </row>
    <row r="66" spans="1:19" s="58" customFormat="1">
      <c r="A66" s="74" t="s">
        <v>195</v>
      </c>
      <c r="C66" s="62"/>
      <c r="D66" s="62">
        <f>+'[1]Balance Sheet'!B$63</f>
        <v>386082</v>
      </c>
      <c r="E66" s="62">
        <f>+'[1]Balance Sheet'!C$63</f>
        <v>713448</v>
      </c>
      <c r="F66" s="62">
        <f>+'[1]Balance Sheet'!D$63</f>
        <v>1114190</v>
      </c>
      <c r="G66" s="62">
        <f>+'[1]Balance Sheet'!E$63</f>
        <v>2416930</v>
      </c>
      <c r="H66" s="62">
        <f>+'[1]Balance Sheet'!F$63</f>
        <v>5830667</v>
      </c>
      <c r="I66" s="62">
        <f>+'[1]Balance Sheet'!G$63</f>
        <v>8092460</v>
      </c>
      <c r="J66" s="62">
        <f>+'[1]Balance Sheet'!H$63</f>
        <v>22664076</v>
      </c>
      <c r="K66" s="62">
        <f>+'[1]Balance Sheet'!I$63</f>
        <v>28655372</v>
      </c>
      <c r="L66" s="62">
        <f>+'[1]Balance Sheet'!J$63</f>
        <v>29740000</v>
      </c>
      <c r="M66" s="62">
        <f>+'[1]Balance Sheet'!K$63</f>
        <v>34310000</v>
      </c>
      <c r="N66" s="62">
        <f>+'[1]Balance Sheet'!L$63</f>
        <v>52148000</v>
      </c>
      <c r="O66" s="62">
        <f>+'[1]Balance Sheet'!M$63</f>
        <v>0</v>
      </c>
      <c r="P66" s="62">
        <f>+'[1]Balance Sheet'!N$63</f>
        <v>0</v>
      </c>
      <c r="Q66" s="62">
        <f>+'[1]Balance Sheet'!O$63</f>
        <v>0</v>
      </c>
      <c r="R66" s="62">
        <f>+'[1]Balance Sheet'!P$63</f>
        <v>0</v>
      </c>
      <c r="S66" s="62">
        <f>+'[1]Balance Sheet'!Q$63</f>
        <v>0</v>
      </c>
    </row>
    <row r="67" spans="1:19">
      <c r="A67" s="74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7"/>
      <c r="P67" s="67"/>
      <c r="Q67" s="67"/>
      <c r="R67" s="67"/>
      <c r="S67" s="67"/>
    </row>
    <row r="68" spans="1:19" ht="24" thickBot="1">
      <c r="A68" s="112" t="s">
        <v>149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7"/>
      <c r="P68" s="67"/>
      <c r="Q68" s="67"/>
      <c r="R68" s="67"/>
      <c r="S68" s="67"/>
    </row>
    <row r="69" spans="1:19">
      <c r="A69" s="74" t="s">
        <v>199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7"/>
      <c r="P69" s="67"/>
      <c r="Q69" s="67"/>
      <c r="R69" s="67"/>
      <c r="S69" s="67"/>
    </row>
    <row r="70" spans="1:19">
      <c r="A70" s="23" t="s">
        <v>151</v>
      </c>
      <c r="B70" s="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13"/>
      <c r="P70" s="113"/>
      <c r="Q70" s="113"/>
      <c r="R70" s="113"/>
      <c r="S70" s="113"/>
    </row>
    <row r="71" spans="1:19">
      <c r="A71" s="101" t="s">
        <v>152</v>
      </c>
      <c r="B71" s="102"/>
      <c r="C71" s="12">
        <f>+'[1]Cash Flow'!B$9</f>
        <v>6940</v>
      </c>
      <c r="D71" s="12">
        <f>+'[1]Cash Flow'!C$9</f>
        <v>10623</v>
      </c>
      <c r="E71" s="12">
        <f>+'[1]Cash Flow'!D$9</f>
        <v>16919</v>
      </c>
      <c r="F71" s="12">
        <f>+'[1]Cash Flow'!E$9</f>
        <v>28825</v>
      </c>
      <c r="G71" s="12">
        <f>+'[1]Cash Flow'!F$9</f>
        <v>106083</v>
      </c>
      <c r="H71" s="12">
        <f>+'[1]Cash Flow'!G$9</f>
        <v>231931</v>
      </c>
      <c r="I71" s="12">
        <f>+'[1]Cash Flow'!H$9</f>
        <v>422590</v>
      </c>
      <c r="J71" s="12">
        <f>+'[1]Cash Flow'!I$9</f>
        <v>947099</v>
      </c>
      <c r="K71" s="12">
        <f>+'[1]Cash Flow'!J$9</f>
        <v>1636003</v>
      </c>
      <c r="L71" s="12">
        <f>+'[1]Cash Flow'!K$9</f>
        <v>1901000</v>
      </c>
      <c r="M71" s="12">
        <f>+'[1]Cash Flow'!L$9</f>
        <v>2154000</v>
      </c>
      <c r="N71" s="12">
        <f>+'[1]Cash Flow'!M$9</f>
        <v>2322000</v>
      </c>
      <c r="O71" s="12">
        <f>+'[1]Cash Flow'!N$9</f>
        <v>0</v>
      </c>
      <c r="P71" s="12">
        <f>+'[1]Cash Flow'!O$9</f>
        <v>0</v>
      </c>
      <c r="Q71" s="12">
        <f>+'[1]Cash Flow'!P$9</f>
        <v>0</v>
      </c>
      <c r="R71" s="12">
        <f>+'[1]Cash Flow'!Q$9</f>
        <v>0</v>
      </c>
      <c r="S71" s="12">
        <f>+'[1]Cash Flow'!R$9</f>
        <v>0</v>
      </c>
    </row>
    <row r="72" spans="1:19" s="58" customFormat="1">
      <c r="A72" s="74" t="s">
        <v>153</v>
      </c>
      <c r="C72" s="63">
        <f>+'[1]Cash Flow'!B$37</f>
        <v>-80825</v>
      </c>
      <c r="D72" s="63">
        <f>+'[1]Cash Flow'!C$37</f>
        <v>-127817</v>
      </c>
      <c r="E72" s="63">
        <f>+'[1]Cash Flow'!D$37</f>
        <v>-114365</v>
      </c>
      <c r="F72" s="63">
        <f>+'[1]Cash Flow'!E$37</f>
        <v>-266081</v>
      </c>
      <c r="G72" s="63">
        <f>+'[1]Cash Flow'!F$37</f>
        <v>257994</v>
      </c>
      <c r="H72" s="63">
        <f>+'[1]Cash Flow'!G$37</f>
        <v>-57337</v>
      </c>
      <c r="I72" s="63">
        <f>+'[1]Cash Flow'!H$37</f>
        <v>-524499</v>
      </c>
      <c r="J72" s="63">
        <f>+'[1]Cash Flow'!I$37</f>
        <v>-123829</v>
      </c>
      <c r="K72" s="63">
        <f>+'[1]Cash Flow'!J$37</f>
        <v>-60654</v>
      </c>
      <c r="L72" s="63">
        <f>+'[1]Cash Flow'!K$37</f>
        <v>2098000</v>
      </c>
      <c r="M72" s="63">
        <f>+'[1]Cash Flow'!L$37</f>
        <v>2405000</v>
      </c>
      <c r="N72" s="63">
        <f>+'[1]Cash Flow'!M$37</f>
        <v>5943000</v>
      </c>
      <c r="O72" s="69">
        <f>+'[1]Cash Flow'!N$37</f>
        <v>0</v>
      </c>
      <c r="P72" s="69">
        <f>+'[1]Cash Flow'!O$37</f>
        <v>0</v>
      </c>
      <c r="Q72" s="69">
        <f>+'[1]Cash Flow'!P$37</f>
        <v>0</v>
      </c>
      <c r="R72" s="69">
        <f>+'[1]Cash Flow'!Q$37</f>
        <v>0</v>
      </c>
      <c r="S72" s="69">
        <f>+'[1]Cash Flow'!R$37</f>
        <v>0</v>
      </c>
    </row>
    <row r="74" spans="1:19">
      <c r="A74" s="103" t="s">
        <v>155</v>
      </c>
      <c r="B74" s="10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07"/>
      <c r="P74" s="107"/>
      <c r="Q74" s="107"/>
      <c r="R74" s="107"/>
      <c r="S74" s="107"/>
    </row>
    <row r="75" spans="1:19">
      <c r="A75" s="73" t="s">
        <v>154</v>
      </c>
      <c r="C75" s="108">
        <f>+'[1]Cash Flow'!B$40</f>
        <v>-11884</v>
      </c>
      <c r="D75" s="108">
        <f>+'[1]Cash Flow'!C$40</f>
        <v>-40203</v>
      </c>
      <c r="E75" s="108">
        <f>+'[1]Cash Flow'!D$40</f>
        <v>-197896</v>
      </c>
      <c r="F75" s="108">
        <f>+'[1]Cash Flow'!E$40</f>
        <v>-239228</v>
      </c>
      <c r="G75" s="108">
        <f>+'[1]Cash Flow'!F$40</f>
        <v>-264224</v>
      </c>
      <c r="H75" s="108">
        <f>+'[1]Cash Flow'!G$40</f>
        <v>-969885</v>
      </c>
      <c r="I75" s="108">
        <f>+'[1]Cash Flow'!H$40</f>
        <v>-1634850</v>
      </c>
      <c r="J75" s="108">
        <f>+'[1]Cash Flow'!I$40</f>
        <v>-1280802</v>
      </c>
      <c r="K75" s="108">
        <f>+'[1]Cash Flow'!J$40</f>
        <v>-3414814</v>
      </c>
      <c r="L75" s="108">
        <f>+'[1]Cash Flow'!K$40</f>
        <v>-2101000</v>
      </c>
      <c r="M75" s="108">
        <f>+'[1]Cash Flow'!L$40</f>
        <v>-1327000</v>
      </c>
      <c r="N75" s="108">
        <f>+'[1]Cash Flow'!M$40</f>
        <v>-3157000</v>
      </c>
      <c r="O75" s="108">
        <f>+'[1]Cash Flow'!N$40</f>
        <v>0</v>
      </c>
      <c r="P75" s="108">
        <f>+'[1]Cash Flow'!O$40</f>
        <v>0</v>
      </c>
      <c r="Q75" s="108">
        <f>+'[1]Cash Flow'!P$40</f>
        <v>0</v>
      </c>
      <c r="R75" s="108">
        <f>+'[1]Cash Flow'!Q$40</f>
        <v>0</v>
      </c>
      <c r="S75" s="108">
        <f>+'[1]Cash Flow'!R$40</f>
        <v>0</v>
      </c>
    </row>
    <row r="76" spans="1:19" s="58" customFormat="1">
      <c r="A76" s="74" t="s">
        <v>156</v>
      </c>
      <c r="C76" s="109">
        <f>+'[1]Cash Flow'!B$51</f>
        <v>-14244</v>
      </c>
      <c r="D76" s="109">
        <f>+'[1]Cash Flow'!C$51</f>
        <v>-180297</v>
      </c>
      <c r="E76" s="109">
        <f>+'[1]Cash Flow'!D$51</f>
        <v>-175928</v>
      </c>
      <c r="F76" s="109">
        <f>+'[1]Cash Flow'!E$51</f>
        <v>-206930</v>
      </c>
      <c r="G76" s="109">
        <f>+'[1]Cash Flow'!F$51</f>
        <v>-249417</v>
      </c>
      <c r="H76" s="109">
        <f>+'[1]Cash Flow'!G$51</f>
        <v>-990444</v>
      </c>
      <c r="I76" s="109">
        <f>+'[1]Cash Flow'!H$51</f>
        <v>-1673551</v>
      </c>
      <c r="J76" s="109">
        <f>+'[1]Cash Flow'!I$51</f>
        <v>-1081085</v>
      </c>
      <c r="K76" s="109">
        <f>+'[1]Cash Flow'!J$51</f>
        <v>-4195877</v>
      </c>
      <c r="L76" s="109">
        <f>+'[1]Cash Flow'!K$51</f>
        <v>-2337000</v>
      </c>
      <c r="M76" s="109">
        <f>+'[1]Cash Flow'!L$51</f>
        <v>-1436000</v>
      </c>
      <c r="N76" s="109">
        <f>+'[1]Cash Flow'!M$51</f>
        <v>-3132000</v>
      </c>
      <c r="O76" s="109">
        <f>+'[1]Cash Flow'!N$51</f>
        <v>0</v>
      </c>
      <c r="P76" s="109">
        <f>+'[1]Cash Flow'!O$51</f>
        <v>0</v>
      </c>
      <c r="Q76" s="109">
        <f>+'[1]Cash Flow'!P$51</f>
        <v>0</v>
      </c>
      <c r="R76" s="109">
        <f>+'[1]Cash Flow'!Q$51</f>
        <v>0</v>
      </c>
      <c r="S76" s="109">
        <f>+'[1]Cash Flow'!R$51</f>
        <v>0</v>
      </c>
    </row>
    <row r="77" spans="1:19"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7"/>
      <c r="P77" s="67"/>
      <c r="Q77" s="67"/>
      <c r="R77" s="67"/>
      <c r="S77" s="67"/>
    </row>
    <row r="78" spans="1:19">
      <c r="A78" s="103" t="s">
        <v>157</v>
      </c>
      <c r="B78" s="10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07"/>
      <c r="P78" s="107"/>
      <c r="Q78" s="107"/>
      <c r="R78" s="107"/>
      <c r="S78" s="107"/>
    </row>
    <row r="79" spans="1:19" s="58" customFormat="1">
      <c r="A79" s="74" t="s">
        <v>158</v>
      </c>
      <c r="C79" s="63">
        <f>+'[1]Cash Flow'!B$64</f>
        <v>155419</v>
      </c>
      <c r="D79" s="63">
        <f>+'[1]Cash Flow'!C$64</f>
        <v>338045</v>
      </c>
      <c r="E79" s="63">
        <f>+'[1]Cash Flow'!D$64</f>
        <v>446000</v>
      </c>
      <c r="F79" s="63">
        <f>+'[1]Cash Flow'!E$64</f>
        <v>419635</v>
      </c>
      <c r="G79" s="63">
        <f>+'[1]Cash Flow'!F$64</f>
        <v>635422</v>
      </c>
      <c r="H79" s="63">
        <f>+'[1]Cash Flow'!G$64</f>
        <v>2143130</v>
      </c>
      <c r="I79" s="63">
        <f>+'[1]Cash Flow'!H$64</f>
        <v>1523523</v>
      </c>
      <c r="J79" s="63">
        <f>+'[1]Cash Flow'!I$64</f>
        <v>3743976</v>
      </c>
      <c r="K79" s="63">
        <f>+'[1]Cash Flow'!J$64</f>
        <v>4414864</v>
      </c>
      <c r="L79" s="63">
        <f>+'[1]Cash Flow'!K$64</f>
        <v>574000</v>
      </c>
      <c r="M79" s="63">
        <f>+'[1]Cash Flow'!L$64</f>
        <v>1529000</v>
      </c>
      <c r="N79" s="63">
        <f>+'[1]Cash Flow'!M$64</f>
        <v>9973000</v>
      </c>
      <c r="O79" s="63">
        <f>+'[1]Cash Flow'!N$64</f>
        <v>0</v>
      </c>
      <c r="P79" s="63">
        <f>+'[1]Cash Flow'!O$64</f>
        <v>0</v>
      </c>
      <c r="Q79" s="63">
        <f>+'[1]Cash Flow'!P$64</f>
        <v>0</v>
      </c>
      <c r="R79" s="63">
        <f>+'[1]Cash Flow'!Q$64</f>
        <v>0</v>
      </c>
      <c r="S79" s="63">
        <f>+'[1]Cash Flow'!R$64</f>
        <v>0</v>
      </c>
    </row>
    <row r="80" spans="1:19"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7"/>
      <c r="P80" s="67"/>
      <c r="Q80" s="67"/>
      <c r="R80" s="67"/>
      <c r="S80" s="67"/>
    </row>
    <row r="81" spans="1:19"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7"/>
      <c r="P81" s="67"/>
      <c r="Q81" s="67"/>
      <c r="R81" s="67"/>
      <c r="S81" s="67"/>
    </row>
    <row r="82" spans="1:19" s="64" customFormat="1" ht="24" thickBot="1">
      <c r="A82" s="112" t="s">
        <v>159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70"/>
      <c r="P82" s="70"/>
      <c r="Q82" s="70"/>
      <c r="R82" s="70"/>
      <c r="S82" s="70"/>
    </row>
    <row r="83" spans="1:19" s="64" customFormat="1" ht="18.75">
      <c r="A83" s="74" t="s">
        <v>147</v>
      </c>
      <c r="C83" s="65"/>
      <c r="D83" s="95"/>
      <c r="E83" s="65"/>
      <c r="F83" s="65"/>
      <c r="G83" s="65"/>
      <c r="H83" s="65"/>
      <c r="I83" s="65"/>
      <c r="J83" s="62"/>
      <c r="K83" s="62"/>
      <c r="L83" s="62">
        <f>+SUM('Detailed Deliveries'!D13:G13)</f>
        <v>245491</v>
      </c>
      <c r="M83" s="62">
        <f>+SUM('Detailed Deliveries'!H13:K13)</f>
        <v>367656</v>
      </c>
      <c r="N83" s="62">
        <f>+SUM('Detailed Deliveries'!L13:O13)</f>
        <v>499150</v>
      </c>
      <c r="O83" s="71"/>
      <c r="P83" s="71"/>
      <c r="Q83" s="71"/>
      <c r="R83" s="71"/>
      <c r="S83" s="71"/>
    </row>
    <row r="84" spans="1:19" s="64" customFormat="1" ht="18.75">
      <c r="A84" s="74" t="s">
        <v>130</v>
      </c>
      <c r="C84" s="65"/>
      <c r="D84" s="95"/>
      <c r="E84" s="65"/>
      <c r="F84" s="65"/>
      <c r="G84" s="65"/>
      <c r="H84" s="65"/>
      <c r="I84" s="65"/>
      <c r="J84" s="62"/>
      <c r="K84" s="62"/>
      <c r="L84" s="62"/>
      <c r="M84" s="60">
        <f>+M83/L83-1</f>
        <v>0.49763535119413738</v>
      </c>
      <c r="N84" s="60">
        <f>+N83/M83-1</f>
        <v>0.35765498183084188</v>
      </c>
      <c r="O84" s="71"/>
      <c r="P84" s="71"/>
      <c r="Q84" s="71"/>
      <c r="R84" s="71"/>
      <c r="S84" s="71"/>
    </row>
    <row r="85" spans="1:19">
      <c r="A85" s="73" t="s">
        <v>105</v>
      </c>
      <c r="C85" s="61"/>
      <c r="D85" s="59">
        <f>+D9/C9-1</f>
        <v>4.2887898305387528E-2</v>
      </c>
      <c r="E85" s="59">
        <f>+E9/D9-1</f>
        <v>0.74948605495785658</v>
      </c>
      <c r="F85" s="59">
        <f>+F9/E9-1</f>
        <v>1.0233644402228728</v>
      </c>
      <c r="G85" s="59">
        <f>+G9/F9-1</f>
        <v>3.8722728768608317</v>
      </c>
      <c r="H85" s="59">
        <f>+H9/G9-1</f>
        <v>0.58845907814070642</v>
      </c>
      <c r="I85" s="59">
        <f>+I9/H9-1</f>
        <v>0.26503272306147285</v>
      </c>
      <c r="J85" s="59">
        <f>+J9/I9-1</f>
        <v>0.73012574069611524</v>
      </c>
      <c r="K85" s="59">
        <f>+K9/J9-1</f>
        <v>0.67978989539054413</v>
      </c>
      <c r="L85" s="59">
        <f>+L9/K9-1</f>
        <v>0.8251088061988896</v>
      </c>
      <c r="M85" s="59">
        <f>+M9/L9-1</f>
        <v>0.14524020315921904</v>
      </c>
      <c r="N85" s="59">
        <f>+N9/M9-1</f>
        <v>0.28309870615998056</v>
      </c>
      <c r="O85" s="72"/>
      <c r="P85" s="72"/>
      <c r="Q85" s="72"/>
      <c r="R85" s="72"/>
      <c r="S85" s="72"/>
    </row>
    <row r="86" spans="1:19">
      <c r="A86" s="73" t="s">
        <v>106</v>
      </c>
      <c r="C86" s="59">
        <f>+C13/C9</f>
        <v>0.9148227222783023</v>
      </c>
      <c r="D86" s="59">
        <f>+D13/D9</f>
        <v>0.73676591516480505</v>
      </c>
      <c r="E86" s="59">
        <f>+E13/E9</f>
        <v>0.69842148040070118</v>
      </c>
      <c r="F86" s="59">
        <f>+F13/F9</f>
        <v>0.92724364558530303</v>
      </c>
      <c r="G86" s="59">
        <f>+G13/G9</f>
        <v>0.77339810955671129</v>
      </c>
      <c r="H86" s="59">
        <f>+H13/H9</f>
        <v>0.72433619021772433</v>
      </c>
      <c r="I86" s="59">
        <f>+I13/I9</f>
        <v>0.7717505452882768</v>
      </c>
      <c r="J86" s="59">
        <f>+J13/J9</f>
        <v>0.771539022407006</v>
      </c>
      <c r="K86" s="59">
        <f>+K13/K9</f>
        <v>0.81099293623957169</v>
      </c>
      <c r="L86" s="59">
        <f>+L13/L9</f>
        <v>0.81165835701971012</v>
      </c>
      <c r="M86" s="59">
        <f>+M13/M9</f>
        <v>0.83444543901049717</v>
      </c>
      <c r="N86" s="59">
        <f>+N13/N9</f>
        <v>0.7897640791476408</v>
      </c>
      <c r="O86" s="72"/>
      <c r="P86" s="72"/>
      <c r="Q86" s="72"/>
      <c r="R86" s="72"/>
      <c r="S86" s="72"/>
    </row>
    <row r="87" spans="1:19">
      <c r="A87" s="96" t="s">
        <v>126</v>
      </c>
      <c r="B87" s="97"/>
      <c r="C87" s="98">
        <f>1-C12/C8</f>
        <v>8.5177277721697697E-2</v>
      </c>
      <c r="D87" s="98">
        <f>1-D12/D8</f>
        <v>0.17610581182142193</v>
      </c>
      <c r="E87" s="98">
        <f>1-E12/E8</f>
        <v>0.22269936998546125</v>
      </c>
      <c r="F87" s="98">
        <f>1-F12/F8</f>
        <v>3.6404035271027424E-2</v>
      </c>
      <c r="G87" s="98">
        <f>1-G12/G8</f>
        <v>0.22720551650677301</v>
      </c>
      <c r="H87" s="98">
        <f>1-H12/H8</f>
        <v>0.28641821183287597</v>
      </c>
      <c r="I87" s="98">
        <f>1-I12/I8</f>
        <v>0.24530275946926106</v>
      </c>
      <c r="J87" s="98">
        <f>1-J12/J8</f>
        <v>0.2520459736667986</v>
      </c>
      <c r="K87" s="98">
        <f>1-K12/K8</f>
        <v>0.22907657681018123</v>
      </c>
      <c r="L87" s="98">
        <f>1-L12/L8</f>
        <v>0.23445854712395353</v>
      </c>
      <c r="M87" s="98">
        <f>1-M12/M8</f>
        <v>0.21242975841698286</v>
      </c>
      <c r="N87" s="98">
        <f>1-N12/N8</f>
        <v>0.25616830665295931</v>
      </c>
      <c r="O87" s="99"/>
      <c r="P87" s="99"/>
      <c r="Q87" s="99"/>
      <c r="R87" s="99"/>
      <c r="S87" s="99"/>
    </row>
    <row r="88" spans="1:19">
      <c r="A88" s="96" t="s">
        <v>145</v>
      </c>
      <c r="B88" s="97"/>
      <c r="C88" s="98">
        <f>1-C12/C6</f>
        <v>8.5177277721697697E-2</v>
      </c>
      <c r="D88" s="98">
        <f>1-D12/D6</f>
        <v>0.17610581182142193</v>
      </c>
      <c r="E88" s="98">
        <f>1-E12/E6</f>
        <v>0.22269936998546125</v>
      </c>
      <c r="F88" s="98">
        <f>1-F12/F6</f>
        <v>3.6404035271027424E-2</v>
      </c>
      <c r="G88" s="98">
        <f>1-G12/G6</f>
        <v>0.22720551650677301</v>
      </c>
      <c r="H88" s="98">
        <f>1-H12/H6</f>
        <v>0.28641821183287597</v>
      </c>
      <c r="I88" s="98">
        <f>1-I12/I6</f>
        <v>0.24530275946926106</v>
      </c>
      <c r="J88" s="98">
        <f>1-J12/J6</f>
        <v>0.2520459736667986</v>
      </c>
      <c r="K88" s="98">
        <f>1-K12/K6</f>
        <v>0.22907657681018123</v>
      </c>
      <c r="L88" s="98">
        <f>1-L12/L6</f>
        <v>0.23445854712395353</v>
      </c>
      <c r="M88" s="98">
        <f>1-M12/M6</f>
        <v>0.21242975841698286</v>
      </c>
      <c r="N88" s="98">
        <f>1-N12/N6</f>
        <v>0.25616830665295931</v>
      </c>
      <c r="O88" s="99"/>
      <c r="P88" s="99"/>
      <c r="Q88" s="99"/>
      <c r="R88" s="99"/>
      <c r="S88" s="99"/>
    </row>
    <row r="89" spans="1:19">
      <c r="A89" s="73" t="s">
        <v>146</v>
      </c>
      <c r="C89" s="59">
        <f>1-C13/C9</f>
        <v>8.5177277721697697E-2</v>
      </c>
      <c r="D89" s="59">
        <f>1-D13/D9</f>
        <v>0.26323408483519495</v>
      </c>
      <c r="E89" s="59">
        <f>1-E13/E9</f>
        <v>0.30157851959929882</v>
      </c>
      <c r="F89" s="59">
        <f>1-F13/F9</f>
        <v>7.2756354414696967E-2</v>
      </c>
      <c r="G89" s="59">
        <f>1-G13/G9</f>
        <v>0.22660189044328871</v>
      </c>
      <c r="H89" s="59">
        <f>1-H13/H9</f>
        <v>0.27566380978227567</v>
      </c>
      <c r="I89" s="59">
        <f>1-I13/I9</f>
        <v>0.2282494547117232</v>
      </c>
      <c r="J89" s="59">
        <f>1-J13/J9</f>
        <v>0.228460977592994</v>
      </c>
      <c r="K89" s="59">
        <f>1-K13/K9</f>
        <v>0.18900706376042831</v>
      </c>
      <c r="L89" s="59">
        <f>1-L13/L9</f>
        <v>0.18834164298028988</v>
      </c>
      <c r="M89" s="59">
        <f>1-M13/M9</f>
        <v>0.16555456098950283</v>
      </c>
      <c r="N89" s="59">
        <f>1-N13/N9</f>
        <v>0.2102359208523592</v>
      </c>
      <c r="O89" s="72"/>
      <c r="P89" s="72"/>
      <c r="Q89" s="72"/>
      <c r="R89" s="72"/>
      <c r="S89" s="72"/>
    </row>
    <row r="90" spans="1:19">
      <c r="A90" s="73" t="s">
        <v>127</v>
      </c>
      <c r="C90" s="59">
        <f>+C20/C9</f>
        <v>-0.46360201173811671</v>
      </c>
      <c r="D90" s="59">
        <f>+D20/D9</f>
        <v>-1.2577777016377716</v>
      </c>
      <c r="E90" s="59">
        <f>+E20/E9</f>
        <v>-1.231323625894772</v>
      </c>
      <c r="F90" s="59">
        <f>+F20/F9</f>
        <v>-0.95408899084344811</v>
      </c>
      <c r="G90" s="59">
        <f>+G20/G9</f>
        <v>-3.0436117081931127E-2</v>
      </c>
      <c r="H90" s="59">
        <f>+H20/H9</f>
        <v>-5.8370300241749197E-2</v>
      </c>
      <c r="I90" s="59">
        <f>+I20/I9</f>
        <v>-0.17711927138364197</v>
      </c>
      <c r="J90" s="59">
        <f>+J20/J9</f>
        <v>-9.533248801594027E-2</v>
      </c>
      <c r="K90" s="59">
        <f>+K20/K9</f>
        <v>-0.13879756446921956</v>
      </c>
      <c r="L90" s="59">
        <f>+L20/L9</f>
        <v>-1.8079306649270769E-2</v>
      </c>
      <c r="M90" s="59">
        <f>+M20/M9</f>
        <v>-2.8073887216209618E-3</v>
      </c>
      <c r="N90" s="59">
        <f>+N20/N9</f>
        <v>6.3229325215626589E-2</v>
      </c>
      <c r="O90" s="72"/>
      <c r="P90" s="72"/>
      <c r="Q90" s="72"/>
      <c r="R90" s="72"/>
      <c r="S90" s="72"/>
    </row>
    <row r="91" spans="1:19">
      <c r="A91" s="73" t="s">
        <v>128</v>
      </c>
      <c r="C91" s="59">
        <f>+C27/C9</f>
        <v>-0.49793198324147109</v>
      </c>
      <c r="D91" s="59">
        <f>+D27/D9</f>
        <v>-1.3219351743986842</v>
      </c>
      <c r="E91" s="59">
        <f>+E27/E9</f>
        <v>-1.245635079954172</v>
      </c>
      <c r="F91" s="59">
        <f>+F27/F9</f>
        <v>-0.95875921946686804</v>
      </c>
      <c r="G91" s="59">
        <f>+G27/G9</f>
        <v>-3.6758950601342141E-2</v>
      </c>
      <c r="H91" s="59">
        <f>+H27/H9</f>
        <v>-9.1934731468291842E-2</v>
      </c>
      <c r="I91" s="59">
        <f>+I27/I9</f>
        <v>-0.21963853411681836</v>
      </c>
      <c r="J91" s="59">
        <f>+J27/J9</f>
        <v>-0.11043306040514665</v>
      </c>
      <c r="K91" s="59">
        <f>+K27/K9</f>
        <v>-0.19054557750223641</v>
      </c>
      <c r="L91" s="59">
        <f>+L27/L9</f>
        <v>-4.9531708680862964E-2</v>
      </c>
      <c r="M91" s="59">
        <f>+M27/M9</f>
        <v>-3.1532264626902111E-2</v>
      </c>
      <c r="N91" s="59">
        <f>+N27/N9</f>
        <v>2.7333840690005072E-2</v>
      </c>
      <c r="O91" s="72"/>
      <c r="P91" s="72"/>
      <c r="Q91" s="72"/>
      <c r="R91" s="72"/>
      <c r="S91" s="72"/>
    </row>
    <row r="92" spans="1:19"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</row>
    <row r="93" spans="1:19">
      <c r="A93" s="73" t="s">
        <v>123</v>
      </c>
      <c r="C93" s="59">
        <f>+C16/C$9</f>
        <v>0.17224837640584942</v>
      </c>
      <c r="D93" s="59">
        <f>+D16/D$9</f>
        <v>0.79658055231960534</v>
      </c>
      <c r="E93" s="59">
        <f>+E16/E$9</f>
        <v>1.0232028671869644</v>
      </c>
      <c r="F93" s="59">
        <f>+F16/F$9</f>
        <v>0.66297404030431495</v>
      </c>
      <c r="G93" s="59">
        <f>+G16/G$9</f>
        <v>0.11521055914687688</v>
      </c>
      <c r="H93" s="59">
        <f>+H16/H$9</f>
        <v>0.14529339448141482</v>
      </c>
      <c r="I93" s="59">
        <f>+I16/I$9</f>
        <v>0.17743340686229075</v>
      </c>
      <c r="J93" s="59">
        <f>+J16/J$9</f>
        <v>0.11919889510654942</v>
      </c>
      <c r="K93" s="59">
        <f>+K16/K$9</f>
        <v>0.11719552527304983</v>
      </c>
      <c r="L93" s="59">
        <f>+L16/L$9</f>
        <v>6.8030380690554962E-2</v>
      </c>
      <c r="M93" s="59">
        <f>+M16/M$9</f>
        <v>5.4642363088941333E-2</v>
      </c>
      <c r="N93" s="59">
        <f>+N16/N$9</f>
        <v>4.7279299847792999E-2</v>
      </c>
      <c r="O93" s="59"/>
      <c r="P93" s="59"/>
      <c r="Q93" s="59"/>
      <c r="R93" s="59"/>
      <c r="S93" s="59"/>
    </row>
    <row r="94" spans="1:19">
      <c r="A94" s="73" t="s">
        <v>124</v>
      </c>
      <c r="C94" s="59">
        <f>+C17/C$9</f>
        <v>0.37653091305396497</v>
      </c>
      <c r="D94" s="59">
        <f>+D17/D$9</f>
        <v>0.72443123415336119</v>
      </c>
      <c r="E94" s="59">
        <f>+E17/E$9</f>
        <v>0.50969927830710626</v>
      </c>
      <c r="F94" s="59">
        <f>+F17/F$9</f>
        <v>0.36387130495383008</v>
      </c>
      <c r="G94" s="59">
        <f>+G17/G$9</f>
        <v>0.14182744837834294</v>
      </c>
      <c r="H94" s="59">
        <f>+H17/H$9</f>
        <v>0.18874071554261002</v>
      </c>
      <c r="I94" s="59">
        <f>+I17/I$9</f>
        <v>0.22793531923307445</v>
      </c>
      <c r="J94" s="59">
        <f>+J17/J$9</f>
        <v>0.2045945705023848</v>
      </c>
      <c r="K94" s="59">
        <f>+K17/K$9</f>
        <v>0.21060910295659802</v>
      </c>
      <c r="L94" s="59">
        <f>+L17/L$9</f>
        <v>0.1321000885326872</v>
      </c>
      <c r="M94" s="59">
        <f>+M17/M$9</f>
        <v>0.10765725445520384</v>
      </c>
      <c r="N94" s="59">
        <f>+N17/N$9</f>
        <v>9.9727295788939629E-2</v>
      </c>
      <c r="O94" s="59"/>
      <c r="P94" s="59"/>
      <c r="Q94" s="59"/>
      <c r="R94" s="59"/>
      <c r="S94" s="59"/>
    </row>
    <row r="95" spans="1:19">
      <c r="A95" s="73" t="s">
        <v>125</v>
      </c>
      <c r="C95" s="59">
        <f>+C18/C$9</f>
        <v>0</v>
      </c>
      <c r="D95" s="59">
        <f>+D18/D$9</f>
        <v>0</v>
      </c>
      <c r="E95" s="59">
        <f>+E18/E$9</f>
        <v>0</v>
      </c>
      <c r="F95" s="59">
        <f>+F18/F$9</f>
        <v>0</v>
      </c>
      <c r="G95" s="59">
        <f>+G18/G$9</f>
        <v>0</v>
      </c>
      <c r="H95" s="59">
        <f>+H18/H$9</f>
        <v>0</v>
      </c>
      <c r="I95" s="59">
        <f>+I18/I$9</f>
        <v>0</v>
      </c>
      <c r="J95" s="59">
        <f>+J18/J$9</f>
        <v>0</v>
      </c>
      <c r="K95" s="59">
        <f>+K18/K$9</f>
        <v>0</v>
      </c>
      <c r="L95" s="59">
        <f>+L18/L$9</f>
        <v>6.2904804063184383E-3</v>
      </c>
      <c r="M95" s="59">
        <f>+M18/M$9</f>
        <v>6.0623321669785986E-3</v>
      </c>
      <c r="N95" s="59">
        <f>+N18/N$9</f>
        <v>0</v>
      </c>
      <c r="O95" s="59"/>
      <c r="P95" s="59"/>
      <c r="Q95" s="59"/>
      <c r="R95" s="59"/>
      <c r="S95" s="59"/>
    </row>
    <row r="96" spans="1:19">
      <c r="A96" s="73" t="s">
        <v>131</v>
      </c>
      <c r="C96" s="59"/>
      <c r="D96" s="59"/>
      <c r="E96" s="59"/>
      <c r="F96" s="59"/>
      <c r="G96" s="59"/>
      <c r="H96" s="59"/>
      <c r="I96" s="59"/>
      <c r="J96" s="59">
        <f>+J26/J25</f>
        <v>-3.5771516772336767E-2</v>
      </c>
      <c r="K96" s="59">
        <f>+K26/K25</f>
        <v>-1.4280463116876533E-2</v>
      </c>
      <c r="L96" s="59">
        <f>+L26/L25</f>
        <v>-5.7711442786069649E-2</v>
      </c>
      <c r="M96" s="59">
        <f>+M26/M25</f>
        <v>-0.16541353383458646</v>
      </c>
      <c r="N96" s="59">
        <f>+N26/N25</f>
        <v>0.2530329289428076</v>
      </c>
      <c r="O96" s="59"/>
      <c r="P96" s="59"/>
      <c r="Q96" s="59"/>
      <c r="R96" s="59"/>
      <c r="S96" s="59"/>
    </row>
    <row r="98" spans="1:20" s="64" customFormat="1" ht="24" thickBot="1">
      <c r="A98" s="112" t="s">
        <v>129</v>
      </c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</row>
    <row r="99" spans="1:20">
      <c r="A99" s="74" t="s">
        <v>199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7"/>
      <c r="P99" s="67"/>
      <c r="Q99" s="67"/>
      <c r="R99" s="67"/>
      <c r="S99" s="67"/>
    </row>
    <row r="100" spans="1:20">
      <c r="A100" s="73" t="s">
        <v>160</v>
      </c>
      <c r="C100" s="110">
        <f>+C20</f>
        <v>-51897</v>
      </c>
      <c r="D100" s="110">
        <f>+D20</f>
        <v>-146838</v>
      </c>
      <c r="E100" s="110">
        <f>+E20</f>
        <v>-251488</v>
      </c>
      <c r="F100" s="110">
        <f>+F20</f>
        <v>-394283</v>
      </c>
      <c r="G100" s="110">
        <f>+G20</f>
        <v>-61283</v>
      </c>
      <c r="H100" s="110">
        <f>+H20</f>
        <v>-186689</v>
      </c>
      <c r="I100" s="110">
        <f>+I20</f>
        <v>-716629</v>
      </c>
      <c r="J100" s="110">
        <f>+J20</f>
        <v>-667340</v>
      </c>
      <c r="K100" s="110">
        <f>+K20</f>
        <v>-1632086</v>
      </c>
      <c r="L100" s="110">
        <f>+L20</f>
        <v>-388000</v>
      </c>
      <c r="M100" s="110">
        <f>+M20</f>
        <v>-69000</v>
      </c>
      <c r="N100" s="110">
        <f>+N20</f>
        <v>1994000</v>
      </c>
      <c r="O100" s="110">
        <f>+N100*1.1</f>
        <v>2193400</v>
      </c>
      <c r="P100" s="110">
        <f t="shared" ref="P100:S100" si="5">+O100*1.1</f>
        <v>2412740</v>
      </c>
      <c r="Q100" s="110">
        <f t="shared" si="5"/>
        <v>2654014</v>
      </c>
      <c r="R100" s="110">
        <f t="shared" si="5"/>
        <v>2919415.4000000004</v>
      </c>
      <c r="S100" s="110">
        <f t="shared" si="5"/>
        <v>3211356.9400000009</v>
      </c>
    </row>
    <row r="101" spans="1:20">
      <c r="A101" s="101" t="s">
        <v>152</v>
      </c>
      <c r="B101" s="102"/>
      <c r="C101" s="111">
        <f>+C71</f>
        <v>6940</v>
      </c>
      <c r="D101" s="111">
        <f t="shared" ref="D101:N101" si="6">+D71</f>
        <v>10623</v>
      </c>
      <c r="E101" s="111">
        <f t="shared" si="6"/>
        <v>16919</v>
      </c>
      <c r="F101" s="111">
        <f t="shared" si="6"/>
        <v>28825</v>
      </c>
      <c r="G101" s="111">
        <f t="shared" si="6"/>
        <v>106083</v>
      </c>
      <c r="H101" s="111">
        <f t="shared" si="6"/>
        <v>231931</v>
      </c>
      <c r="I101" s="111">
        <f t="shared" si="6"/>
        <v>422590</v>
      </c>
      <c r="J101" s="111">
        <f t="shared" si="6"/>
        <v>947099</v>
      </c>
      <c r="K101" s="111">
        <f t="shared" si="6"/>
        <v>1636003</v>
      </c>
      <c r="L101" s="111">
        <f t="shared" si="6"/>
        <v>1901000</v>
      </c>
      <c r="M101" s="111">
        <f t="shared" si="6"/>
        <v>2154000</v>
      </c>
      <c r="N101" s="111">
        <f t="shared" si="6"/>
        <v>2322000</v>
      </c>
      <c r="O101" s="111">
        <f>+N101*1.2</f>
        <v>2786400</v>
      </c>
      <c r="P101" s="111">
        <f t="shared" ref="P101:S101" si="7">+O101*1.2</f>
        <v>3343680</v>
      </c>
      <c r="Q101" s="111">
        <f t="shared" si="7"/>
        <v>4012416</v>
      </c>
      <c r="R101" s="111">
        <f t="shared" si="7"/>
        <v>4814899.2000000002</v>
      </c>
      <c r="S101" s="111">
        <f t="shared" si="7"/>
        <v>5777879.04</v>
      </c>
    </row>
    <row r="102" spans="1:20" s="58" customFormat="1">
      <c r="A102" s="74" t="s">
        <v>161</v>
      </c>
      <c r="C102" s="63">
        <f>+C100+C101</f>
        <v>-44957</v>
      </c>
      <c r="D102" s="63">
        <f t="shared" ref="D102:S102" si="8">+D100+D101</f>
        <v>-136215</v>
      </c>
      <c r="E102" s="63">
        <f t="shared" si="8"/>
        <v>-234569</v>
      </c>
      <c r="F102" s="63">
        <f t="shared" si="8"/>
        <v>-365458</v>
      </c>
      <c r="G102" s="63">
        <f t="shared" si="8"/>
        <v>44800</v>
      </c>
      <c r="H102" s="63">
        <f t="shared" si="8"/>
        <v>45242</v>
      </c>
      <c r="I102" s="63">
        <f t="shared" si="8"/>
        <v>-294039</v>
      </c>
      <c r="J102" s="63">
        <f t="shared" si="8"/>
        <v>279759</v>
      </c>
      <c r="K102" s="63">
        <f t="shared" si="8"/>
        <v>3917</v>
      </c>
      <c r="L102" s="63">
        <f t="shared" si="8"/>
        <v>1513000</v>
      </c>
      <c r="M102" s="63">
        <f t="shared" si="8"/>
        <v>2085000</v>
      </c>
      <c r="N102" s="63">
        <f t="shared" si="8"/>
        <v>4316000</v>
      </c>
      <c r="O102" s="63">
        <f t="shared" si="8"/>
        <v>4979800</v>
      </c>
      <c r="P102" s="63">
        <f t="shared" si="8"/>
        <v>5756420</v>
      </c>
      <c r="Q102" s="63">
        <f t="shared" si="8"/>
        <v>6666430</v>
      </c>
      <c r="R102" s="63">
        <f t="shared" si="8"/>
        <v>7734314.6000000006</v>
      </c>
      <c r="S102" s="63">
        <f t="shared" si="8"/>
        <v>8989235.9800000004</v>
      </c>
    </row>
    <row r="104" spans="1:20" s="58" customFormat="1">
      <c r="A104" s="74" t="s">
        <v>151</v>
      </c>
      <c r="C104" s="63">
        <f>+C72</f>
        <v>-80825</v>
      </c>
      <c r="D104" s="63">
        <f t="shared" ref="D104:N104" si="9">+D72</f>
        <v>-127817</v>
      </c>
      <c r="E104" s="63">
        <f t="shared" si="9"/>
        <v>-114365</v>
      </c>
      <c r="F104" s="63">
        <f t="shared" si="9"/>
        <v>-266081</v>
      </c>
      <c r="G104" s="63">
        <f t="shared" si="9"/>
        <v>257994</v>
      </c>
      <c r="H104" s="63">
        <f t="shared" si="9"/>
        <v>-57337</v>
      </c>
      <c r="I104" s="63">
        <f t="shared" si="9"/>
        <v>-524499</v>
      </c>
      <c r="J104" s="63">
        <f t="shared" si="9"/>
        <v>-123829</v>
      </c>
      <c r="K104" s="63">
        <f t="shared" si="9"/>
        <v>-60654</v>
      </c>
      <c r="L104" s="63">
        <f t="shared" si="9"/>
        <v>2098000</v>
      </c>
      <c r="M104" s="63">
        <f t="shared" si="9"/>
        <v>2405000</v>
      </c>
      <c r="N104" s="63">
        <f t="shared" si="9"/>
        <v>5943000</v>
      </c>
      <c r="O104" s="63">
        <f>+N104*1.2</f>
        <v>7131600</v>
      </c>
      <c r="P104" s="63">
        <f t="shared" ref="P104:S104" si="10">+O104*1.2</f>
        <v>8557920</v>
      </c>
      <c r="Q104" s="63">
        <f t="shared" si="10"/>
        <v>10269504</v>
      </c>
      <c r="R104" s="63">
        <f t="shared" si="10"/>
        <v>12323404.799999999</v>
      </c>
      <c r="S104" s="63">
        <f t="shared" si="10"/>
        <v>14788085.759999998</v>
      </c>
    </row>
    <row r="105" spans="1:20">
      <c r="A105" s="101" t="s">
        <v>132</v>
      </c>
      <c r="B105" s="102"/>
      <c r="C105" s="111">
        <f>+C75</f>
        <v>-11884</v>
      </c>
      <c r="D105" s="111">
        <f t="shared" ref="D105:N105" si="11">+D75</f>
        <v>-40203</v>
      </c>
      <c r="E105" s="111">
        <f t="shared" si="11"/>
        <v>-197896</v>
      </c>
      <c r="F105" s="111">
        <f t="shared" si="11"/>
        <v>-239228</v>
      </c>
      <c r="G105" s="111">
        <f t="shared" si="11"/>
        <v>-264224</v>
      </c>
      <c r="H105" s="111">
        <f t="shared" si="11"/>
        <v>-969885</v>
      </c>
      <c r="I105" s="111">
        <f t="shared" si="11"/>
        <v>-1634850</v>
      </c>
      <c r="J105" s="111">
        <f t="shared" si="11"/>
        <v>-1280802</v>
      </c>
      <c r="K105" s="111">
        <f t="shared" si="11"/>
        <v>-3414814</v>
      </c>
      <c r="L105" s="111">
        <f t="shared" si="11"/>
        <v>-2101000</v>
      </c>
      <c r="M105" s="111">
        <f t="shared" si="11"/>
        <v>-1327000</v>
      </c>
      <c r="N105" s="111">
        <f t="shared" si="11"/>
        <v>-3157000</v>
      </c>
      <c r="O105" s="111">
        <f>+N105*1.15</f>
        <v>-3630549.9999999995</v>
      </c>
      <c r="P105" s="111">
        <f t="shared" ref="P105:S105" si="12">+O105*1.15</f>
        <v>-4175132.4999999991</v>
      </c>
      <c r="Q105" s="111">
        <f t="shared" si="12"/>
        <v>-4801402.3749999981</v>
      </c>
      <c r="R105" s="111">
        <f t="shared" si="12"/>
        <v>-5521612.7312499974</v>
      </c>
      <c r="S105" s="111">
        <f t="shared" si="12"/>
        <v>-6349854.6409374969</v>
      </c>
    </row>
    <row r="106" spans="1:20" s="58" customFormat="1">
      <c r="A106" s="74" t="s">
        <v>133</v>
      </c>
      <c r="C106" s="63">
        <f>+C104+C105</f>
        <v>-92709</v>
      </c>
      <c r="D106" s="63">
        <f t="shared" ref="D106:S106" si="13">+D104+D105</f>
        <v>-168020</v>
      </c>
      <c r="E106" s="63">
        <f t="shared" si="13"/>
        <v>-312261</v>
      </c>
      <c r="F106" s="63">
        <f t="shared" si="13"/>
        <v>-505309</v>
      </c>
      <c r="G106" s="63">
        <f t="shared" si="13"/>
        <v>-6230</v>
      </c>
      <c r="H106" s="63">
        <f t="shared" si="13"/>
        <v>-1027222</v>
      </c>
      <c r="I106" s="63">
        <f t="shared" si="13"/>
        <v>-2159349</v>
      </c>
      <c r="J106" s="63">
        <f t="shared" si="13"/>
        <v>-1404631</v>
      </c>
      <c r="K106" s="63">
        <f t="shared" si="13"/>
        <v>-3475468</v>
      </c>
      <c r="L106" s="63">
        <f t="shared" si="13"/>
        <v>-3000</v>
      </c>
      <c r="M106" s="63">
        <f t="shared" si="13"/>
        <v>1078000</v>
      </c>
      <c r="N106" s="63">
        <f t="shared" si="13"/>
        <v>2786000</v>
      </c>
      <c r="O106" s="63">
        <f t="shared" si="13"/>
        <v>3501050.0000000005</v>
      </c>
      <c r="P106" s="63">
        <f t="shared" si="13"/>
        <v>4382787.5000000009</v>
      </c>
      <c r="Q106" s="63">
        <f t="shared" si="13"/>
        <v>5468101.6250000019</v>
      </c>
      <c r="R106" s="63">
        <f t="shared" si="13"/>
        <v>6801792.0687500015</v>
      </c>
      <c r="S106" s="63">
        <f t="shared" si="13"/>
        <v>8438231.1190625019</v>
      </c>
    </row>
    <row r="107" spans="1:20" s="58" customFormat="1">
      <c r="A107" s="74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</row>
    <row r="108" spans="1:20" s="58" customFormat="1" ht="18" customHeight="1">
      <c r="A108" s="122" t="s">
        <v>200</v>
      </c>
      <c r="B108" s="123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>
        <f>+O106</f>
        <v>3501050.0000000005</v>
      </c>
      <c r="P108" s="124">
        <f t="shared" ref="P108:S108" si="14">+P106</f>
        <v>4382787.5000000009</v>
      </c>
      <c r="Q108" s="124">
        <f t="shared" si="14"/>
        <v>5468101.6250000019</v>
      </c>
      <c r="R108" s="124">
        <f t="shared" si="14"/>
        <v>6801792.0687500015</v>
      </c>
      <c r="S108" s="124">
        <f t="shared" si="14"/>
        <v>8438231.1190625019</v>
      </c>
      <c r="T108" s="124">
        <f>+R115*1000</f>
        <v>90805446.193906277</v>
      </c>
    </row>
    <row r="109" spans="1:20" s="58" customFormat="1">
      <c r="A109" s="74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</row>
    <row r="110" spans="1:20" s="58" customFormat="1">
      <c r="A110" s="74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</row>
    <row r="111" spans="1:20" ht="18.75">
      <c r="B111" s="114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129" t="s">
        <v>104</v>
      </c>
      <c r="O111" s="129"/>
    </row>
    <row r="112" spans="1:20" ht="18" customHeight="1">
      <c r="A112" s="5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116" t="s">
        <v>201</v>
      </c>
      <c r="O112" s="100">
        <v>0.12</v>
      </c>
      <c r="Q112" s="121" t="s">
        <v>204</v>
      </c>
      <c r="R112" s="121"/>
    </row>
    <row r="113" spans="1:22" ht="18" customHeight="1">
      <c r="A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116" t="s">
        <v>202</v>
      </c>
      <c r="O113" s="100">
        <v>0.04</v>
      </c>
      <c r="Q113" s="73" t="s">
        <v>209</v>
      </c>
      <c r="R113" s="118">
        <f>+S102*O114/1000</f>
        <v>71913.88784000001</v>
      </c>
    </row>
    <row r="114" spans="1:22" ht="18" customHeight="1">
      <c r="A114" s="57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116" t="s">
        <v>203</v>
      </c>
      <c r="O114" s="118">
        <v>8</v>
      </c>
      <c r="Q114" s="101" t="s">
        <v>210</v>
      </c>
      <c r="R114" s="119">
        <f>+S106*(1+O113)/(O112-O113)/1000</f>
        <v>109697.00454781255</v>
      </c>
    </row>
    <row r="115" spans="1:22" ht="18" customHeight="1">
      <c r="A115" s="57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116" t="s">
        <v>162</v>
      </c>
      <c r="O115" s="118">
        <v>701.98</v>
      </c>
      <c r="Q115" s="74" t="s">
        <v>205</v>
      </c>
      <c r="R115" s="115">
        <f>+AVERAGE(R113:R114)</f>
        <v>90805.446193906275</v>
      </c>
    </row>
    <row r="116" spans="1:22" ht="18" customHeight="1">
      <c r="A116" s="57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116" t="s">
        <v>197</v>
      </c>
      <c r="O116" s="118">
        <f>+'[1]Income Statement'!$M$49/1000000</f>
        <v>933</v>
      </c>
    </row>
    <row r="117" spans="1:22" ht="18" customHeight="1">
      <c r="A117" s="57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116"/>
      <c r="O117" s="61"/>
      <c r="U117" s="103" t="s">
        <v>206</v>
      </c>
      <c r="V117" s="102"/>
    </row>
    <row r="118" spans="1:22" ht="18" customHeight="1">
      <c r="B118" s="73"/>
      <c r="C118" s="73"/>
      <c r="E118" s="5"/>
      <c r="F118" s="128"/>
      <c r="G118" s="128"/>
      <c r="H118" s="128"/>
      <c r="I118" s="128"/>
      <c r="J118" s="128"/>
      <c r="K118" s="128"/>
      <c r="L118" s="128"/>
      <c r="M118" s="128"/>
      <c r="N118" s="128"/>
      <c r="O118" s="120" t="s">
        <v>196</v>
      </c>
      <c r="P118" s="16">
        <f>+O116*O115</f>
        <v>654947.34</v>
      </c>
      <c r="R118" s="114" t="s">
        <v>198</v>
      </c>
      <c r="S118" s="62">
        <f>+NPV(O112,N108:T108)/1000</f>
        <v>65627.561382501852</v>
      </c>
      <c r="U118" s="116" t="s">
        <v>207</v>
      </c>
      <c r="V118" s="118">
        <f>+O115</f>
        <v>701.98</v>
      </c>
    </row>
    <row r="119" spans="1:22" ht="18" customHeight="1">
      <c r="B119" s="73"/>
      <c r="C119" s="7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16" t="s">
        <v>163</v>
      </c>
      <c r="P119" s="8">
        <f>(N52+N55)/1000</f>
        <v>11688</v>
      </c>
      <c r="R119" s="125" t="s">
        <v>163</v>
      </c>
      <c r="S119" s="10">
        <f>+P119</f>
        <v>11688</v>
      </c>
      <c r="U119" s="116" t="s">
        <v>208</v>
      </c>
      <c r="V119" s="118">
        <f>+S121/O116</f>
        <v>78.589026133442502</v>
      </c>
    </row>
    <row r="120" spans="1:22" ht="18" customHeight="1">
      <c r="B120" s="73"/>
      <c r="C120" s="7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17" t="s">
        <v>164</v>
      </c>
      <c r="P120" s="12">
        <f>+N33/1000</f>
        <v>19384</v>
      </c>
      <c r="R120" s="117" t="s">
        <v>164</v>
      </c>
      <c r="S120" s="12">
        <f>+P120</f>
        <v>19384</v>
      </c>
      <c r="U120" s="116" t="s">
        <v>211</v>
      </c>
      <c r="V120" s="59">
        <f>+V119/V118-1</f>
        <v>-0.88804663076805257</v>
      </c>
    </row>
    <row r="121" spans="1:22" ht="18" customHeight="1">
      <c r="B121" s="73"/>
      <c r="C121" s="7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114" t="s">
        <v>198</v>
      </c>
      <c r="P121" s="62">
        <f>+P118+P119-P120</f>
        <v>647251.34</v>
      </c>
      <c r="Q121" s="62"/>
      <c r="R121" s="126" t="s">
        <v>196</v>
      </c>
      <c r="S121" s="127">
        <f>+S118-S119+S120</f>
        <v>73323.561382501852</v>
      </c>
      <c r="T121" s="62"/>
    </row>
    <row r="122" spans="1:22">
      <c r="B122" s="114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62"/>
    </row>
    <row r="124" spans="1:22" ht="24" thickBot="1">
      <c r="A124" s="112" t="s">
        <v>148</v>
      </c>
    </row>
    <row r="126" spans="1:22">
      <c r="A126" s="73" t="s">
        <v>151</v>
      </c>
      <c r="C126" s="110">
        <f>+C72</f>
        <v>-80825</v>
      </c>
      <c r="D126" s="110">
        <f t="shared" ref="D126:S126" si="15">+D72</f>
        <v>-127817</v>
      </c>
      <c r="E126" s="110">
        <f t="shared" si="15"/>
        <v>-114365</v>
      </c>
      <c r="F126" s="110">
        <f t="shared" si="15"/>
        <v>-266081</v>
      </c>
      <c r="G126" s="110">
        <f t="shared" si="15"/>
        <v>257994</v>
      </c>
      <c r="H126" s="110">
        <f t="shared" si="15"/>
        <v>-57337</v>
      </c>
      <c r="I126" s="110">
        <f t="shared" si="15"/>
        <v>-524499</v>
      </c>
      <c r="J126" s="110">
        <f t="shared" si="15"/>
        <v>-123829</v>
      </c>
      <c r="K126" s="110">
        <f t="shared" si="15"/>
        <v>-60654</v>
      </c>
      <c r="L126" s="110">
        <f t="shared" si="15"/>
        <v>2098000</v>
      </c>
      <c r="M126" s="110">
        <f t="shared" si="15"/>
        <v>2405000</v>
      </c>
      <c r="N126" s="110">
        <f t="shared" si="15"/>
        <v>5943000</v>
      </c>
      <c r="O126" s="110">
        <f t="shared" si="15"/>
        <v>0</v>
      </c>
      <c r="P126" s="110">
        <f t="shared" si="15"/>
        <v>0</v>
      </c>
      <c r="Q126" s="110">
        <f t="shared" si="15"/>
        <v>0</v>
      </c>
      <c r="R126" s="110">
        <f t="shared" si="15"/>
        <v>0</v>
      </c>
      <c r="S126" s="110">
        <f t="shared" si="15"/>
        <v>0</v>
      </c>
    </row>
    <row r="127" spans="1:22">
      <c r="A127" s="73" t="s">
        <v>155</v>
      </c>
      <c r="C127" s="110">
        <f>+C76</f>
        <v>-14244</v>
      </c>
      <c r="D127" s="110">
        <f t="shared" ref="D127:S127" si="16">+D76</f>
        <v>-180297</v>
      </c>
      <c r="E127" s="110">
        <f t="shared" si="16"/>
        <v>-175928</v>
      </c>
      <c r="F127" s="110">
        <f t="shared" si="16"/>
        <v>-206930</v>
      </c>
      <c r="G127" s="110">
        <f t="shared" si="16"/>
        <v>-249417</v>
      </c>
      <c r="H127" s="110">
        <f t="shared" si="16"/>
        <v>-990444</v>
      </c>
      <c r="I127" s="110">
        <f t="shared" si="16"/>
        <v>-1673551</v>
      </c>
      <c r="J127" s="110">
        <f t="shared" si="16"/>
        <v>-1081085</v>
      </c>
      <c r="K127" s="110">
        <f t="shared" si="16"/>
        <v>-4195877</v>
      </c>
      <c r="L127" s="110">
        <f t="shared" si="16"/>
        <v>-2337000</v>
      </c>
      <c r="M127" s="110">
        <f t="shared" si="16"/>
        <v>-1436000</v>
      </c>
      <c r="N127" s="110">
        <f t="shared" si="16"/>
        <v>-3132000</v>
      </c>
      <c r="O127" s="110">
        <f t="shared" si="16"/>
        <v>0</v>
      </c>
      <c r="P127" s="110">
        <f t="shared" si="16"/>
        <v>0</v>
      </c>
      <c r="Q127" s="110">
        <f t="shared" si="16"/>
        <v>0</v>
      </c>
      <c r="R127" s="110">
        <f t="shared" si="16"/>
        <v>0</v>
      </c>
      <c r="S127" s="110">
        <f t="shared" si="16"/>
        <v>0</v>
      </c>
    </row>
    <row r="128" spans="1:22">
      <c r="A128" s="73" t="s">
        <v>157</v>
      </c>
      <c r="C128" s="110">
        <f>+C79</f>
        <v>155419</v>
      </c>
      <c r="D128" s="110">
        <f t="shared" ref="D128:S128" si="17">+D79</f>
        <v>338045</v>
      </c>
      <c r="E128" s="110">
        <f t="shared" si="17"/>
        <v>446000</v>
      </c>
      <c r="F128" s="110">
        <f t="shared" si="17"/>
        <v>419635</v>
      </c>
      <c r="G128" s="110">
        <f t="shared" si="17"/>
        <v>635422</v>
      </c>
      <c r="H128" s="110">
        <f t="shared" si="17"/>
        <v>2143130</v>
      </c>
      <c r="I128" s="110">
        <f t="shared" si="17"/>
        <v>1523523</v>
      </c>
      <c r="J128" s="110">
        <f t="shared" si="17"/>
        <v>3743976</v>
      </c>
      <c r="K128" s="110">
        <f t="shared" si="17"/>
        <v>4414864</v>
      </c>
      <c r="L128" s="110">
        <f t="shared" si="17"/>
        <v>574000</v>
      </c>
      <c r="M128" s="110">
        <f t="shared" si="17"/>
        <v>1529000</v>
      </c>
      <c r="N128" s="110">
        <f t="shared" si="17"/>
        <v>9973000</v>
      </c>
      <c r="O128" s="110">
        <f t="shared" si="17"/>
        <v>0</v>
      </c>
      <c r="P128" s="110">
        <f t="shared" si="17"/>
        <v>0</v>
      </c>
      <c r="Q128" s="110">
        <f t="shared" si="17"/>
        <v>0</v>
      </c>
      <c r="R128" s="110">
        <f t="shared" si="17"/>
        <v>0</v>
      </c>
      <c r="S128" s="110">
        <f t="shared" si="17"/>
        <v>0</v>
      </c>
    </row>
  </sheetData>
  <mergeCells count="2">
    <mergeCell ref="Q112:R112"/>
    <mergeCell ref="N111:O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3993-1B50-4EA9-8FC4-256940C84CD7}">
  <dimension ref="A2:V11"/>
  <sheetViews>
    <sheetView showGridLines="0" workbookViewId="0">
      <selection activeCell="M10" sqref="M10:Q10"/>
    </sheetView>
  </sheetViews>
  <sheetFormatPr defaultRowHeight="15" outlineLevelCol="1"/>
  <cols>
    <col min="1" max="1" width="2.7109375" style="33" customWidth="1"/>
    <col min="2" max="2" width="25.7109375" style="33" customWidth="1"/>
    <col min="3" max="3" width="2.7109375" style="33" customWidth="1"/>
    <col min="4" max="4" width="9.42578125" style="47" hidden="1" customWidth="1" outlineLevel="1"/>
    <col min="5" max="8" width="10.42578125" style="47" hidden="1" customWidth="1" outlineLevel="1"/>
    <col min="9" max="11" width="11.42578125" style="47" hidden="1" customWidth="1" outlineLevel="1"/>
    <col min="12" max="12" width="11.42578125" style="47" bestFit="1" customWidth="1" collapsed="1"/>
    <col min="13" max="22" width="12.7109375" style="33" customWidth="1"/>
    <col min="23" max="16384" width="9.140625" style="33"/>
  </cols>
  <sheetData>
    <row r="2" spans="1:22">
      <c r="D2" s="35">
        <v>2012</v>
      </c>
      <c r="E2" s="36">
        <v>2013</v>
      </c>
      <c r="F2" s="36">
        <v>2014</v>
      </c>
      <c r="G2" s="36">
        <v>2015</v>
      </c>
      <c r="H2" s="36">
        <v>2016</v>
      </c>
      <c r="I2" s="36">
        <v>2017</v>
      </c>
      <c r="J2" s="36">
        <v>2018</v>
      </c>
      <c r="K2" s="36">
        <v>2019</v>
      </c>
      <c r="L2" s="37">
        <v>2020</v>
      </c>
      <c r="M2" s="38">
        <v>2021</v>
      </c>
      <c r="N2" s="39">
        <v>2022</v>
      </c>
      <c r="O2" s="39">
        <v>2023</v>
      </c>
      <c r="P2" s="39">
        <v>2024</v>
      </c>
      <c r="Q2" s="39">
        <v>2025</v>
      </c>
      <c r="R2" s="39">
        <v>2026</v>
      </c>
      <c r="S2" s="39">
        <v>2027</v>
      </c>
      <c r="T2" s="39">
        <v>2028</v>
      </c>
      <c r="U2" s="39">
        <v>2029</v>
      </c>
      <c r="V2" s="40">
        <v>2030</v>
      </c>
    </row>
    <row r="3" spans="1:22" ht="5.0999999999999996" customHeight="1">
      <c r="D3" s="3"/>
      <c r="E3" s="3"/>
      <c r="F3" s="3"/>
      <c r="G3" s="3"/>
      <c r="H3" s="3"/>
      <c r="I3" s="3"/>
      <c r="J3" s="3"/>
      <c r="K3" s="3"/>
      <c r="L3" s="3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spans="1:22" ht="15.75">
      <c r="A4" s="34" t="s">
        <v>69</v>
      </c>
      <c r="D4" s="42">
        <v>2650</v>
      </c>
      <c r="E4" s="42">
        <v>22477</v>
      </c>
      <c r="F4" s="42">
        <v>31655</v>
      </c>
      <c r="G4" s="42">
        <v>50580</v>
      </c>
      <c r="H4" s="42">
        <v>76295</v>
      </c>
      <c r="I4" s="42">
        <v>103097</v>
      </c>
      <c r="J4" s="42">
        <v>245240</v>
      </c>
      <c r="K4" s="42">
        <v>367500</v>
      </c>
      <c r="L4" s="42">
        <v>499550</v>
      </c>
      <c r="M4" s="43">
        <f>+L4*(1+M5)</f>
        <v>1099010</v>
      </c>
      <c r="N4" s="43">
        <f t="shared" ref="N4:V4" si="0">+M4*(1+N5)</f>
        <v>2088119</v>
      </c>
      <c r="O4" s="43">
        <f t="shared" si="0"/>
        <v>3758614.2</v>
      </c>
      <c r="P4" s="43">
        <f>+O4*(1+P5)</f>
        <v>6013782.7200000007</v>
      </c>
      <c r="Q4" s="43">
        <f t="shared" si="0"/>
        <v>9321363.2160000019</v>
      </c>
      <c r="R4" s="43">
        <f t="shared" si="0"/>
        <v>13515976.663200002</v>
      </c>
      <c r="S4" s="43">
        <f t="shared" si="0"/>
        <v>18922367.328480002</v>
      </c>
      <c r="T4" s="43">
        <f t="shared" si="0"/>
        <v>24599077.527024005</v>
      </c>
      <c r="U4" s="43">
        <f t="shared" si="0"/>
        <v>31978800.785131209</v>
      </c>
      <c r="V4" s="43">
        <f t="shared" si="0"/>
        <v>39973500.981414013</v>
      </c>
    </row>
    <row r="5" spans="1:22" ht="15.75">
      <c r="A5" s="34" t="s">
        <v>71</v>
      </c>
      <c r="D5" s="42"/>
      <c r="E5" s="44">
        <f t="shared" ref="E5:L5" si="1">E4/D4-1</f>
        <v>7.4818867924528298</v>
      </c>
      <c r="F5" s="44">
        <f t="shared" si="1"/>
        <v>0.40832851359167144</v>
      </c>
      <c r="G5" s="44">
        <f t="shared" si="1"/>
        <v>0.59785184015163484</v>
      </c>
      <c r="H5" s="44">
        <f t="shared" si="1"/>
        <v>0.50840253064452345</v>
      </c>
      <c r="I5" s="44">
        <f t="shared" si="1"/>
        <v>0.35129431810734646</v>
      </c>
      <c r="J5" s="44">
        <f t="shared" si="1"/>
        <v>1.3787307099139645</v>
      </c>
      <c r="K5" s="44">
        <f t="shared" si="1"/>
        <v>0.49853205023650293</v>
      </c>
      <c r="L5" s="44">
        <f t="shared" si="1"/>
        <v>0.3593197278911564</v>
      </c>
      <c r="M5" s="45">
        <v>1.2</v>
      </c>
      <c r="N5" s="45">
        <v>0.9</v>
      </c>
      <c r="O5" s="45">
        <v>0.8</v>
      </c>
      <c r="P5" s="45">
        <v>0.6</v>
      </c>
      <c r="Q5" s="45">
        <v>0.55000000000000004</v>
      </c>
      <c r="R5" s="45">
        <v>0.45</v>
      </c>
      <c r="S5" s="45">
        <v>0.4</v>
      </c>
      <c r="T5" s="45">
        <v>0.3</v>
      </c>
      <c r="U5" s="45">
        <v>0.3</v>
      </c>
      <c r="V5" s="45">
        <v>0.25</v>
      </c>
    </row>
    <row r="6" spans="1:22">
      <c r="A6" s="33" t="s">
        <v>70</v>
      </c>
      <c r="D6" s="46"/>
      <c r="E6" s="46"/>
      <c r="F6" s="46"/>
      <c r="G6" s="46"/>
      <c r="H6" s="46"/>
      <c r="I6" s="44">
        <f>(I4/D4)^(1/5)-1</f>
        <v>1.0796968346697251</v>
      </c>
      <c r="J6" s="44">
        <f>(J4/E4)^(1/5)-1</f>
        <v>0.612763152539745</v>
      </c>
      <c r="K6" s="44">
        <f>(K4/F4)^(1/5)-1</f>
        <v>0.63291284412388005</v>
      </c>
      <c r="L6" s="44">
        <f>(L4/G4)^(1/5)-1</f>
        <v>0.58095689013288787</v>
      </c>
      <c r="M6" s="45">
        <f t="shared" ref="M6:V6" si="2">(M4/H4)^(1/5)-1</f>
        <v>0.70490864667949693</v>
      </c>
      <c r="N6" s="45">
        <f t="shared" si="2"/>
        <v>0.82516378719527195</v>
      </c>
      <c r="O6" s="45">
        <f t="shared" si="2"/>
        <v>0.72618480181020262</v>
      </c>
      <c r="P6" s="45">
        <f>(P4/K4)^(1/5)-1</f>
        <v>0.74895275491102864</v>
      </c>
      <c r="Q6" s="45">
        <f t="shared" si="2"/>
        <v>0.7954780225665723</v>
      </c>
      <c r="R6" s="45">
        <f>(R4/M4)^(1/5)-1</f>
        <v>0.65184448545986728</v>
      </c>
      <c r="S6" s="45">
        <f>(S4/N4)^(1/5)-1</f>
        <v>0.55397506111252115</v>
      </c>
      <c r="T6" s="45">
        <f t="shared" si="2"/>
        <v>0.45605645569650965</v>
      </c>
      <c r="U6" s="45">
        <f t="shared" si="2"/>
        <v>0.39682785872854698</v>
      </c>
      <c r="V6" s="45">
        <f t="shared" si="2"/>
        <v>0.33800751015425279</v>
      </c>
    </row>
    <row r="8" spans="1:22">
      <c r="A8" s="48" t="s">
        <v>72</v>
      </c>
    </row>
    <row r="9" spans="1:22" ht="15.75">
      <c r="A9" s="34" t="s">
        <v>69</v>
      </c>
      <c r="L9" s="43">
        <v>512500</v>
      </c>
      <c r="M9" s="43">
        <v>1062500</v>
      </c>
      <c r="N9" s="43">
        <v>1806250</v>
      </c>
      <c r="O9" s="43">
        <v>2953750</v>
      </c>
      <c r="P9" s="43">
        <v>4675000</v>
      </c>
      <c r="Q9" s="43">
        <v>7437500</v>
      </c>
      <c r="R9" s="43">
        <v>9902500</v>
      </c>
      <c r="S9" s="43">
        <v>13387500</v>
      </c>
      <c r="T9" s="43">
        <v>17425000</v>
      </c>
      <c r="U9" s="43">
        <v>20825000</v>
      </c>
      <c r="V9" s="43">
        <v>22525000</v>
      </c>
    </row>
    <row r="10" spans="1:22" ht="15.75">
      <c r="A10" s="34" t="s">
        <v>71</v>
      </c>
      <c r="L10" s="45"/>
      <c r="M10" s="45">
        <f t="shared" ref="M10" si="3">M9/L9-1</f>
        <v>1.0731707317073171</v>
      </c>
      <c r="N10" s="45">
        <f t="shared" ref="N10" si="4">N9/M9-1</f>
        <v>0.7</v>
      </c>
      <c r="O10" s="45">
        <f t="shared" ref="O10" si="5">O9/N9-1</f>
        <v>0.63529411764705879</v>
      </c>
      <c r="P10" s="45">
        <f t="shared" ref="P10" si="6">P9/O9-1</f>
        <v>0.58273381294964022</v>
      </c>
      <c r="Q10" s="45">
        <f t="shared" ref="Q10" si="7">Q9/P9-1</f>
        <v>0.59090909090909083</v>
      </c>
      <c r="R10" s="45">
        <f t="shared" ref="R10" si="8">R9/Q9-1</f>
        <v>0.33142857142857141</v>
      </c>
      <c r="S10" s="45">
        <f t="shared" ref="S10" si="9">S9/R9-1</f>
        <v>0.35193133047210301</v>
      </c>
      <c r="T10" s="45">
        <f t="shared" ref="T10" si="10">T9/S9-1</f>
        <v>0.30158730158730163</v>
      </c>
      <c r="U10" s="45">
        <f t="shared" ref="U10" si="11">U9/T9-1</f>
        <v>0.19512195121951215</v>
      </c>
      <c r="V10" s="45">
        <f t="shared" ref="V10" si="12">V9/U9-1</f>
        <v>8.163265306122458E-2</v>
      </c>
    </row>
    <row r="11" spans="1:22">
      <c r="I11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37C2-1E4C-46F1-89E2-A43EF059AA7B}">
  <dimension ref="A2:J34"/>
  <sheetViews>
    <sheetView workbookViewId="0">
      <selection activeCell="N14" sqref="N14"/>
    </sheetView>
  </sheetViews>
  <sheetFormatPr defaultRowHeight="15"/>
  <cols>
    <col min="1" max="1" width="25.7109375" style="47" customWidth="1"/>
    <col min="2" max="2" width="1.7109375" style="47" customWidth="1"/>
    <col min="3" max="7" width="15.7109375" style="47" customWidth="1"/>
    <col min="8" max="8" width="9.140625" style="47"/>
    <col min="9" max="9" width="15.7109375" style="47" customWidth="1"/>
    <col min="10" max="16384" width="9.140625" style="47"/>
  </cols>
  <sheetData>
    <row r="2" spans="1:9" ht="20.100000000000001" customHeight="1">
      <c r="C2" s="49" t="s">
        <v>75</v>
      </c>
      <c r="D2" s="49" t="s">
        <v>48</v>
      </c>
      <c r="E2" s="49" t="s">
        <v>76</v>
      </c>
      <c r="F2" s="49" t="s">
        <v>77</v>
      </c>
      <c r="G2" s="49"/>
      <c r="H2" s="49"/>
      <c r="I2" s="49" t="s">
        <v>101</v>
      </c>
    </row>
    <row r="3" spans="1:9" ht="20.100000000000001" customHeight="1">
      <c r="A3" s="49" t="s">
        <v>73</v>
      </c>
      <c r="C3" s="42">
        <v>20000000</v>
      </c>
      <c r="D3" s="42">
        <v>36000</v>
      </c>
      <c r="E3" s="42">
        <v>16000</v>
      </c>
      <c r="F3" s="42">
        <v>20000</v>
      </c>
      <c r="I3" s="42">
        <f>F3*C3/1000000000</f>
        <v>400</v>
      </c>
    </row>
    <row r="4" spans="1:9" s="52" customFormat="1" ht="15" customHeight="1">
      <c r="C4" s="53"/>
      <c r="D4" s="53"/>
      <c r="E4" s="54">
        <f>E3/D3</f>
        <v>0.44444444444444442</v>
      </c>
      <c r="F4" s="54">
        <f>F3/D3</f>
        <v>0.55555555555555558</v>
      </c>
    </row>
    <row r="5" spans="1:9">
      <c r="A5" s="47" t="s">
        <v>74</v>
      </c>
    </row>
    <row r="7" spans="1:9">
      <c r="A7" s="49" t="s">
        <v>78</v>
      </c>
      <c r="C7" s="42">
        <v>50000000</v>
      </c>
      <c r="F7" s="42">
        <v>600</v>
      </c>
      <c r="I7" s="50">
        <f>F7*C7/1000000000</f>
        <v>30</v>
      </c>
    </row>
    <row r="8" spans="1:9">
      <c r="A8" s="47" t="s">
        <v>79</v>
      </c>
    </row>
    <row r="10" spans="1:9" s="49" customFormat="1">
      <c r="D10" s="49" t="s">
        <v>83</v>
      </c>
      <c r="E10" s="49" t="s">
        <v>85</v>
      </c>
      <c r="F10" s="49" t="s">
        <v>77</v>
      </c>
      <c r="G10" s="49" t="s">
        <v>86</v>
      </c>
    </row>
    <row r="11" spans="1:9" s="49" customFormat="1">
      <c r="A11" s="49" t="s">
        <v>80</v>
      </c>
      <c r="C11" s="49" t="s">
        <v>82</v>
      </c>
      <c r="D11" s="49" t="s">
        <v>84</v>
      </c>
      <c r="E11" s="49" t="s">
        <v>84</v>
      </c>
      <c r="F11" s="49" t="s">
        <v>84</v>
      </c>
      <c r="G11" s="49" t="s">
        <v>87</v>
      </c>
    </row>
    <row r="12" spans="1:9">
      <c r="A12" s="47" t="s">
        <v>81</v>
      </c>
      <c r="C12" s="50">
        <v>20000000</v>
      </c>
      <c r="D12" s="50">
        <f>15*12</f>
        <v>180</v>
      </c>
      <c r="E12" s="50">
        <f>D12*0.25</f>
        <v>45</v>
      </c>
      <c r="F12" s="50">
        <f>D12-E12</f>
        <v>135</v>
      </c>
      <c r="G12" s="50">
        <f>F12*312</f>
        <v>42120</v>
      </c>
      <c r="H12" s="50"/>
      <c r="I12" s="50">
        <f>G12*C12/1000000000</f>
        <v>842.4</v>
      </c>
    </row>
    <row r="13" spans="1:9" s="52" customFormat="1" ht="15" customHeight="1">
      <c r="E13" s="54"/>
      <c r="F13" s="54">
        <f>F12/D12</f>
        <v>0.75</v>
      </c>
      <c r="G13" s="54"/>
    </row>
    <row r="14" spans="1:9">
      <c r="A14" s="47" t="s">
        <v>91</v>
      </c>
      <c r="E14" s="51"/>
      <c r="F14" s="51"/>
      <c r="G14" s="51"/>
    </row>
    <row r="16" spans="1:9">
      <c r="C16" s="49"/>
      <c r="D16" s="49" t="s">
        <v>83</v>
      </c>
      <c r="E16" s="49" t="s">
        <v>85</v>
      </c>
      <c r="F16" s="49" t="s">
        <v>89</v>
      </c>
      <c r="G16" s="49" t="s">
        <v>86</v>
      </c>
      <c r="H16" s="49"/>
    </row>
    <row r="17" spans="1:9">
      <c r="A17" s="49" t="s">
        <v>88</v>
      </c>
      <c r="C17" s="49" t="s">
        <v>82</v>
      </c>
      <c r="D17" s="49" t="s">
        <v>84</v>
      </c>
      <c r="E17" s="49" t="s">
        <v>84</v>
      </c>
      <c r="F17" s="49" t="s">
        <v>84</v>
      </c>
      <c r="G17" s="49" t="s">
        <v>87</v>
      </c>
      <c r="H17" s="49"/>
    </row>
    <row r="18" spans="1:9">
      <c r="A18" s="47" t="s">
        <v>81</v>
      </c>
      <c r="C18" s="50">
        <v>20000000</v>
      </c>
      <c r="D18" s="50">
        <v>150</v>
      </c>
      <c r="E18" s="50">
        <v>0</v>
      </c>
      <c r="F18" s="50">
        <f>D18*0.35</f>
        <v>52.5</v>
      </c>
      <c r="G18" s="50">
        <f>F18*312</f>
        <v>16380</v>
      </c>
      <c r="I18" s="50">
        <f>G18*C18/1000000000</f>
        <v>327.60000000000002</v>
      </c>
    </row>
    <row r="19" spans="1:9">
      <c r="A19" s="47" t="s">
        <v>90</v>
      </c>
    </row>
    <row r="20" spans="1:9">
      <c r="A20" s="47" t="s">
        <v>92</v>
      </c>
    </row>
    <row r="22" spans="1:9">
      <c r="A22" s="49" t="s">
        <v>93</v>
      </c>
      <c r="I22" s="50">
        <f>100000000000/1000000000</f>
        <v>100</v>
      </c>
    </row>
    <row r="25" spans="1:9">
      <c r="A25" s="47" t="s">
        <v>47</v>
      </c>
      <c r="I25" s="50">
        <f>SUM(I3:I24)</f>
        <v>1700</v>
      </c>
    </row>
    <row r="26" spans="1:9">
      <c r="A26" s="47" t="s">
        <v>94</v>
      </c>
      <c r="I26" s="47">
        <v>30</v>
      </c>
    </row>
    <row r="27" spans="1:9" s="49" customFormat="1">
      <c r="A27" s="49" t="s">
        <v>46</v>
      </c>
      <c r="I27" s="55">
        <f>I25-I26</f>
        <v>1670</v>
      </c>
    </row>
    <row r="28" spans="1:9">
      <c r="A28" s="47" t="s">
        <v>95</v>
      </c>
      <c r="I28" s="50">
        <f>I27*0.22</f>
        <v>367.4</v>
      </c>
    </row>
    <row r="29" spans="1:9">
      <c r="A29" s="49" t="s">
        <v>96</v>
      </c>
      <c r="I29" s="55">
        <f>I27-I28</f>
        <v>1302.5999999999999</v>
      </c>
    </row>
    <row r="30" spans="1:9">
      <c r="A30" s="47" t="s">
        <v>97</v>
      </c>
      <c r="I30" s="47">
        <v>1.4</v>
      </c>
    </row>
    <row r="31" spans="1:9">
      <c r="A31" s="49" t="s">
        <v>102</v>
      </c>
      <c r="I31" s="55">
        <f>I29/I30</f>
        <v>930.42857142857144</v>
      </c>
    </row>
    <row r="32" spans="1:9">
      <c r="A32" s="47" t="s">
        <v>98</v>
      </c>
      <c r="I32" s="47">
        <v>30</v>
      </c>
    </row>
    <row r="33" spans="1:10">
      <c r="A33" s="49" t="s">
        <v>99</v>
      </c>
      <c r="I33" s="55">
        <f>I31*I32</f>
        <v>27912.857142857145</v>
      </c>
    </row>
    <row r="34" spans="1:10">
      <c r="A34" s="47" t="s">
        <v>100</v>
      </c>
      <c r="I34" s="50">
        <f>I33*I30</f>
        <v>39078</v>
      </c>
      <c r="J34" s="47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1C8-1672-4549-A90A-B95F0316D5A5}">
  <dimension ref="B1:Q20"/>
  <sheetViews>
    <sheetView workbookViewId="0">
      <selection activeCell="E2" sqref="E2"/>
    </sheetView>
  </sheetViews>
  <sheetFormatPr defaultRowHeight="15"/>
  <cols>
    <col min="3" max="3" width="14" bestFit="1" customWidth="1"/>
    <col min="4" max="4" width="12.85546875" bestFit="1" customWidth="1"/>
    <col min="5" max="5" width="18.5703125" bestFit="1" customWidth="1"/>
    <col min="7" max="7" width="15.85546875" bestFit="1" customWidth="1"/>
    <col min="9" max="9" width="20" bestFit="1" customWidth="1"/>
    <col min="11" max="11" width="16.42578125" bestFit="1" customWidth="1"/>
    <col min="12" max="12" width="9.42578125" bestFit="1" customWidth="1"/>
    <col min="14" max="14" width="9.28515625" bestFit="1" customWidth="1"/>
    <col min="15" max="15" width="14" bestFit="1" customWidth="1"/>
    <col min="16" max="16" width="12.85546875" bestFit="1" customWidth="1"/>
    <col min="17" max="17" width="16.42578125" bestFit="1" customWidth="1"/>
  </cols>
  <sheetData>
    <row r="1" spans="2:17">
      <c r="C1" t="s">
        <v>68</v>
      </c>
      <c r="D1" t="s">
        <v>48</v>
      </c>
      <c r="E1" t="s">
        <v>67</v>
      </c>
      <c r="F1" s="32" t="s">
        <v>66</v>
      </c>
      <c r="G1" t="s">
        <v>65</v>
      </c>
      <c r="H1" t="s">
        <v>64</v>
      </c>
      <c r="I1" t="s">
        <v>63</v>
      </c>
      <c r="K1" t="s">
        <v>62</v>
      </c>
      <c r="L1" t="s">
        <v>61</v>
      </c>
      <c r="N1" t="s">
        <v>60</v>
      </c>
      <c r="O1" t="s">
        <v>59</v>
      </c>
    </row>
    <row r="2" spans="2:17">
      <c r="B2" t="s">
        <v>58</v>
      </c>
      <c r="C2" s="30">
        <v>20000000</v>
      </c>
      <c r="D2" s="30">
        <v>40000</v>
      </c>
      <c r="E2" s="30">
        <f>D2*C2</f>
        <v>800000000000</v>
      </c>
      <c r="F2" s="31">
        <v>0.25</v>
      </c>
      <c r="G2" s="29">
        <f>E2*F2</f>
        <v>200000000000</v>
      </c>
      <c r="H2" s="29"/>
      <c r="I2" s="30"/>
      <c r="N2">
        <v>75</v>
      </c>
      <c r="O2" s="29">
        <f>N2*C2</f>
        <v>1500000000</v>
      </c>
      <c r="P2" s="29">
        <f>O2/1000000</f>
        <v>1500</v>
      </c>
    </row>
    <row r="3" spans="2:17">
      <c r="B3" t="s">
        <v>57</v>
      </c>
      <c r="C3" s="30">
        <v>20000000</v>
      </c>
      <c r="D3" s="30">
        <v>10000</v>
      </c>
      <c r="E3" s="30">
        <f>D3*C3</f>
        <v>200000000000</v>
      </c>
      <c r="F3" s="31">
        <v>0.5</v>
      </c>
      <c r="G3" s="29">
        <f>E3*F3</f>
        <v>100000000000</v>
      </c>
      <c r="H3" s="29"/>
      <c r="I3" s="30"/>
    </row>
    <row r="4" spans="2:17">
      <c r="B4" t="s">
        <v>50</v>
      </c>
      <c r="C4" s="30"/>
      <c r="D4" s="30"/>
      <c r="E4" s="30">
        <f>+D20*1000000</f>
        <v>981465517241.37939</v>
      </c>
      <c r="F4" s="31">
        <v>0.15</v>
      </c>
      <c r="G4" s="29">
        <f>E4*F4</f>
        <v>147219827586.20691</v>
      </c>
      <c r="H4" s="29"/>
      <c r="I4" s="30"/>
    </row>
    <row r="5" spans="2:17">
      <c r="C5" s="30"/>
      <c r="D5" s="30"/>
      <c r="E5" s="30"/>
      <c r="F5" s="31"/>
      <c r="G5" s="29"/>
      <c r="H5" s="29"/>
      <c r="I5" s="30"/>
    </row>
    <row r="6" spans="2:17">
      <c r="C6" s="30"/>
      <c r="D6" s="30"/>
      <c r="E6" s="30">
        <f>SUM(E2:E4)</f>
        <v>1981465517241.3794</v>
      </c>
      <c r="F6" s="31"/>
      <c r="G6" s="30">
        <f>SUM(G2:G4)</f>
        <v>447219827586.20691</v>
      </c>
      <c r="H6" s="29">
        <v>20</v>
      </c>
      <c r="I6" s="30">
        <f>H6*G6</f>
        <v>8944396551724.1387</v>
      </c>
      <c r="K6" s="30">
        <v>1000000000</v>
      </c>
      <c r="L6" s="30">
        <f>I6/K6</f>
        <v>8944.3965517241395</v>
      </c>
    </row>
    <row r="7" spans="2:17">
      <c r="C7" s="30"/>
      <c r="D7" s="30"/>
      <c r="E7" s="30"/>
      <c r="F7" s="31"/>
      <c r="G7" s="29"/>
      <c r="H7" s="29"/>
      <c r="I7" s="30"/>
    </row>
    <row r="8" spans="2:17">
      <c r="C8" s="30"/>
      <c r="D8" s="30"/>
      <c r="E8" s="30"/>
      <c r="F8" s="31"/>
      <c r="G8" s="29"/>
      <c r="H8" s="29"/>
      <c r="I8" s="30"/>
    </row>
    <row r="10" spans="2:17">
      <c r="N10" t="s">
        <v>54</v>
      </c>
      <c r="O10" t="s">
        <v>53</v>
      </c>
      <c r="P10" t="s">
        <v>56</v>
      </c>
      <c r="Q10" t="s">
        <v>55</v>
      </c>
    </row>
    <row r="11" spans="2:17">
      <c r="M11" t="s">
        <v>54</v>
      </c>
      <c r="N11" s="29">
        <v>1</v>
      </c>
      <c r="O11" s="29">
        <f>N11*1000</f>
        <v>1000</v>
      </c>
      <c r="P11" s="29">
        <f>O11*1000</f>
        <v>1000000</v>
      </c>
      <c r="Q11" s="29">
        <f>P11*1000</f>
        <v>1000000000</v>
      </c>
    </row>
    <row r="12" spans="2:17">
      <c r="M12" t="s">
        <v>53</v>
      </c>
      <c r="N12">
        <f>O12/1000</f>
        <v>1E-3</v>
      </c>
      <c r="O12">
        <v>1</v>
      </c>
      <c r="P12" s="29">
        <f>O12*1000</f>
        <v>1000</v>
      </c>
      <c r="Q12" s="29">
        <f>P12*1000</f>
        <v>1000000</v>
      </c>
    </row>
    <row r="18" spans="2:5">
      <c r="C18" t="s">
        <v>53</v>
      </c>
      <c r="D18" t="s">
        <v>52</v>
      </c>
      <c r="E18" t="s">
        <v>51</v>
      </c>
    </row>
    <row r="19" spans="2:5">
      <c r="B19" t="s">
        <v>50</v>
      </c>
      <c r="C19" s="28">
        <v>759</v>
      </c>
      <c r="D19" s="28">
        <v>1160</v>
      </c>
      <c r="E19" s="28">
        <f>D19/C19</f>
        <v>1.5283267457180501</v>
      </c>
    </row>
    <row r="20" spans="2:5">
      <c r="C20" s="28">
        <v>1500000</v>
      </c>
      <c r="D20" s="28">
        <f>C20/E19</f>
        <v>981465.51724137936</v>
      </c>
      <c r="E2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35E5-7F43-43F0-9ABF-72006C9AB6B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85B3-5FC7-4994-A8DB-9EA2DF22D4F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282F-86AC-4AA5-BA25-8FD7AB6C9D23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Z h Y U q U d N Y O j A A A A 9 Q A A A B I A H A B D b 2 5 m a W c v U G F j a 2 F n Z S 5 4 b W w g o h g A K K A U A A A A A A A A A A A A A A A A A A A A A A A A A A A A h Y + 9 D o I w H M R f h X T v B + h A y J 8 y u E p C o j G u T a n Q C I X Q Y n k 3 B x / J V x C j q J v j 3 e 8 u u b t f b 5 B N b R N c 1 G B 1 Z 1 I U E o Y C Z W R X a l O l a H Q n H K O M Q y H k W V Q q m M P G J p P V K a q d 6 x N K v f f E r 0 g 3 V D R i L K T H f L u T t W o F 1 s Y 6 Y a R C n 1 b 5 v 4 U 4 H F 5 j e E T i N Y n Z P A n o 4 k G u z Z d H M 3 v S H x M 2 Y + P G Q f H e 4 W I P d J F A 3 x f 4 A 1 B L A w Q U A A I A C A C V m F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h Y U i i K R 7 g O A A A A E Q A A A B M A H A B G b 3 J t d W x h c y 9 T Z W N 0 a W 9 u M S 5 t I K I Y A C i g F A A A A A A A A A A A A A A A A A A A A A A A A A A A A C t O T S 7 J z M 9 T C I b Q h t Y A U E s B A i 0 A F A A C A A g A l Z h Y U q U d N Y O j A A A A 9 Q A A A B I A A A A A A A A A A A A A A A A A A A A A A E N v b m Z p Z y 9 Q Y W N r Y W d l L n h t b F B L A Q I t A B Q A A g A I A J W Y W F I P y u m r p A A A A O k A A A A T A A A A A A A A A A A A A A A A A O 8 A A A B b Q 2 9 u d G V u d F 9 U e X B l c 1 0 u e G 1 s U E s B A i 0 A F A A C A A g A l Z h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y N B W H x S t O j a E n D / + A z 1 s A A A A A A g A A A A A A E G Y A A A A B A A A g A A A A M n V A R c k H O e o X B L i 1 s 8 r b 2 m D y I U 7 r r G y s e j Q u f h r F 6 X w A A A A A D o A A A A A C A A A g A A A A R i F q X D D a X t 1 c 4 K H 2 v e T / M O L H F h s O P l G P g 1 S w l 5 X g S H 9 Q A A A A b B l h 7 w U K g Y J / B O P L 1 J E R w 2 e Q Y q Y s B p e o 7 + 8 Q a t t W y 5 6 T 2 p t L H f d X W w D O V X m P W k K k s G A k p V 5 B F I g L U O f / i y 8 x H u P j 2 u 3 7 S 4 E T J l g i O g Q l J m p A A A A A z c t C S b D I U 2 b F B 5 K v 2 y / q R s M w + g p M C I W Z i f c K y 8 L m / M + t 1 e r Q 2 0 6 h A n t i u O n E H q l e T m N / 8 c E N v v s 3 y K b a R w I V p A = = < / D a t a M a s h u p > 
</file>

<file path=customXml/itemProps1.xml><?xml version="1.0" encoding="utf-8"?>
<ds:datastoreItem xmlns:ds="http://schemas.openxmlformats.org/officeDocument/2006/customXml" ds:itemID="{94128CFA-9BA4-410E-9796-E1C7AF8C56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Operational Summary</vt:lpstr>
      <vt:lpstr>Detailed Deliveries</vt:lpstr>
      <vt:lpstr>Three Statement Model</vt:lpstr>
      <vt:lpstr>Production 2020-2030</vt:lpstr>
      <vt:lpstr>Useful Twitter model</vt:lpstr>
      <vt:lpstr>Folha1</vt:lpstr>
      <vt:lpstr>Battery-Revenue Model</vt:lpstr>
      <vt:lpstr>Automotive Capacity Model</vt:lpstr>
      <vt:lpstr>Market Demand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2020-12-07T10:12:18Z</dcterms:created>
  <dcterms:modified xsi:type="dcterms:W3CDTF">2021-04-12T22:39:45Z</dcterms:modified>
</cp:coreProperties>
</file>