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NU" sheetId="1" r:id="rId3"/>
    <sheet state="visible" name="CONSULTORIA" sheetId="2" r:id="rId4"/>
    <sheet state="visible" name="2. Dados do adm-fin" sheetId="3" r:id="rId5"/>
    <sheet state="visible" name="ASSESSORIA" sheetId="4" r:id="rId6"/>
    <sheet state="visible" name="Dados Assessoria" sheetId="5" r:id="rId7"/>
    <sheet state="visible" name="Gastos Operacionais Padrão" sheetId="6" r:id="rId8"/>
    <sheet state="visible" name="Esconder" sheetId="7" r:id="rId9"/>
    <sheet state="visible" name="Plan1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Pré-Proposta:
Nesta área você deve inserir todos os gastos que você teve até a apresentação da proposta; isto é, tudo que você gastou com a 1a., 2a., apresentação da proposta e assinatura dos contratos.</t>
      </text>
    </comment>
    <comment authorId="0" ref="B18">
      <text>
        <t xml:space="preserve">Insita o nome dos consultores, a quantidade de horas/semanais, consultoria e se é de parceria. AS ABAS DE CONSULTORES NÃO PREENCHIDOS DEIXEM EM BRANCO!</t>
      </text>
    </comment>
    <comment authorId="0" ref="D32">
      <text>
        <t xml:space="preserve">Preencher com a área de atuação do projeto. Caso não se encontre na lista, selecionar a área de atuação com o resultado esperado mais próximo e notificar um gerente de ADM-FIN
</t>
      </text>
    </comment>
    <comment authorId="0" ref="F32">
      <text>
        <t xml:space="preserve">Apenas para CST's em:
Mapeamento de Processos
PCP
SAG
Planejamente Estratégico
Definir qual o tipo de projeto será prestado.</t>
      </text>
    </comment>
    <comment authorId="0" ref="D33">
      <text>
        <t xml:space="preserve">Relaciona-se com o número de áreas de atuação indicadas na primeira/segunda visita.
Baixo: no máximo 1 área além da atual.
Médio: 2 ou 3 áreas além da atual
Alto: 4 ou mais áreas de atuação
</t>
      </text>
    </comment>
    <comment authorId="0" ref="D34">
      <text>
        <t xml:space="preserve">Deve-se observar o interesse/poder de compra do cliente em contratar o serviço da EJEP (feeling do gerente).
Baixo: o cliente não demonstra interesse/não tem poder de compra.
Médio: o cliente demonstra razoável interesse/médio poder de compra.
Alto: o cliente demonstra grande interesse/alto poder de compra
Muito Alto: além de estar muito interessado, deixou claro que precisa muito do nosso serviço.
Exemplo 1: o cliente liga para a EJEP solicitando uma consultoria em PE: Oportunidade muito alta.
Exemplo 2: uma grande indústria está pouco interessada: Oportunidade média/alta, pois mesmo estando pouco interessado, ele possui um alto poder de compra.
</t>
      </text>
    </comment>
    <comment authorId="0" ref="D35">
      <text>
        <t xml:space="preserve">Está relacionada com a duração do projeto exigida pelo empresário, levando em conta o cronograma e o escopo.
Baixo: a metodologia do projeto segue o padrão quanto ao cronograma e escopo.
Medio: a metodologia sofreu alterações quanto ao escopo.
Alto: a metodologia sofreu alterações quanto ao cronograma (duração das etapas)
Muito alto: além da alteração na duração, o empresário deixou claro que não pode existir atrasos.
Exemplo: o cronograma inicial era para 10 dias, mas teve que ser feito em 8 porque o funcionário responsável iria viajar e o projeto teria que ser cancelado: Urgência Muito alta</t>
      </text>
    </comment>
    <comment authorId="0" ref="D36">
      <text>
        <t xml:space="preserve">Avaliar o tipo de empresa e o serviço a ser prestado.
Fora do portifólio: a área de atuação não está no portifólio da EJEP.
Comércio/Serviços: empresas de comércio ou serviços.
Indústrias: indústrias em geral.</t>
      </text>
    </comment>
    <comment authorId="0" ref="D37">
      <text>
        <t xml:space="preserve">Avaliar a quantidade e a capacitação dos consultores para o projeto.
Pouco Sem Conhecimento: há poucos consultores disponíveis, e os que estão não estão aptos a realizar o projeto.
Pouco Com Conhecimento: há poucos consultores, mas os que estão podem realizar o projeto.
Muito Sem Conhecimento: há muitos consultores disponíveis, mas não estão aptos a realizar o projeto.
Muito Com Conhecimento: há muitos consultores capacitados a realizar o projeto.</t>
      </text>
    </comment>
    <comment authorId="0" ref="D38">
      <text>
        <t xml:space="preserve">Está relacionado ao risco para a imagem da EJEP caso ocorra algum problema com a consultoria (feeling do gerente).
Baixo: a imagem da EJEP não é prejudicada com uma possível falha.
Médio: a imagem da EJEP é prejudicada com uma possível falha.
Alto: a imagem da EJEP é muito prejudicada com uma possível falha.
Exemplo: o projeto será realizado na empresa do presidente da FIESC: Risco Alto.
</t>
      </text>
    </comment>
    <comment authorId="0" ref="D39">
      <text>
        <t xml:space="preserve">Está relacionado ao custo de oportunidade em função da logística (pegar um engarrafamento, por exemplo).
&lt;5 km: a empresa fica a menos de 5 km da EJEP.
&gt;5 km &lt;15 km: a empresa fica entre 5 e 15 km de distânica da EJEP.
&gt;15 km: a empresa fica a mais de 15 km da EJEP</t>
      </text>
    </comment>
    <comment authorId="0" ref="G46">
      <text>
        <t xml:space="preserve">DOC Eletrônico:
Caso o consultor não possua conta no BB, avisar ADMFIN</t>
      </text>
    </comment>
    <comment authorId="0" ref="C92">
      <text>
        <t xml:space="preserve">Usar 5%. Dar o desconto apenas se realmente for necessário, até 10% é possível. Caso o empresário queira mais desconto falar com o diretor de ADM-FIN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Sinal Verde: Margem boa;
Sinal Amarelo: Margem ok, mas avisar gerente de Adm-Fin;
Sinal Vermelho: Margem muito baixa, falar com gerente de Adm-Fin;
Fundo Vermelho: Margem muito alta, falar com gerente de Adm-Fin.</t>
      </text>
    </comment>
  </commentList>
</comments>
</file>

<file path=xl/sharedStrings.xml><?xml version="1.0" encoding="utf-8"?>
<sst xmlns="http://schemas.openxmlformats.org/spreadsheetml/2006/main" count="452" uniqueCount="209">
  <si>
    <t>Planilha de Precificação EJEP</t>
  </si>
  <si>
    <t>Custos de transporte até a apresentação da proposta</t>
  </si>
  <si>
    <t>Transporte</t>
  </si>
  <si>
    <t>N. Visitas</t>
  </si>
  <si>
    <t>Distância (km)</t>
  </si>
  <si>
    <t>Consumo (km/l)</t>
  </si>
  <si>
    <t>Combustível (R$/l)</t>
  </si>
  <si>
    <t>TOTAL</t>
  </si>
  <si>
    <t>Custos de Execução</t>
  </si>
  <si>
    <t>Não APAGAR</t>
  </si>
  <si>
    <t>Consultores</t>
  </si>
  <si>
    <t>TRF</t>
  </si>
  <si>
    <t>Muito Alto</t>
  </si>
  <si>
    <t>Planejamento</t>
  </si>
  <si>
    <t>PCP</t>
  </si>
  <si>
    <t>Alto</t>
  </si>
  <si>
    <t>Controle</t>
  </si>
  <si>
    <t>Nome do Consultor 1</t>
  </si>
  <si>
    <t>Nome do Consultor 2</t>
  </si>
  <si>
    <t>Nome do Consultor 3</t>
  </si>
  <si>
    <t>Nome do Consultor 4</t>
  </si>
  <si>
    <t>Consultor 5</t>
  </si>
  <si>
    <t>Consultor 6</t>
  </si>
  <si>
    <t>PE</t>
  </si>
  <si>
    <t>Médio</t>
  </si>
  <si>
    <t>Completo</t>
  </si>
  <si>
    <t>Layout</t>
  </si>
  <si>
    <t>Baixo</t>
  </si>
  <si>
    <t>Revisão</t>
  </si>
  <si>
    <t>Horas Semanais</t>
  </si>
  <si>
    <t>Total</t>
  </si>
  <si>
    <t>Logística</t>
  </si>
  <si>
    <t>Fora do Portifólio</t>
  </si>
  <si>
    <t>Adaptado</t>
  </si>
  <si>
    <t>Consultoria</t>
  </si>
  <si>
    <t>1º</t>
  </si>
  <si>
    <t>MFV</t>
  </si>
  <si>
    <t>Comércio/Serviço</t>
  </si>
  <si>
    <t>Normal</t>
  </si>
  <si>
    <t>Parceria?</t>
  </si>
  <si>
    <t>Não</t>
  </si>
  <si>
    <t>Bolsa/hora</t>
  </si>
  <si>
    <t>SAG</t>
  </si>
  <si>
    <t>Indústria</t>
  </si>
  <si>
    <t>Estado Futuro</t>
  </si>
  <si>
    <t>2º</t>
  </si>
  <si>
    <t>MP</t>
  </si>
  <si>
    <t>Pouco Sem Conhecimento</t>
  </si>
  <si>
    <t>Estado Atual</t>
  </si>
  <si>
    <t>Dados Gerais</t>
  </si>
  <si>
    <t>Boleto Bancário Sem Registro</t>
  </si>
  <si>
    <t>3º</t>
  </si>
  <si>
    <t>5'S</t>
  </si>
  <si>
    <t>Pouco Com Conhecimento</t>
  </si>
  <si>
    <t>Semanas</t>
  </si>
  <si>
    <t>Dados</t>
  </si>
  <si>
    <t>Boleto Bancário Com Registro</t>
  </si>
  <si>
    <t>SIM</t>
  </si>
  <si>
    <t>Muito Sem Conhecimento</t>
  </si>
  <si>
    <t>Número de consultores</t>
  </si>
  <si>
    <t>Entradas</t>
  </si>
  <si>
    <t>Hora Técnica</t>
  </si>
  <si>
    <t>Depósito C/C</t>
  </si>
  <si>
    <t>NÃO</t>
  </si>
  <si>
    <t>Muito Com Conhecimento</t>
  </si>
  <si>
    <t>Total consultor</t>
  </si>
  <si>
    <t>&lt; 5 km</t>
  </si>
  <si>
    <t xml:space="preserve"> </t>
  </si>
  <si>
    <t>Bolsa extra pós venda</t>
  </si>
  <si>
    <t>Consultor</t>
  </si>
  <si>
    <t>Gelog</t>
  </si>
  <si>
    <t>&gt; 5 km &lt; 15 km</t>
  </si>
  <si>
    <t>Glean 2º módulo</t>
  </si>
  <si>
    <t>&gt; 15 km</t>
  </si>
  <si>
    <t>Combustível</t>
  </si>
  <si>
    <t>Margem de Lucro</t>
  </si>
  <si>
    <t>Glean 3º módulo</t>
  </si>
  <si>
    <t>Glean 4º módulo</t>
  </si>
  <si>
    <t>Área de Atuação</t>
  </si>
  <si>
    <t>Gastos Operacionais</t>
  </si>
  <si>
    <t>Total Mensal</t>
  </si>
  <si>
    <t>Perspectiva de Recompra</t>
  </si>
  <si>
    <t>Total Consultoria</t>
  </si>
  <si>
    <t>Total Consultor</t>
  </si>
  <si>
    <t>Desconto</t>
  </si>
  <si>
    <t>Cálculo do orçamento e relatórios</t>
  </si>
  <si>
    <t>Decomposição</t>
  </si>
  <si>
    <t>%</t>
  </si>
  <si>
    <t>Hora técnica</t>
  </si>
  <si>
    <t>Operacional</t>
  </si>
  <si>
    <t>Sem Lucro</t>
  </si>
  <si>
    <t>Com Lucro</t>
  </si>
  <si>
    <t>Relatório</t>
  </si>
  <si>
    <t>Receita bruta</t>
  </si>
  <si>
    <t>(-) bolsa</t>
  </si>
  <si>
    <t>(-) custos operacionais</t>
  </si>
  <si>
    <t>(=) margem contrib</t>
  </si>
  <si>
    <t xml:space="preserve">(-) custos </t>
  </si>
  <si>
    <t>(=) Lucro</t>
  </si>
  <si>
    <t>Oportunidade</t>
  </si>
  <si>
    <t>(-) desconto</t>
  </si>
  <si>
    <t xml:space="preserve">Urgência </t>
  </si>
  <si>
    <t>Tipo de Empresa</t>
  </si>
  <si>
    <t>(=) Lucro Final</t>
  </si>
  <si>
    <t>Risco</t>
  </si>
  <si>
    <t>Preço Final</t>
  </si>
  <si>
    <t>Custos operacionais</t>
  </si>
  <si>
    <t>Item</t>
  </si>
  <si>
    <t>Descrição</t>
  </si>
  <si>
    <t>R$ unid</t>
  </si>
  <si>
    <t>Qtd</t>
  </si>
  <si>
    <t>Boleto Bancário</t>
  </si>
  <si>
    <t>DOC's (análise do ADMFIN)</t>
  </si>
  <si>
    <t>Impressão do Relatório Final</t>
  </si>
  <si>
    <t>Presente Professor</t>
  </si>
  <si>
    <t>Custo transporte durante a consultoria</t>
  </si>
  <si>
    <t>Num. Visitas</t>
  </si>
  <si>
    <t>Distância</t>
  </si>
  <si>
    <t>Consumo</t>
  </si>
  <si>
    <t>Custo Pós-venda</t>
  </si>
  <si>
    <t>Bolsa extra consultor</t>
  </si>
  <si>
    <t>Custo transporte pós-venda</t>
  </si>
  <si>
    <t>Parcelamento</t>
  </si>
  <si>
    <t>Núm. Parcelas</t>
  </si>
  <si>
    <t>Valor da parcela</t>
  </si>
  <si>
    <t>Forma de Pagamento</t>
  </si>
  <si>
    <t>Viabilidade</t>
  </si>
  <si>
    <t>Margem de Negociação</t>
  </si>
  <si>
    <t>Obs.: Adicional de R$ 1.930,00</t>
  </si>
  <si>
    <t>somar R$ 1.930,00</t>
  </si>
  <si>
    <t>Não esqueça de mostrar a precificação para o membro da ADM-FIN!</t>
  </si>
  <si>
    <t>Transporte antes da venda</t>
  </si>
  <si>
    <t>Número de visitas</t>
  </si>
  <si>
    <t>Consumo (km/L)</t>
  </si>
  <si>
    <t xml:space="preserve">Preço </t>
  </si>
  <si>
    <t>Execução</t>
  </si>
  <si>
    <t>Nome</t>
  </si>
  <si>
    <t>Consultor 1</t>
  </si>
  <si>
    <t>Consultor 2</t>
  </si>
  <si>
    <t>Consultor 3</t>
  </si>
  <si>
    <t>Consultor 4</t>
  </si>
  <si>
    <t>Horas</t>
  </si>
  <si>
    <t>Assessoria</t>
  </si>
  <si>
    <t>2ª</t>
  </si>
  <si>
    <t>Mesmo da CST</t>
  </si>
  <si>
    <t>Sim</t>
  </si>
  <si>
    <t>Parceria</t>
  </si>
  <si>
    <t>Duração</t>
  </si>
  <si>
    <t>Número de Consultores</t>
  </si>
  <si>
    <t>Transporte durante a consultoria</t>
  </si>
  <si>
    <t>Boleto bancário</t>
  </si>
  <si>
    <t>DOC'S (análise do ADM-FIN)</t>
  </si>
  <si>
    <t>Impressão Relatório Final</t>
  </si>
  <si>
    <t>Tipo de Assessoria</t>
  </si>
  <si>
    <t>Interesse do Cliente</t>
  </si>
  <si>
    <t>Recompra</t>
  </si>
  <si>
    <t>Número de parcelas</t>
  </si>
  <si>
    <t>Forma de pagamento</t>
  </si>
  <si>
    <t>Boleto com registro</t>
  </si>
  <si>
    <t>Margem de negociação</t>
  </si>
  <si>
    <t>Valor do desconto</t>
  </si>
  <si>
    <t>Não esqueça de validar com um membro do ADM-FIN!</t>
  </si>
  <si>
    <t>Hora Consultor</t>
  </si>
  <si>
    <t>15% da bolsa</t>
  </si>
  <si>
    <t>Total Grupo</t>
  </si>
  <si>
    <t>Glean</t>
  </si>
  <si>
    <t>10% do custo ou do valor</t>
  </si>
  <si>
    <t>Pagamento</t>
  </si>
  <si>
    <t>Total Consultores</t>
  </si>
  <si>
    <t>Custo Total</t>
  </si>
  <si>
    <t>Margem Contrib.</t>
  </si>
  <si>
    <t>Lucro</t>
  </si>
  <si>
    <t>Preço com Lucro</t>
  </si>
  <si>
    <t>Preço final</t>
  </si>
  <si>
    <t>Materiais Consultorias</t>
  </si>
  <si>
    <t>LAYOUT</t>
  </si>
  <si>
    <t xml:space="preserve">Material </t>
  </si>
  <si>
    <t>Quantidade</t>
  </si>
  <si>
    <t>Preço</t>
  </si>
  <si>
    <t>Trena</t>
  </si>
  <si>
    <t>Impressão durante cons.</t>
  </si>
  <si>
    <t>Mapa Visual (MFV)</t>
  </si>
  <si>
    <t>Imp. Relatório final</t>
  </si>
  <si>
    <t>PLANEJAMENTO ESTRATÉGICO</t>
  </si>
  <si>
    <t>5S</t>
  </si>
  <si>
    <t>Canvas</t>
  </si>
  <si>
    <t>Post it (pacote com 4)</t>
  </si>
  <si>
    <t>Design</t>
  </si>
  <si>
    <t>Etiquetas (folha)</t>
  </si>
  <si>
    <t>Banner</t>
  </si>
  <si>
    <t>Painel de ferramentas impresso</t>
  </si>
  <si>
    <t>Durex</t>
  </si>
  <si>
    <t>Fita de marcação</t>
  </si>
  <si>
    <t>MAPEAMENTO DE PROCESSOS</t>
  </si>
  <si>
    <t>Por Processo (post-it, cartolina, impressão)</t>
  </si>
  <si>
    <t>Quadro Visual (TRF)</t>
  </si>
  <si>
    <t>Materiais</t>
  </si>
  <si>
    <t>SISTEMA DE AVALIAÇÕES GERENCIAIS</t>
  </si>
  <si>
    <t>ERGONOMIA</t>
  </si>
  <si>
    <t>Impressão relatório final</t>
  </si>
  <si>
    <t>Impressão. Relatório final</t>
  </si>
  <si>
    <t>PLANEJAMENTO E CONTROLE PRODUÇÃO</t>
  </si>
  <si>
    <t>impressão do quadro visual</t>
  </si>
  <si>
    <t>Quadro</t>
  </si>
  <si>
    <t>Urgência</t>
  </si>
  <si>
    <t xml:space="preserve">Core </t>
  </si>
  <si>
    <t>Resultado</t>
  </si>
  <si>
    <t>x</t>
  </si>
  <si>
    <t>Dificuldade em Encontrar Consultor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</si>
</sst>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R$ &quot;* #,##0.00_);_(&quot;R$ &quot;* \(#,##0.00\);_(&quot;R$ &quot;* &quot;-&quot;??_);_(@_)"/>
    <numFmt numFmtId="165" formatCode="0.0%"/>
    <numFmt numFmtId="166" formatCode="_([$R$ -416]* #,##0.00_);_([$R$ -416]* \(#,##0.00\);_([$R$ -416]* &quot;-&quot;??_);_(@_)"/>
    <numFmt numFmtId="167" formatCode="_-* #,##0.00_-;\-* #,##0.00_-;_-* &quot;-&quot;??_-;_-@"/>
    <numFmt numFmtId="168" formatCode="&quot;R$ &quot;#,##0.00"/>
    <numFmt numFmtId="169" formatCode="&quot;R$&quot;\ #,##0.00"/>
  </numFmts>
  <fonts count="17">
    <font>
      <sz val="11.0"/>
      <color rgb="FF000000"/>
      <name val="Calibri"/>
    </font>
    <font>
      <sz val="26.0"/>
      <color rgb="FF000000"/>
      <name val="Calibri"/>
    </font>
    <font/>
    <font>
      <b/>
      <sz val="14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sz val="20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b/>
      <sz val="11.0"/>
      <name val="Calibri"/>
    </font>
    <font>
      <sz val="11.0"/>
      <name val="Calibri"/>
    </font>
    <font>
      <b/>
      <sz val="20.0"/>
      <color rgb="FF000000"/>
      <name val="Calibri"/>
    </font>
    <font>
      <b/>
      <sz val="22.0"/>
      <color rgb="FF000000"/>
      <name val="Calibri"/>
    </font>
    <font>
      <sz val="16.0"/>
      <color rgb="FF000000"/>
      <name val="Calibri"/>
    </font>
    <font>
      <b/>
      <sz val="48.0"/>
      <color rgb="FF000000"/>
      <name val="Calibri"/>
    </font>
    <font>
      <b/>
      <sz val="20.0"/>
      <color rgb="FFFFFFFF"/>
      <name val="Calibri"/>
    </font>
    <font>
      <b/>
      <sz val="11.0"/>
      <color rgb="FFFFFFFF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DBE5F1"/>
        <bgColor rgb="FFDBE5F1"/>
      </patternFill>
    </fill>
    <fill>
      <patternFill patternType="solid">
        <fgColor rgb="FFFFFF69"/>
        <bgColor rgb="FFFFFF69"/>
      </patternFill>
    </fill>
    <fill>
      <patternFill patternType="solid">
        <fgColor rgb="FF4BACC6"/>
        <bgColor rgb="FF4BACC6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20000"/>
        <bgColor rgb="FFF20000"/>
      </patternFill>
    </fill>
    <fill>
      <patternFill patternType="solid">
        <fgColor rgb="FFF2DBDB"/>
        <bgColor rgb="FFF2DBDB"/>
      </patternFill>
    </fill>
    <fill>
      <patternFill patternType="solid">
        <fgColor rgb="FF00B050"/>
        <bgColor rgb="FF00B050"/>
      </patternFill>
    </fill>
    <fill>
      <patternFill patternType="solid">
        <fgColor rgb="FFFD9991"/>
        <bgColor rgb="FFFD9991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  <fill>
      <patternFill patternType="solid">
        <fgColor rgb="FF4F81BD"/>
        <bgColor rgb="FF4F81BD"/>
      </patternFill>
    </fill>
    <fill>
      <patternFill patternType="solid">
        <fgColor rgb="FF76923C"/>
        <bgColor rgb="FF76923C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</fills>
  <borders count="151">
    <border/>
    <border>
      <left/>
      <right/>
      <top/>
      <bottom/>
    </border>
    <border>
      <left/>
      <top/>
    </border>
    <border>
      <left style="medium">
        <color rgb="FF000000"/>
      </left>
      <top style="medium">
        <color rgb="FF000000"/>
      </top>
    </border>
    <border>
      <top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/>
    </border>
    <border>
      <left style="medium">
        <color rgb="FF000000"/>
      </left>
    </border>
    <border>
      <left/>
    </border>
    <border>
      <right style="medium">
        <color rgb="FF000000"/>
      </right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bottom/>
    </border>
    <border>
      <left/>
      <right/>
      <top style="medium">
        <color rgb="FF000000"/>
      </top>
      <bottom style="medium">
        <color rgb="FF000000"/>
      </bottom>
    </border>
    <border>
      <right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medium">
        <color rgb="FF000000"/>
      </top>
    </border>
    <border>
      <left/>
      <top style="medium">
        <color rgb="FF000000"/>
      </top>
      <bottom style="thin">
        <color rgb="FF000000"/>
      </bottom>
    </border>
    <border>
      <lef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top/>
      <bottom/>
    </border>
    <border>
      <left style="medium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/>
      <bottom/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</border>
    <border>
      <left/>
      <right/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2" fillId="3" fontId="0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center" shrinkToFit="0" vertical="center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4" fontId="1" numFmtId="0" xfId="0" applyAlignment="1" applyBorder="1" applyFill="1" applyFont="1">
      <alignment horizontal="center" shrinkToFit="0" vertical="center" wrapText="0"/>
    </xf>
    <xf borderId="17" fillId="0" fontId="2" numFmtId="0" xfId="0" applyBorder="1" applyFont="1"/>
    <xf borderId="18" fillId="4" fontId="1" numFmtId="0" xfId="0" applyAlignment="1" applyBorder="1" applyFont="1">
      <alignment horizontal="center" shrinkToFit="0" vertical="center" wrapText="0"/>
    </xf>
    <xf borderId="19" fillId="0" fontId="2" numFmtId="0" xfId="0" applyBorder="1" applyFont="1"/>
    <xf borderId="20" fillId="4" fontId="1" numFmtId="0" xfId="0" applyAlignment="1" applyBorder="1" applyFont="1">
      <alignment horizontal="center" shrinkToFit="0" vertical="center" wrapText="0"/>
    </xf>
    <xf borderId="21" fillId="2" fontId="3" numFmtId="0" xfId="0" applyAlignment="1" applyBorder="1" applyFont="1">
      <alignment horizontal="center" shrinkToFit="0" vertical="center" wrapText="0"/>
    </xf>
    <xf borderId="22" fillId="0" fontId="2" numFmtId="0" xfId="0" applyBorder="1" applyFont="1"/>
    <xf borderId="23" fillId="0" fontId="2" numFmtId="0" xfId="0" applyBorder="1" applyFont="1"/>
    <xf borderId="24" fillId="2" fontId="0" numFmtId="0" xfId="0" applyAlignment="1" applyBorder="1" applyFont="1">
      <alignment shrinkToFit="0" wrapText="0"/>
    </xf>
    <xf borderId="25" fillId="2" fontId="0" numFmtId="0" xfId="0" applyAlignment="1" applyBorder="1" applyFont="1">
      <alignment horizontal="center" shrinkToFit="0" wrapText="0"/>
    </xf>
    <xf borderId="26" fillId="0" fontId="2" numFmtId="0" xfId="0" applyBorder="1" applyFont="1"/>
    <xf borderId="27" fillId="0" fontId="2" numFmtId="0" xfId="0" applyBorder="1" applyFont="1"/>
    <xf borderId="28" fillId="2" fontId="0" numFmtId="0" xfId="0" applyAlignment="1" applyBorder="1" applyFont="1">
      <alignment shrinkToFit="0" wrapText="0"/>
    </xf>
    <xf borderId="29" fillId="2" fontId="0" numFmtId="0" xfId="0" applyAlignment="1" applyBorder="1" applyFont="1">
      <alignment horizontal="center" shrinkToFit="0" wrapText="0"/>
    </xf>
    <xf borderId="30" fillId="0" fontId="2" numFmtId="0" xfId="0" applyBorder="1" applyFont="1"/>
    <xf borderId="31" fillId="0" fontId="2" numFmtId="0" xfId="0" applyBorder="1" applyFont="1"/>
    <xf borderId="32" fillId="5" fontId="0" numFmtId="0" xfId="0" applyAlignment="1" applyBorder="1" applyFill="1" applyFont="1">
      <alignment horizontal="center" shrinkToFit="0" wrapText="0"/>
    </xf>
    <xf borderId="33" fillId="0" fontId="2" numFmtId="0" xfId="0" applyBorder="1" applyFont="1"/>
    <xf borderId="32" fillId="5" fontId="0" numFmtId="164" xfId="0" applyAlignment="1" applyBorder="1" applyFont="1" applyNumberFormat="1">
      <alignment horizontal="center" shrinkToFit="0" vertical="center" wrapText="0"/>
    </xf>
    <xf borderId="34" fillId="2" fontId="0" numFmtId="0" xfId="0" applyAlignment="1" applyBorder="1" applyFont="1">
      <alignment shrinkToFit="0" wrapText="0"/>
    </xf>
    <xf borderId="35" fillId="2" fontId="4" numFmtId="0" xfId="0" applyAlignment="1" applyBorder="1" applyFont="1">
      <alignment horizontal="center" shrinkToFit="0" wrapText="0"/>
    </xf>
    <xf borderId="36" fillId="0" fontId="2" numFmtId="0" xfId="0" applyBorder="1" applyFont="1"/>
    <xf borderId="37" fillId="0" fontId="2" numFmtId="0" xfId="0" applyBorder="1" applyFont="1"/>
    <xf borderId="38" fillId="2" fontId="4" numFmtId="164" xfId="0" applyAlignment="1" applyBorder="1" applyFont="1" applyNumberFormat="1">
      <alignment horizontal="center" shrinkToFit="0" wrapText="0"/>
    </xf>
    <xf borderId="39" fillId="0" fontId="2" numFmtId="0" xfId="0" applyBorder="1" applyFont="1"/>
    <xf borderId="40" fillId="2" fontId="0" numFmtId="0" xfId="0" applyAlignment="1" applyBorder="1" applyFont="1">
      <alignment shrinkToFit="0" wrapText="0"/>
    </xf>
    <xf borderId="41" fillId="2" fontId="0" numFmtId="0" xfId="0" applyAlignment="1" applyBorder="1" applyFont="1">
      <alignment shrinkToFit="0" wrapText="0"/>
    </xf>
    <xf borderId="3" fillId="4" fontId="0" numFmtId="0" xfId="0" applyAlignment="1" applyBorder="1" applyFont="1">
      <alignment horizontal="center" shrinkToFit="0" wrapText="0"/>
    </xf>
    <xf borderId="21" fillId="2" fontId="5" numFmtId="0" xfId="0" applyAlignment="1" applyBorder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shrinkToFit="0" wrapText="0"/>
    </xf>
    <xf borderId="3" fillId="2" fontId="3" numFmtId="0" xfId="0" applyAlignment="1" applyBorder="1" applyFont="1">
      <alignment horizontal="center" shrinkToFit="0" vertical="center" wrapText="0"/>
    </xf>
    <xf borderId="28" fillId="2" fontId="3" numFmtId="0" xfId="0" applyAlignment="1" applyBorder="1" applyFont="1">
      <alignment shrinkToFit="0" wrapText="0"/>
    </xf>
    <xf borderId="42" fillId="0" fontId="2" numFmtId="0" xfId="0" applyBorder="1" applyFont="1"/>
    <xf borderId="43" fillId="0" fontId="2" numFmtId="0" xfId="0" applyBorder="1" applyFont="1"/>
    <xf borderId="0" fillId="0" fontId="0" numFmtId="0" xfId="0" applyAlignment="1" applyFont="1">
      <alignment shrinkToFit="0" wrapText="0"/>
    </xf>
    <xf borderId="44" fillId="6" fontId="0" numFmtId="0" xfId="0" applyAlignment="1" applyBorder="1" applyFill="1" applyFont="1">
      <alignment shrinkToFit="0" wrapText="0"/>
    </xf>
    <xf borderId="45" fillId="7" fontId="0" numFmtId="0" xfId="0" applyAlignment="1" applyBorder="1" applyFill="1" applyFont="1">
      <alignment shrinkToFit="0" wrapText="0"/>
    </xf>
    <xf borderId="34" fillId="2" fontId="3" numFmtId="0" xfId="0" applyAlignment="1" applyBorder="1" applyFont="1">
      <alignment shrinkToFit="0" wrapText="0"/>
    </xf>
    <xf borderId="40" fillId="2" fontId="3" numFmtId="0" xfId="0" applyAlignment="1" applyBorder="1" applyFont="1">
      <alignment shrinkToFit="0" wrapText="0"/>
    </xf>
    <xf borderId="41" fillId="2" fontId="3" numFmtId="0" xfId="0" applyAlignment="1" applyBorder="1" applyFont="1">
      <alignment shrinkToFit="0" wrapText="0"/>
    </xf>
    <xf borderId="44" fillId="2" fontId="0" numFmtId="0" xfId="0" applyAlignment="1" applyBorder="1" applyFont="1">
      <alignment shrinkToFit="0" wrapText="0"/>
    </xf>
    <xf borderId="46" fillId="6" fontId="0" numFmtId="0" xfId="0" applyAlignment="1" applyBorder="1" applyFont="1">
      <alignment shrinkToFit="0" wrapText="0"/>
    </xf>
    <xf borderId="47" fillId="2" fontId="0" numFmtId="0" xfId="0" applyAlignment="1" applyBorder="1" applyFont="1">
      <alignment shrinkToFit="0" wrapText="0"/>
    </xf>
    <xf borderId="45" fillId="5" fontId="4" numFmtId="0" xfId="0" applyAlignment="1" applyBorder="1" applyFont="1">
      <alignment horizontal="center" shrinkToFit="0" wrapText="0"/>
    </xf>
    <xf borderId="48" fillId="2" fontId="0" numFmtId="0" xfId="0" applyAlignment="1" applyBorder="1" applyFont="1">
      <alignment shrinkToFit="0" wrapText="0"/>
    </xf>
    <xf borderId="46" fillId="2" fontId="0" numFmtId="164" xfId="0" applyAlignment="1" applyBorder="1" applyFont="1" applyNumberFormat="1">
      <alignment shrinkToFit="0" wrapText="0"/>
    </xf>
    <xf borderId="49" fillId="2" fontId="0" numFmtId="0" xfId="0" applyAlignment="1" applyBorder="1" applyFont="1">
      <alignment shrinkToFit="0" wrapText="0"/>
    </xf>
    <xf borderId="50" fillId="2" fontId="4" numFmtId="0" xfId="0" applyAlignment="1" applyBorder="1" applyFont="1">
      <alignment horizontal="center" shrinkToFit="0" wrapText="0"/>
    </xf>
    <xf borderId="50" fillId="2" fontId="0" numFmtId="164" xfId="0" applyAlignment="1" applyBorder="1" applyFont="1" applyNumberFormat="1">
      <alignment shrinkToFit="0" wrapText="0"/>
    </xf>
    <xf borderId="50" fillId="2" fontId="4" numFmtId="164" xfId="0" applyAlignment="1" applyBorder="1" applyFont="1" applyNumberFormat="1">
      <alignment shrinkToFit="0" wrapText="0"/>
    </xf>
    <xf borderId="50" fillId="2" fontId="0" numFmtId="0" xfId="0" applyAlignment="1" applyBorder="1" applyFont="1">
      <alignment shrinkToFit="0" wrapText="0"/>
    </xf>
    <xf borderId="51" fillId="2" fontId="0" numFmtId="0" xfId="0" applyAlignment="1" applyBorder="1" applyFont="1">
      <alignment shrinkToFit="0" wrapText="0"/>
    </xf>
    <xf borderId="52" fillId="2" fontId="0" numFmtId="0" xfId="0" applyAlignment="1" applyBorder="1" applyFont="1">
      <alignment shrinkToFit="0" wrapText="0"/>
    </xf>
    <xf borderId="45" fillId="2" fontId="0" numFmtId="164" xfId="0" applyAlignment="1" applyBorder="1" applyFont="1" applyNumberFormat="1">
      <alignment shrinkToFit="0" wrapText="0"/>
    </xf>
    <xf borderId="53" fillId="2" fontId="0" numFmtId="164" xfId="0" applyAlignment="1" applyBorder="1" applyFont="1" applyNumberFormat="1">
      <alignment shrinkToFit="0" wrapText="0"/>
    </xf>
    <xf borderId="46" fillId="2" fontId="0" numFmtId="0" xfId="0" applyAlignment="1" applyBorder="1" applyFont="1">
      <alignment horizontal="right" shrinkToFit="0" wrapText="0"/>
    </xf>
    <xf borderId="54" fillId="5" fontId="4" numFmtId="0" xfId="0" applyAlignment="1" applyBorder="1" applyFont="1">
      <alignment horizontal="center" shrinkToFit="0" wrapText="0"/>
    </xf>
    <xf borderId="46" fillId="2" fontId="0" numFmtId="0" xfId="0" applyAlignment="1" applyBorder="1" applyFont="1">
      <alignment shrinkToFit="0" wrapText="0"/>
    </xf>
    <xf borderId="45" fillId="5" fontId="4" numFmtId="164" xfId="0" applyAlignment="1" applyBorder="1" applyFont="1" applyNumberFormat="1">
      <alignment horizontal="center" shrinkToFit="0" vertical="top" wrapText="0"/>
    </xf>
    <xf borderId="54" fillId="5" fontId="4" numFmtId="164" xfId="0" applyAlignment="1" applyBorder="1" applyFont="1" applyNumberFormat="1">
      <alignment horizontal="center" shrinkToFit="0" vertical="top" wrapText="0"/>
    </xf>
    <xf borderId="45" fillId="2" fontId="0" numFmtId="0" xfId="0" applyAlignment="1" applyBorder="1" applyFont="1">
      <alignment shrinkToFit="0" wrapText="0"/>
    </xf>
    <xf borderId="53" fillId="2" fontId="0" numFmtId="0" xfId="0" applyAlignment="1" applyBorder="1" applyFont="1">
      <alignment shrinkToFit="0" wrapText="0"/>
    </xf>
    <xf borderId="55" fillId="2" fontId="0" numFmtId="0" xfId="0" applyAlignment="1" applyBorder="1" applyFont="1">
      <alignment horizontal="right" shrinkToFit="0" wrapText="0"/>
    </xf>
    <xf borderId="56" fillId="5" fontId="4" numFmtId="0" xfId="0" applyAlignment="1" applyBorder="1" applyFont="1">
      <alignment horizontal="center" shrinkToFit="0" wrapText="0"/>
    </xf>
    <xf borderId="57" fillId="5" fontId="4" numFmtId="0" xfId="0" applyAlignment="1" applyBorder="1" applyFont="1">
      <alignment horizontal="center" shrinkToFit="0" wrapText="0"/>
    </xf>
    <xf borderId="58" fillId="2" fontId="0" numFmtId="0" xfId="0" applyAlignment="1" applyBorder="1" applyFont="1">
      <alignment shrinkToFit="0" wrapText="0"/>
    </xf>
    <xf borderId="45" fillId="2" fontId="0" numFmtId="9" xfId="0" applyAlignment="1" applyBorder="1" applyFont="1" applyNumberFormat="1">
      <alignment shrinkToFit="0" wrapText="0"/>
    </xf>
    <xf borderId="59" fillId="2" fontId="0" numFmtId="0" xfId="0" applyAlignment="1" applyBorder="1" applyFont="1">
      <alignment shrinkToFit="0" wrapText="0"/>
    </xf>
    <xf borderId="60" fillId="2" fontId="0" numFmtId="0" xfId="0" applyAlignment="1" applyBorder="1" applyFont="1">
      <alignment shrinkToFit="0" wrapText="0"/>
    </xf>
    <xf borderId="61" fillId="2" fontId="0" numFmtId="0" xfId="0" applyAlignment="1" applyBorder="1" applyFont="1">
      <alignment shrinkToFit="0" wrapText="0"/>
    </xf>
    <xf borderId="25" fillId="2" fontId="3" numFmtId="0" xfId="0" applyAlignment="1" applyBorder="1" applyFont="1">
      <alignment horizontal="center" shrinkToFit="0" wrapText="0"/>
    </xf>
    <xf borderId="29" fillId="2" fontId="7" numFmtId="0" xfId="0" applyAlignment="1" applyBorder="1" applyFont="1">
      <alignment horizontal="center" shrinkToFit="0" vertical="center" wrapText="0"/>
    </xf>
    <xf borderId="62" fillId="0" fontId="2" numFmtId="0" xfId="0" applyBorder="1" applyFont="1"/>
    <xf borderId="32" fillId="5" fontId="8" numFmtId="0" xfId="0" applyAlignment="1" applyBorder="1" applyFont="1">
      <alignment horizontal="center" shrinkToFit="0" vertical="center" wrapText="0"/>
    </xf>
    <xf borderId="63" fillId="2" fontId="0" numFmtId="0" xfId="0" applyAlignment="1" applyBorder="1" applyFont="1">
      <alignment shrinkToFit="0" wrapText="0"/>
    </xf>
    <xf borderId="64" fillId="8" fontId="4" numFmtId="0" xfId="0" applyAlignment="1" applyBorder="1" applyFill="1" applyFont="1">
      <alignment shrinkToFit="0" wrapText="0"/>
    </xf>
    <xf borderId="65" fillId="8" fontId="0" numFmtId="0" xfId="0" applyAlignment="1" applyBorder="1" applyFont="1">
      <alignment shrinkToFit="0" wrapText="0"/>
    </xf>
    <xf borderId="35" fillId="2" fontId="7" numFmtId="0" xfId="0" applyAlignment="1" applyBorder="1" applyFont="1">
      <alignment horizontal="center" shrinkToFit="0" vertical="center" wrapText="0"/>
    </xf>
    <xf borderId="66" fillId="2" fontId="4" numFmtId="0" xfId="0" applyAlignment="1" applyBorder="1" applyFont="1">
      <alignment shrinkToFit="0" wrapText="0"/>
    </xf>
    <xf borderId="1" fillId="2" fontId="4" numFmtId="0" xfId="0" applyAlignment="1" applyBorder="1" applyFont="1">
      <alignment shrinkToFit="0" wrapText="0"/>
    </xf>
    <xf borderId="38" fillId="2" fontId="8" numFmtId="0" xfId="0" applyAlignment="1" applyBorder="1" applyFont="1">
      <alignment horizontal="center" shrinkToFit="0" vertical="center" wrapText="0"/>
    </xf>
    <xf borderId="24" fillId="8" fontId="0" numFmtId="0" xfId="0" applyAlignment="1" applyBorder="1" applyFont="1">
      <alignment shrinkToFit="0" wrapText="0"/>
    </xf>
    <xf borderId="1" fillId="2" fontId="7" numFmtId="0" xfId="0" applyAlignment="1" applyBorder="1" applyFont="1">
      <alignment shrinkToFit="0" vertical="center" wrapText="0"/>
    </xf>
    <xf borderId="67" fillId="8" fontId="0" numFmtId="0" xfId="0" applyAlignment="1" applyBorder="1" applyFont="1">
      <alignment horizontal="center" shrinkToFit="0" wrapText="0"/>
    </xf>
    <xf borderId="1" fillId="2" fontId="8" numFmtId="0" xfId="0" applyAlignment="1" applyBorder="1" applyFont="1">
      <alignment horizontal="center" shrinkToFit="0" vertical="center" wrapText="0"/>
    </xf>
    <xf borderId="66" fillId="2" fontId="0" numFmtId="0" xfId="0" applyAlignment="1" applyBorder="1" applyFont="1">
      <alignment shrinkToFit="0" wrapText="0"/>
    </xf>
    <xf borderId="68" fillId="2" fontId="0" numFmtId="0" xfId="0" applyAlignment="1" applyBorder="1" applyFont="1">
      <alignment shrinkToFit="0" wrapText="0"/>
    </xf>
    <xf borderId="69" fillId="2" fontId="0" numFmtId="0" xfId="0" applyAlignment="1" applyBorder="1" applyFont="1">
      <alignment shrinkToFit="0" wrapText="0"/>
    </xf>
    <xf borderId="1" fillId="2" fontId="0" numFmtId="164" xfId="0" applyAlignment="1" applyBorder="1" applyFont="1" applyNumberFormat="1">
      <alignment shrinkToFit="0" wrapText="0"/>
    </xf>
    <xf borderId="70" fillId="2" fontId="0" numFmtId="0" xfId="0" applyAlignment="1" applyBorder="1" applyFont="1">
      <alignment shrinkToFit="0" wrapText="0"/>
    </xf>
    <xf borderId="67" fillId="8" fontId="0" numFmtId="164" xfId="0" applyAlignment="1" applyBorder="1" applyFont="1" applyNumberFormat="1">
      <alignment shrinkToFit="0" wrapText="0"/>
    </xf>
    <xf borderId="3" fillId="9" fontId="0" numFmtId="0" xfId="0" applyAlignment="1" applyBorder="1" applyFill="1" applyFont="1">
      <alignment horizontal="center" shrinkToFit="0" wrapText="0"/>
    </xf>
    <xf borderId="71" fillId="2" fontId="4" numFmtId="0" xfId="0" applyAlignment="1" applyBorder="1" applyFont="1">
      <alignment shrinkToFit="0" wrapText="0"/>
    </xf>
    <xf borderId="72" fillId="2" fontId="0" numFmtId="0" xfId="0" applyAlignment="1" applyBorder="1" applyFont="1">
      <alignment shrinkToFit="0" wrapText="0"/>
    </xf>
    <xf borderId="73" fillId="2" fontId="0" numFmtId="0" xfId="0" applyAlignment="1" applyBorder="1" applyFont="1">
      <alignment shrinkToFit="0" wrapText="0"/>
    </xf>
    <xf borderId="55" fillId="6" fontId="0" numFmtId="0" xfId="0" applyAlignment="1" applyBorder="1" applyFont="1">
      <alignment shrinkToFit="0" wrapText="0"/>
    </xf>
    <xf borderId="45" fillId="2" fontId="0" numFmtId="0" xfId="0" applyAlignment="1" applyBorder="1" applyFont="1">
      <alignment horizontal="center" shrinkToFit="0" wrapText="0"/>
    </xf>
    <xf borderId="50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71" fillId="2" fontId="0" numFmtId="0" xfId="0" applyAlignment="1" applyBorder="1" applyFont="1">
      <alignment horizontal="center" shrinkToFit="0" wrapText="0"/>
    </xf>
    <xf borderId="74" fillId="2" fontId="9" numFmtId="0" xfId="0" applyAlignment="1" applyBorder="1" applyFont="1">
      <alignment shrinkToFit="0" wrapText="0"/>
    </xf>
    <xf borderId="75" fillId="5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right" shrinkToFit="0" wrapText="0"/>
    </xf>
    <xf borderId="76" fillId="5" fontId="10" numFmtId="0" xfId="0" applyAlignment="1" applyBorder="1" applyFont="1">
      <alignment horizontal="center" shrinkToFit="0" wrapText="0"/>
    </xf>
    <xf borderId="45" fillId="2" fontId="0" numFmtId="164" xfId="0" applyAlignment="1" applyBorder="1" applyFont="1" applyNumberFormat="1">
      <alignment horizontal="center" shrinkToFit="0" wrapText="0"/>
    </xf>
    <xf borderId="77" fillId="0" fontId="2" numFmtId="0" xfId="0" applyBorder="1" applyFont="1"/>
    <xf borderId="21" fillId="2" fontId="0" numFmtId="0" xfId="0" applyAlignment="1" applyBorder="1" applyFont="1">
      <alignment horizontal="center" shrinkToFit="0" wrapText="0"/>
    </xf>
    <xf borderId="53" fillId="2" fontId="0" numFmtId="164" xfId="0" applyAlignment="1" applyBorder="1" applyFont="1" applyNumberFormat="1">
      <alignment horizontal="center" shrinkToFit="0" wrapText="0"/>
    </xf>
    <xf borderId="46" fillId="2" fontId="9" numFmtId="0" xfId="0" applyAlignment="1" applyBorder="1" applyFont="1">
      <alignment shrinkToFit="0" wrapText="0"/>
    </xf>
    <xf borderId="54" fillId="2" fontId="0" numFmtId="164" xfId="0" applyAlignment="1" applyBorder="1" applyFont="1" applyNumberFormat="1">
      <alignment shrinkToFit="0" wrapText="0"/>
    </xf>
    <xf borderId="1" fillId="2" fontId="0" numFmtId="165" xfId="0" applyAlignment="1" applyBorder="1" applyFont="1" applyNumberFormat="1">
      <alignment shrinkToFit="0" wrapText="0"/>
    </xf>
    <xf borderId="69" fillId="2" fontId="0" numFmtId="164" xfId="0" applyAlignment="1" applyBorder="1" applyFont="1" applyNumberFormat="1">
      <alignment horizontal="center" shrinkToFit="0" wrapText="0"/>
    </xf>
    <xf borderId="78" fillId="8" fontId="0" numFmtId="0" xfId="0" applyAlignment="1" applyBorder="1" applyFont="1">
      <alignment shrinkToFit="0" wrapText="0"/>
    </xf>
    <xf borderId="79" fillId="8" fontId="0" numFmtId="0" xfId="0" applyAlignment="1" applyBorder="1" applyFont="1">
      <alignment shrinkToFit="0" wrapText="0"/>
    </xf>
    <xf borderId="72" fillId="2" fontId="0" numFmtId="164" xfId="0" applyAlignment="1" applyBorder="1" applyFont="1" applyNumberFormat="1">
      <alignment horizontal="right" shrinkToFit="0" wrapText="0"/>
    </xf>
    <xf borderId="72" fillId="2" fontId="0" numFmtId="164" xfId="0" applyAlignment="1" applyBorder="1" applyFont="1" applyNumberFormat="1">
      <alignment horizontal="center" shrinkToFit="0" wrapText="0"/>
    </xf>
    <xf borderId="79" fillId="8" fontId="0" numFmtId="9" xfId="0" applyAlignment="1" applyBorder="1" applyFont="1" applyNumberFormat="1">
      <alignment shrinkToFit="0" wrapText="0"/>
    </xf>
    <xf borderId="80" fillId="8" fontId="0" numFmtId="0" xfId="0" applyAlignment="1" applyBorder="1" applyFont="1">
      <alignment shrinkToFit="0" wrapText="0"/>
    </xf>
    <xf borderId="81" fillId="8" fontId="0" numFmtId="0" xfId="0" applyAlignment="1" applyBorder="1" applyFont="1">
      <alignment shrinkToFit="0" wrapText="0"/>
    </xf>
    <xf borderId="82" fillId="2" fontId="3" numFmtId="0" xfId="0" applyAlignment="1" applyBorder="1" applyFont="1">
      <alignment horizontal="center" shrinkToFit="0" wrapText="0"/>
    </xf>
    <xf borderId="83" fillId="0" fontId="2" numFmtId="0" xfId="0" applyBorder="1" applyFont="1"/>
    <xf borderId="84" fillId="0" fontId="2" numFmtId="0" xfId="0" applyBorder="1" applyFont="1"/>
    <xf borderId="70" fillId="2" fontId="4" numFmtId="0" xfId="0" applyAlignment="1" applyBorder="1" applyFont="1">
      <alignment shrinkToFit="0" wrapText="0"/>
    </xf>
    <xf borderId="85" fillId="2" fontId="4" numFmtId="0" xfId="0" applyAlignment="1" applyBorder="1" applyFont="1">
      <alignment shrinkToFit="0" wrapText="0"/>
    </xf>
    <xf borderId="65" fillId="2" fontId="0" numFmtId="0" xfId="0" applyAlignment="1" applyBorder="1" applyFont="1">
      <alignment horizontal="left" shrinkToFit="0" wrapText="0"/>
    </xf>
    <xf borderId="67" fillId="2" fontId="0" numFmtId="165" xfId="0" applyAlignment="1" applyBorder="1" applyFont="1" applyNumberFormat="1">
      <alignment horizontal="left" shrinkToFit="0" wrapText="0"/>
    </xf>
    <xf borderId="67" fillId="2" fontId="0" numFmtId="9" xfId="0" applyAlignment="1" applyBorder="1" applyFont="1" applyNumberFormat="1">
      <alignment horizontal="left" shrinkToFit="0" vertical="top" wrapText="0"/>
    </xf>
    <xf borderId="67" fillId="2" fontId="0" numFmtId="0" xfId="0" applyAlignment="1" applyBorder="1" applyFont="1">
      <alignment horizontal="left" shrinkToFit="0" wrapText="0"/>
    </xf>
    <xf borderId="71" fillId="2" fontId="0" numFmtId="0" xfId="0" applyAlignment="1" applyBorder="1" applyFont="1">
      <alignment shrinkToFit="0" wrapText="0"/>
    </xf>
    <xf borderId="72" fillId="2" fontId="0" numFmtId="164" xfId="0" applyAlignment="1" applyBorder="1" applyFont="1" applyNumberFormat="1">
      <alignment shrinkToFit="0" wrapText="0"/>
    </xf>
    <xf borderId="54" fillId="5" fontId="0" numFmtId="0" xfId="0" applyAlignment="1" applyBorder="1" applyFont="1">
      <alignment shrinkToFit="0" wrapText="0"/>
    </xf>
    <xf borderId="79" fillId="2" fontId="0" numFmtId="165" xfId="0" applyAlignment="1" applyBorder="1" applyFont="1" applyNumberFormat="1">
      <alignment horizontal="left" shrinkToFit="0" wrapText="0"/>
    </xf>
    <xf borderId="8" fillId="0" fontId="0" numFmtId="0" xfId="0" applyAlignment="1" applyBorder="1" applyFont="1">
      <alignment horizontal="center" shrinkToFit="0" wrapText="0"/>
    </xf>
    <xf borderId="1" fillId="2" fontId="0" numFmtId="9" xfId="0" applyAlignment="1" applyBorder="1" applyFont="1" applyNumberFormat="1">
      <alignment shrinkToFit="0" wrapText="0"/>
    </xf>
    <xf borderId="70" fillId="10" fontId="0" numFmtId="0" xfId="0" applyAlignment="1" applyBorder="1" applyFill="1" applyFont="1">
      <alignment shrinkToFit="0" wrapText="0"/>
    </xf>
    <xf borderId="85" fillId="10" fontId="0" numFmtId="164" xfId="0" applyAlignment="1" applyBorder="1" applyFont="1" applyNumberFormat="1">
      <alignment shrinkToFit="0" wrapText="0"/>
    </xf>
    <xf borderId="65" fillId="10" fontId="0" numFmtId="165" xfId="0" applyAlignment="1" applyBorder="1" applyFont="1" applyNumberFormat="1">
      <alignment horizontal="left" shrinkToFit="0" wrapText="0"/>
    </xf>
    <xf borderId="68" fillId="2" fontId="9" numFmtId="0" xfId="0" applyAlignment="1" applyBorder="1" applyFont="1">
      <alignment shrinkToFit="0" wrapText="0"/>
    </xf>
    <xf borderId="66" fillId="10" fontId="4" numFmtId="0" xfId="0" applyAlignment="1" applyBorder="1" applyFont="1">
      <alignment horizontal="center" shrinkToFit="0" vertical="center" wrapText="0"/>
    </xf>
    <xf borderId="86" fillId="5" fontId="0" numFmtId="0" xfId="0" applyAlignment="1" applyBorder="1" applyFont="1">
      <alignment shrinkToFit="0" wrapText="0"/>
    </xf>
    <xf borderId="1" fillId="10" fontId="4" numFmtId="166" xfId="0" applyAlignment="1" applyBorder="1" applyFont="1" applyNumberFormat="1">
      <alignment horizontal="center" shrinkToFit="0" vertical="center" wrapText="0"/>
    </xf>
    <xf borderId="67" fillId="10" fontId="0" numFmtId="165" xfId="0" applyAlignment="1" applyBorder="1" applyFont="1" applyNumberFormat="1">
      <alignment horizontal="left" shrinkToFit="0" wrapText="0"/>
    </xf>
    <xf borderId="71" fillId="10" fontId="4" numFmtId="0" xfId="0" applyAlignment="1" applyBorder="1" applyFont="1">
      <alignment horizontal="center" shrinkToFit="0" vertical="center" wrapText="0"/>
    </xf>
    <xf borderId="72" fillId="10" fontId="4" numFmtId="166" xfId="0" applyAlignment="1" applyBorder="1" applyFont="1" applyNumberFormat="1">
      <alignment horizontal="center" shrinkToFit="0" vertical="center" wrapText="0"/>
    </xf>
    <xf borderId="79" fillId="10" fontId="0" numFmtId="165" xfId="0" applyAlignment="1" applyBorder="1" applyFont="1" applyNumberFormat="1">
      <alignment horizontal="left" shrinkToFit="0" wrapText="0"/>
    </xf>
    <xf borderId="74" fillId="2" fontId="0" numFmtId="0" xfId="0" applyAlignment="1" applyBorder="1" applyFont="1">
      <alignment horizontal="right" shrinkToFit="0" wrapText="0"/>
    </xf>
    <xf borderId="1" fillId="2" fontId="0" numFmtId="167" xfId="0" applyAlignment="1" applyBorder="1" applyFont="1" applyNumberFormat="1">
      <alignment shrinkToFit="0" wrapText="0"/>
    </xf>
    <xf borderId="87" fillId="2" fontId="0" numFmtId="0" xfId="0" applyAlignment="1" applyBorder="1" applyFont="1">
      <alignment horizontal="center" shrinkToFit="0" wrapText="0"/>
    </xf>
    <xf borderId="88" fillId="0" fontId="2" numFmtId="0" xfId="0" applyBorder="1" applyFont="1"/>
    <xf borderId="89" fillId="2" fontId="0" numFmtId="0" xfId="0" applyAlignment="1" applyBorder="1" applyFont="1">
      <alignment horizontal="center" shrinkToFit="0" wrapText="0"/>
    </xf>
    <xf borderId="90" fillId="2" fontId="0" numFmtId="0" xfId="0" applyAlignment="1" applyBorder="1" applyFont="1">
      <alignment horizontal="center" shrinkToFit="0" wrapText="0"/>
    </xf>
    <xf borderId="49" fillId="2" fontId="0" numFmtId="0" xfId="0" applyAlignment="1" applyBorder="1" applyFont="1">
      <alignment horizontal="center" shrinkToFit="0" wrapText="0"/>
    </xf>
    <xf borderId="32" fillId="2" fontId="0" numFmtId="0" xfId="0" applyAlignment="1" applyBorder="1" applyFont="1">
      <alignment horizontal="center" shrinkToFit="0" vertical="center" wrapText="0"/>
    </xf>
    <xf borderId="49" fillId="2" fontId="0" numFmtId="164" xfId="0" applyAlignment="1" applyBorder="1" applyFont="1" applyNumberFormat="1">
      <alignment shrinkToFit="0" wrapText="0"/>
    </xf>
    <xf borderId="45" fillId="5" fontId="0" numFmtId="0" xfId="0" applyAlignment="1" applyBorder="1" applyFont="1">
      <alignment shrinkToFit="0" wrapText="0"/>
    </xf>
    <xf borderId="32" fillId="5" fontId="0" numFmtId="0" xfId="0" applyAlignment="1" applyBorder="1" applyFont="1">
      <alignment horizontal="center" shrinkToFit="0" vertical="center" wrapText="0"/>
    </xf>
    <xf borderId="45" fillId="5" fontId="0" numFmtId="164" xfId="0" applyAlignment="1" applyBorder="1" applyFont="1" applyNumberFormat="1">
      <alignment shrinkToFit="0" wrapText="0"/>
    </xf>
    <xf borderId="91" fillId="5" fontId="0" numFmtId="0" xfId="0" applyAlignment="1" applyBorder="1" applyFont="1">
      <alignment horizontal="center" shrinkToFit="0" vertical="center" wrapText="0"/>
    </xf>
    <xf borderId="92" fillId="0" fontId="2" numFmtId="0" xfId="0" applyBorder="1" applyFont="1"/>
    <xf borderId="93" fillId="0" fontId="2" numFmtId="0" xfId="0" applyBorder="1" applyFont="1"/>
    <xf borderId="69" fillId="5" fontId="0" numFmtId="164" xfId="0" applyAlignment="1" applyBorder="1" applyFont="1" applyNumberFormat="1">
      <alignment shrinkToFit="0" wrapText="0"/>
    </xf>
    <xf borderId="69" fillId="5" fontId="0" numFmtId="0" xfId="0" applyAlignment="1" applyBorder="1" applyFont="1">
      <alignment shrinkToFit="0" wrapText="0"/>
    </xf>
    <xf borderId="80" fillId="2" fontId="4" numFmtId="0" xfId="0" applyAlignment="1" applyBorder="1" applyFont="1">
      <alignment horizontal="right" shrinkToFit="0" wrapText="0"/>
    </xf>
    <xf borderId="94" fillId="2" fontId="0" numFmtId="0" xfId="0" applyAlignment="1" applyBorder="1" applyFont="1">
      <alignment horizontal="center" shrinkToFit="0" vertical="center" wrapText="0"/>
    </xf>
    <xf borderId="95" fillId="0" fontId="2" numFmtId="0" xfId="0" applyBorder="1" applyFont="1"/>
    <xf borderId="96" fillId="2" fontId="4" numFmtId="164" xfId="0" applyAlignment="1" applyBorder="1" applyFont="1" applyNumberFormat="1">
      <alignment shrinkToFit="0" wrapText="0"/>
    </xf>
    <xf borderId="96" fillId="2" fontId="4" numFmtId="0" xfId="0" applyAlignment="1" applyBorder="1" applyFont="1">
      <alignment shrinkToFit="0" wrapText="0"/>
    </xf>
    <xf borderId="53" fillId="2" fontId="4" numFmtId="164" xfId="0" applyAlignment="1" applyBorder="1" applyFont="1" applyNumberFormat="1">
      <alignment shrinkToFit="0" wrapText="0"/>
    </xf>
    <xf borderId="49" fillId="2" fontId="4" numFmtId="164" xfId="0" applyAlignment="1" applyBorder="1" applyFont="1" applyNumberFormat="1">
      <alignment shrinkToFit="0" wrapText="0"/>
    </xf>
    <xf borderId="24" fillId="2" fontId="4" numFmtId="0" xfId="0" applyAlignment="1" applyBorder="1" applyFont="1">
      <alignment horizontal="righ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4" numFmtId="164" xfId="0" applyAlignment="1" applyBorder="1" applyFont="1" applyNumberFormat="1">
      <alignment shrinkToFit="0" wrapText="0"/>
    </xf>
    <xf borderId="28" fillId="2" fontId="4" numFmtId="164" xfId="0" applyAlignment="1" applyBorder="1" applyFont="1" applyNumberFormat="1">
      <alignment shrinkToFit="0" wrapText="0"/>
    </xf>
    <xf borderId="97" fillId="2" fontId="0" numFmtId="0" xfId="0" applyAlignment="1" applyBorder="1" applyFont="1">
      <alignment horizontal="center" shrinkToFit="0" wrapText="0"/>
    </xf>
    <xf borderId="98" fillId="0" fontId="2" numFmtId="0" xfId="0" applyBorder="1" applyFont="1"/>
    <xf borderId="99" fillId="0" fontId="2" numFmtId="0" xfId="0" applyBorder="1" applyFont="1"/>
    <xf borderId="32" fillId="2" fontId="0" numFmtId="0" xfId="0" applyAlignment="1" applyBorder="1" applyFont="1">
      <alignment horizontal="center" shrinkToFit="0" wrapText="0"/>
    </xf>
    <xf borderId="32" fillId="2" fontId="0" numFmtId="164" xfId="0" applyAlignment="1" applyBorder="1" applyFont="1" applyNumberFormat="1">
      <alignment horizontal="center" shrinkToFit="0" wrapText="0"/>
    </xf>
    <xf borderId="97" fillId="2" fontId="0" numFmtId="164" xfId="0" applyAlignment="1" applyBorder="1" applyFont="1" applyNumberFormat="1">
      <alignment horizontal="center" shrinkToFit="0" wrapText="0"/>
    </xf>
    <xf borderId="97" fillId="2" fontId="4" numFmtId="0" xfId="0" applyAlignment="1" applyBorder="1" applyFont="1">
      <alignment horizontal="center" shrinkToFit="0" wrapText="0"/>
    </xf>
    <xf borderId="97" fillId="2" fontId="4" numFmtId="164" xfId="0" applyAlignment="1" applyBorder="1" applyFont="1" applyNumberFormat="1">
      <alignment horizontal="center" shrinkToFit="0" wrapText="0"/>
    </xf>
    <xf borderId="1" fillId="2" fontId="4" numFmtId="0" xfId="0" applyAlignment="1" applyBorder="1" applyFont="1">
      <alignment horizontal="center" shrinkToFit="0" wrapText="0"/>
    </xf>
    <xf borderId="1" fillId="2" fontId="4" numFmtId="164" xfId="0" applyAlignment="1" applyBorder="1" applyFont="1" applyNumberFormat="1">
      <alignment horizontal="center" shrinkToFit="0" wrapText="0"/>
    </xf>
    <xf borderId="51" fillId="2" fontId="0" numFmtId="164" xfId="0" applyAlignment="1" applyBorder="1" applyFont="1" applyNumberFormat="1">
      <alignment shrinkToFit="0" wrapText="0"/>
    </xf>
    <xf borderId="38" fillId="2" fontId="4" numFmtId="164" xfId="0" applyAlignment="1" applyBorder="1" applyFont="1" applyNumberFormat="1">
      <alignment shrinkToFit="0" wrapText="0"/>
    </xf>
    <xf borderId="57" fillId="2" fontId="4" numFmtId="164" xfId="0" applyAlignment="1" applyBorder="1" applyFont="1" applyNumberFormat="1">
      <alignment shrinkToFit="0" wrapText="0"/>
    </xf>
    <xf borderId="87" fillId="5" fontId="0" numFmtId="0" xfId="0" applyAlignment="1" applyBorder="1" applyFont="1">
      <alignment horizontal="center" shrinkToFit="0" wrapText="0"/>
    </xf>
    <xf borderId="35" fillId="2" fontId="0" numFmtId="0" xfId="0" applyAlignment="1" applyBorder="1" applyFont="1">
      <alignment horizontal="center" shrinkToFit="0" wrapText="0"/>
    </xf>
    <xf borderId="38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shrinkToFit="0" wrapText="0"/>
    </xf>
    <xf borderId="100" fillId="2" fontId="0" numFmtId="0" xfId="0" applyAlignment="1" applyBorder="1" applyFont="1">
      <alignment horizontal="center" shrinkToFit="0" vertical="center" wrapText="0"/>
    </xf>
    <xf borderId="101" fillId="2" fontId="0" numFmtId="9" xfId="0" applyAlignment="1" applyBorder="1" applyFont="1" applyNumberFormat="1">
      <alignment horizontal="center" shrinkToFit="0" wrapText="0"/>
    </xf>
    <xf borderId="102" fillId="0" fontId="2" numFmtId="0" xfId="0" applyBorder="1" applyFont="1"/>
    <xf borderId="94" fillId="2" fontId="0" numFmtId="168" xfId="0" applyAlignment="1" applyBorder="1" applyFont="1" applyNumberFormat="1">
      <alignment horizontal="center" shrinkToFit="0" wrapText="0"/>
    </xf>
    <xf borderId="103" fillId="2" fontId="11" numFmtId="0" xfId="0" applyAlignment="1" applyBorder="1" applyFont="1">
      <alignment horizontal="center" shrinkToFit="0" wrapText="0"/>
    </xf>
    <xf borderId="104" fillId="0" fontId="2" numFmtId="0" xfId="0" applyBorder="1" applyFont="1"/>
    <xf borderId="41" fillId="2" fontId="3" numFmtId="0" xfId="0" applyAlignment="1" applyBorder="1" applyFont="1">
      <alignment horizontal="center" shrinkToFit="0" wrapText="0"/>
    </xf>
    <xf borderId="76" fillId="2" fontId="3" numFmtId="0" xfId="0" applyAlignment="1" applyBorder="1" applyFont="1">
      <alignment horizontal="left" shrinkToFit="0" wrapText="0"/>
    </xf>
    <xf borderId="105" fillId="0" fontId="2" numFmtId="0" xfId="0" applyBorder="1" applyFont="1"/>
    <xf borderId="76" fillId="2" fontId="12" numFmtId="166" xfId="0" applyAlignment="1" applyBorder="1" applyFont="1" applyNumberFormat="1">
      <alignment horizontal="center" shrinkToFit="0" wrapText="0"/>
    </xf>
    <xf borderId="106" fillId="0" fontId="2" numFmtId="0" xfId="0" applyBorder="1" applyFont="1"/>
    <xf borderId="20" fillId="2" fontId="6" numFmtId="0" xfId="0" applyAlignment="1" applyBorder="1" applyFont="1">
      <alignment horizontal="center" shrinkToFit="0" wrapText="0"/>
    </xf>
    <xf borderId="76" fillId="11" fontId="7" numFmtId="166" xfId="0" applyAlignment="1" applyBorder="1" applyFill="1" applyFont="1" applyNumberFormat="1">
      <alignment horizontal="center" shrinkToFit="0" vertical="center" wrapText="0"/>
    </xf>
    <xf borderId="1" fillId="2" fontId="0" numFmtId="166" xfId="0" applyAlignment="1" applyBorder="1" applyFont="1" applyNumberFormat="1">
      <alignment shrinkToFit="0" wrapText="0"/>
    </xf>
    <xf borderId="107" fillId="0" fontId="2" numFmtId="0" xfId="0" applyBorder="1" applyFont="1"/>
    <xf borderId="108" fillId="2" fontId="0" numFmtId="0" xfId="0" applyAlignment="1" applyBorder="1" applyFont="1">
      <alignment horizontal="center" shrinkToFit="0" wrapText="0"/>
    </xf>
    <xf borderId="82" fillId="12" fontId="0" numFmtId="0" xfId="0" applyAlignment="1" applyBorder="1" applyFill="1" applyFont="1">
      <alignment horizontal="center" shrinkToFit="0" wrapText="0"/>
    </xf>
    <xf borderId="109" fillId="0" fontId="2" numFmtId="0" xfId="0" applyBorder="1" applyFont="1"/>
    <xf borderId="100" fillId="2" fontId="0" numFmtId="0" xfId="0" applyAlignment="1" applyBorder="1" applyFont="1">
      <alignment horizontal="center" shrinkToFit="0" wrapText="0"/>
    </xf>
    <xf borderId="32" fillId="12" fontId="0" numFmtId="0" xfId="0" applyAlignment="1" applyBorder="1" applyFont="1">
      <alignment horizontal="center" shrinkToFit="0" wrapText="0"/>
    </xf>
    <xf borderId="32" fillId="2" fontId="0" numFmtId="169" xfId="0" applyAlignment="1" applyBorder="1" applyFont="1" applyNumberFormat="1">
      <alignment horizontal="center" shrinkToFit="0" wrapText="0"/>
    </xf>
    <xf borderId="38" fillId="2" fontId="0" numFmtId="169" xfId="0" applyAlignment="1" applyBorder="1" applyFont="1" applyNumberFormat="1">
      <alignment horizontal="center" shrinkToFit="0" wrapText="0"/>
    </xf>
    <xf borderId="76" fillId="2" fontId="0" numFmtId="0" xfId="0" applyAlignment="1" applyBorder="1" applyFont="1">
      <alignment horizontal="center" shrinkToFit="0" wrapText="0"/>
    </xf>
    <xf borderId="110" fillId="0" fontId="2" numFmtId="0" xfId="0" applyBorder="1" applyFont="1"/>
    <xf borderId="111" fillId="2" fontId="0" numFmtId="0" xfId="0" applyAlignment="1" applyBorder="1" applyFont="1">
      <alignment horizontal="center" shrinkToFit="0" wrapText="0"/>
    </xf>
    <xf borderId="112" fillId="0" fontId="2" numFmtId="0" xfId="0" applyBorder="1" applyFont="1"/>
    <xf borderId="113" fillId="2" fontId="0" numFmtId="0" xfId="0" applyAlignment="1" applyBorder="1" applyFont="1">
      <alignment horizontal="center" shrinkToFit="0" wrapText="0"/>
    </xf>
    <xf borderId="114" fillId="0" fontId="2" numFmtId="0" xfId="0" applyBorder="1" applyFont="1"/>
    <xf borderId="24" fillId="2" fontId="0" numFmtId="0" xfId="0" applyAlignment="1" applyBorder="1" applyFont="1">
      <alignment horizontal="center" shrinkToFit="0" wrapText="0"/>
    </xf>
    <xf borderId="28" fillId="2" fontId="0" numFmtId="0" xfId="0" applyAlignment="1" applyBorder="1" applyFont="1">
      <alignment horizontal="center" shrinkToFit="0" wrapText="0"/>
    </xf>
    <xf borderId="87" fillId="12" fontId="0" numFmtId="0" xfId="0" applyAlignment="1" applyBorder="1" applyFont="1">
      <alignment horizontal="center" shrinkToFit="0" wrapText="0"/>
    </xf>
    <xf borderId="38" fillId="12" fontId="0" numFmtId="0" xfId="0" applyAlignment="1" applyBorder="1" applyFont="1">
      <alignment horizontal="center" shrinkToFit="0" wrapText="0"/>
    </xf>
    <xf borderId="115" fillId="2" fontId="0" numFmtId="0" xfId="0" applyAlignment="1" applyBorder="1" applyFont="1">
      <alignment horizontal="center" shrinkToFit="0" wrapText="0"/>
    </xf>
    <xf borderId="116" fillId="2" fontId="0" numFmtId="0" xfId="0" applyAlignment="1" applyBorder="1" applyFont="1">
      <alignment horizontal="center" shrinkToFit="0" wrapText="0"/>
    </xf>
    <xf borderId="91" fillId="2" fontId="0" numFmtId="0" xfId="0" applyAlignment="1" applyBorder="1" applyFont="1">
      <alignment horizontal="center" shrinkToFit="0" wrapText="0"/>
    </xf>
    <xf borderId="117" fillId="0" fontId="2" numFmtId="0" xfId="0" applyBorder="1" applyFont="1"/>
    <xf borderId="118" fillId="0" fontId="2" numFmtId="0" xfId="0" applyBorder="1" applyFont="1"/>
    <xf borderId="97" fillId="2" fontId="0" numFmtId="0" xfId="0" applyAlignment="1" applyBorder="1" applyFont="1">
      <alignment horizontal="center" shrinkToFit="0" vertical="center" wrapText="0"/>
    </xf>
    <xf borderId="119" fillId="2" fontId="0" numFmtId="0" xfId="0" applyAlignment="1" applyBorder="1" applyFont="1">
      <alignment horizontal="center" shrinkToFit="0" wrapText="0"/>
    </xf>
    <xf borderId="45" fillId="12" fontId="0" numFmtId="0" xfId="0" applyAlignment="1" applyBorder="1" applyFont="1">
      <alignment horizontal="center" shrinkToFit="0" wrapText="0"/>
    </xf>
    <xf borderId="32" fillId="12" fontId="0" numFmtId="169" xfId="0" applyAlignment="1" applyBorder="1" applyFont="1" applyNumberFormat="1">
      <alignment horizontal="center" shrinkToFit="0" wrapText="0"/>
    </xf>
    <xf borderId="120" fillId="2" fontId="0" numFmtId="0" xfId="0" applyAlignment="1" applyBorder="1" applyFont="1">
      <alignment horizontal="center" shrinkToFit="0" wrapText="0"/>
    </xf>
    <xf borderId="91" fillId="12" fontId="0" numFmtId="169" xfId="0" applyAlignment="1" applyBorder="1" applyFont="1" applyNumberFormat="1">
      <alignment horizontal="center" shrinkToFit="0" wrapText="0"/>
    </xf>
    <xf borderId="69" fillId="12" fontId="0" numFmtId="0" xfId="0" applyAlignment="1" applyBorder="1" applyFont="1">
      <alignment horizontal="center" shrinkToFit="0" wrapText="0"/>
    </xf>
    <xf borderId="91" fillId="2" fontId="0" numFmtId="169" xfId="0" applyAlignment="1" applyBorder="1" applyFont="1" applyNumberFormat="1">
      <alignment horizontal="center" shrinkToFit="0" wrapText="0"/>
    </xf>
    <xf borderId="111" fillId="2" fontId="0" numFmtId="169" xfId="0" applyAlignment="1" applyBorder="1" applyFont="1" applyNumberFormat="1">
      <alignment horizontal="center" shrinkToFit="0" wrapText="0"/>
    </xf>
    <xf borderId="121" fillId="2" fontId="0" numFmtId="0" xfId="0" applyAlignment="1" applyBorder="1" applyFont="1">
      <alignment horizontal="center" shrinkToFit="0" wrapText="0"/>
    </xf>
    <xf borderId="67" fillId="2" fontId="0" numFmtId="0" xfId="0" applyAlignment="1" applyBorder="1" applyFont="1">
      <alignment shrinkToFit="0" wrapText="0"/>
    </xf>
    <xf borderId="1" fillId="2" fontId="9" numFmtId="0" xfId="0" applyAlignment="1" applyBorder="1" applyFont="1">
      <alignment shrinkToFit="0" wrapText="0"/>
    </xf>
    <xf borderId="32" fillId="12" fontId="0" numFmtId="9" xfId="0" applyAlignment="1" applyBorder="1" applyFont="1" applyNumberFormat="1">
      <alignment horizontal="center" shrinkToFit="0" wrapText="0"/>
    </xf>
    <xf borderId="2" fillId="2" fontId="13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0"/>
    </xf>
    <xf borderId="24" fillId="2" fontId="3" numFmtId="0" xfId="0" applyAlignment="1" applyBorder="1" applyFont="1">
      <alignment shrinkToFit="0" vertical="center" wrapText="0"/>
    </xf>
    <xf borderId="3" fillId="13" fontId="14" numFmtId="169" xfId="0" applyAlignment="1" applyBorder="1" applyFill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center" shrinkToFit="0" vertical="center" wrapText="0"/>
    </xf>
    <xf borderId="40" fillId="2" fontId="0" numFmtId="0" xfId="0" applyAlignment="1" applyBorder="1" applyFont="1">
      <alignment shrinkToFit="0" vertical="center" wrapText="0"/>
    </xf>
    <xf borderId="122" fillId="2" fontId="0" numFmtId="0" xfId="0" applyAlignment="1" applyBorder="1" applyFont="1">
      <alignment horizontal="center" shrinkToFit="0" vertical="center" wrapText="0"/>
    </xf>
    <xf borderId="123" fillId="0" fontId="2" numFmtId="0" xfId="0" applyBorder="1" applyFont="1"/>
    <xf borderId="124" fillId="0" fontId="2" numFmtId="0" xfId="0" applyBorder="1" applyFont="1"/>
    <xf borderId="125" fillId="0" fontId="2" numFmtId="0" xfId="0" applyBorder="1" applyFont="1"/>
    <xf borderId="1" fillId="2" fontId="0" numFmtId="169" xfId="0" applyAlignment="1" applyBorder="1" applyFont="1" applyNumberFormat="1">
      <alignment horizontal="center" shrinkToFit="0" wrapText="0"/>
    </xf>
    <xf borderId="45" fillId="2" fontId="4" numFmtId="0" xfId="0" applyAlignment="1" applyBorder="1" applyFont="1">
      <alignment horizontal="center" shrinkToFit="0" wrapText="0"/>
    </xf>
    <xf borderId="45" fillId="2" fontId="0" numFmtId="169" xfId="0" applyAlignment="1" applyBorder="1" applyFont="1" applyNumberFormat="1">
      <alignment horizontal="center" shrinkToFit="0" wrapText="0"/>
    </xf>
    <xf borderId="45" fillId="2" fontId="0" numFmtId="9" xfId="0" applyAlignment="1" applyBorder="1" applyFont="1" applyNumberFormat="1">
      <alignment horizontal="center" shrinkToFit="0" wrapText="0"/>
    </xf>
    <xf borderId="45" fillId="2" fontId="4" numFmtId="169" xfId="0" applyAlignment="1" applyBorder="1" applyFont="1" applyNumberFormat="1">
      <alignment horizontal="center" shrinkToFit="0" wrapText="0"/>
    </xf>
    <xf borderId="45" fillId="2" fontId="4" numFmtId="9" xfId="0" applyAlignment="1" applyBorder="1" applyFont="1" applyNumberFormat="1">
      <alignment horizontal="center" shrinkToFit="0" wrapText="0"/>
    </xf>
    <xf borderId="2" fillId="3" fontId="15" numFmtId="0" xfId="0" applyAlignment="1" applyBorder="1" applyFont="1">
      <alignment horizontal="center" shrinkToFit="0" vertical="center" wrapText="0"/>
    </xf>
    <xf borderId="126" fillId="14" fontId="3" numFmtId="0" xfId="0" applyAlignment="1" applyBorder="1" applyFill="1" applyFont="1">
      <alignment horizontal="center" shrinkToFit="0" vertical="center" wrapText="0"/>
    </xf>
    <xf borderId="59" fillId="15" fontId="16" numFmtId="0" xfId="0" applyAlignment="1" applyBorder="1" applyFill="1" applyFont="1">
      <alignment horizontal="center" shrinkToFit="0" wrapText="0"/>
    </xf>
    <xf borderId="60" fillId="15" fontId="16" numFmtId="0" xfId="0" applyAlignment="1" applyBorder="1" applyFont="1">
      <alignment horizontal="center" shrinkToFit="0" wrapText="0"/>
    </xf>
    <xf borderId="61" fillId="15" fontId="16" numFmtId="0" xfId="0" applyAlignment="1" applyBorder="1" applyFont="1">
      <alignment horizontal="center" shrinkToFit="0" wrapText="0"/>
    </xf>
    <xf borderId="127" fillId="0" fontId="2" numFmtId="0" xfId="0" applyBorder="1" applyFont="1"/>
    <xf borderId="128" fillId="16" fontId="0" numFmtId="0" xfId="0" applyAlignment="1" applyBorder="1" applyFill="1" applyFont="1">
      <alignment horizontal="left" shrinkToFit="0" wrapText="0"/>
    </xf>
    <xf borderId="66" fillId="16" fontId="0" numFmtId="0" xfId="0" applyAlignment="1" applyBorder="1" applyFont="1">
      <alignment horizontal="center" shrinkToFit="0" wrapText="0"/>
    </xf>
    <xf borderId="49" fillId="16" fontId="0" numFmtId="164" xfId="0" applyAlignment="1" applyBorder="1" applyFont="1" applyNumberFormat="1">
      <alignment shrinkToFit="0" wrapText="0"/>
    </xf>
    <xf borderId="128" fillId="16" fontId="0" numFmtId="0" xfId="0" applyAlignment="1" applyBorder="1" applyFont="1">
      <alignment shrinkToFit="0" wrapText="0"/>
    </xf>
    <xf borderId="129" fillId="0" fontId="2" numFmtId="0" xfId="0" applyBorder="1" applyFont="1"/>
    <xf borderId="130" fillId="16" fontId="0" numFmtId="0" xfId="0" applyAlignment="1" applyBorder="1" applyFont="1">
      <alignment horizontal="left" shrinkToFit="0" wrapText="0"/>
    </xf>
    <xf borderId="131" fillId="16" fontId="0" numFmtId="0" xfId="0" applyAlignment="1" applyBorder="1" applyFont="1">
      <alignment horizontal="center" shrinkToFit="0" wrapText="0"/>
    </xf>
    <xf borderId="132" fillId="16" fontId="0" numFmtId="164" xfId="0" applyAlignment="1" applyBorder="1" applyFont="1" applyNumberFormat="1">
      <alignment shrinkToFit="0" wrapText="0"/>
    </xf>
    <xf borderId="130" fillId="16" fontId="0" numFmtId="0" xfId="0" applyAlignment="1" applyBorder="1" applyFont="1">
      <alignment shrinkToFit="0" wrapText="0"/>
    </xf>
    <xf borderId="133" fillId="14" fontId="3" numFmtId="0" xfId="0" applyAlignment="1" applyBorder="1" applyFont="1">
      <alignment horizontal="center" shrinkToFit="0" vertical="center" wrapText="1"/>
    </xf>
    <xf borderId="134" fillId="0" fontId="2" numFmtId="0" xfId="0" applyBorder="1" applyFont="1"/>
    <xf borderId="135" fillId="0" fontId="2" numFmtId="0" xfId="0" applyBorder="1" applyFont="1"/>
    <xf borderId="59" fillId="17" fontId="16" numFmtId="0" xfId="0" applyAlignment="1" applyBorder="1" applyFill="1" applyFont="1">
      <alignment horizontal="center" shrinkToFit="0" wrapText="0"/>
    </xf>
    <xf borderId="60" fillId="17" fontId="16" numFmtId="0" xfId="0" applyAlignment="1" applyBorder="1" applyFont="1">
      <alignment horizontal="center" shrinkToFit="0" wrapText="0"/>
    </xf>
    <xf borderId="61" fillId="17" fontId="16" numFmtId="0" xfId="0" applyAlignment="1" applyBorder="1" applyFont="1">
      <alignment horizontal="center" shrinkToFit="0" wrapText="0"/>
    </xf>
    <xf borderId="136" fillId="16" fontId="0" numFmtId="0" xfId="0" applyAlignment="1" applyBorder="1" applyFont="1">
      <alignment horizontal="left" shrinkToFit="0" vertical="center" wrapText="0"/>
    </xf>
    <xf borderId="137" fillId="16" fontId="0" numFmtId="0" xfId="0" applyAlignment="1" applyBorder="1" applyFont="1">
      <alignment horizontal="center" shrinkToFit="0" vertical="center" wrapText="0"/>
    </xf>
    <xf borderId="138" fillId="16" fontId="0" numFmtId="164" xfId="0" applyAlignment="1" applyBorder="1" applyFont="1" applyNumberFormat="1">
      <alignment horizontal="center" shrinkToFit="0" vertical="center" wrapText="0"/>
    </xf>
    <xf borderId="139" fillId="0" fontId="2" numFmtId="0" xfId="0" applyBorder="1" applyFont="1"/>
    <xf borderId="140" fillId="0" fontId="2" numFmtId="0" xfId="0" applyBorder="1" applyFont="1"/>
    <xf borderId="141" fillId="0" fontId="2" numFmtId="0" xfId="0" applyBorder="1" applyFont="1"/>
    <xf borderId="1" fillId="16" fontId="0" numFmtId="0" xfId="0" applyAlignment="1" applyBorder="1" applyFont="1">
      <alignment horizontal="center" shrinkToFit="0" wrapText="0"/>
    </xf>
    <xf borderId="142" fillId="0" fontId="2" numFmtId="0" xfId="0" applyBorder="1" applyFont="1"/>
    <xf borderId="143" fillId="0" fontId="2" numFmtId="0" xfId="0" applyBorder="1" applyFont="1"/>
    <xf borderId="144" fillId="0" fontId="2" numFmtId="0" xfId="0" applyBorder="1" applyFont="1"/>
    <xf borderId="145" fillId="2" fontId="4" numFmtId="0" xfId="0" applyAlignment="1" applyBorder="1" applyFont="1">
      <alignment horizontal="center" shrinkToFit="0" vertical="center" wrapText="0"/>
    </xf>
    <xf borderId="128" fillId="18" fontId="0" numFmtId="0" xfId="0" applyAlignment="1" applyBorder="1" applyFill="1" applyFont="1">
      <alignment horizontal="left" shrinkToFit="0" wrapText="0"/>
    </xf>
    <xf borderId="146" fillId="0" fontId="2" numFmtId="0" xfId="0" applyBorder="1" applyFont="1"/>
    <xf borderId="74" fillId="6" fontId="0" numFmtId="0" xfId="0" applyAlignment="1" applyBorder="1" applyFont="1">
      <alignment shrinkToFit="0" wrapText="0"/>
    </xf>
    <xf borderId="89" fillId="6" fontId="0" numFmtId="0" xfId="0" applyAlignment="1" applyBorder="1" applyFont="1">
      <alignment horizontal="center" shrinkToFit="0" wrapText="0"/>
    </xf>
    <xf borderId="75" fillId="6" fontId="0" numFmtId="0" xfId="0" applyAlignment="1" applyBorder="1" applyFont="1">
      <alignment horizontal="center" shrinkToFit="0" wrapText="0"/>
    </xf>
    <xf borderId="25" fillId="6" fontId="0" numFmtId="0" xfId="0" applyAlignment="1" applyBorder="1" applyFont="1">
      <alignment horizontal="center" shrinkToFit="0" wrapText="0"/>
    </xf>
    <xf borderId="50" fillId="19" fontId="0" numFmtId="9" xfId="0" applyAlignment="1" applyBorder="1" applyFill="1" applyFont="1" applyNumberFormat="1">
      <alignment horizontal="center" shrinkToFit="0" wrapText="0"/>
    </xf>
    <xf borderId="50" fillId="20" fontId="0" numFmtId="9" xfId="0" applyAlignment="1" applyBorder="1" applyFill="1" applyFont="1" applyNumberFormat="1">
      <alignment horizontal="center" shrinkToFit="0" wrapText="0"/>
    </xf>
    <xf borderId="51" fillId="20" fontId="0" numFmtId="9" xfId="0" applyAlignment="1" applyBorder="1" applyFont="1" applyNumberFormat="1">
      <alignment horizontal="center" shrinkToFit="0" wrapText="0"/>
    </xf>
    <xf borderId="147" fillId="6" fontId="0" numFmtId="0" xfId="0" applyAlignment="1" applyBorder="1" applyFont="1">
      <alignment horizontal="center" shrinkToFit="0" wrapText="0"/>
    </xf>
    <xf borderId="148" fillId="6" fontId="0" numFmtId="0" xfId="0" applyAlignment="1" applyBorder="1" applyFont="1">
      <alignment shrinkToFit="0" wrapText="0"/>
    </xf>
    <xf borderId="54" fillId="19" fontId="0" numFmtId="9" xfId="0" applyAlignment="1" applyBorder="1" applyFont="1" applyNumberFormat="1">
      <alignment horizontal="center" shrinkToFit="0" wrapText="0"/>
    </xf>
    <xf borderId="45" fillId="19" fontId="0" numFmtId="9" xfId="0" applyAlignment="1" applyBorder="1" applyFont="1" applyNumberFormat="1">
      <alignment horizontal="center" shrinkToFit="0" wrapText="0"/>
    </xf>
    <xf borderId="45" fillId="20" fontId="0" numFmtId="9" xfId="0" applyAlignment="1" applyBorder="1" applyFont="1" applyNumberFormat="1">
      <alignment horizontal="center" shrinkToFit="0" wrapText="0"/>
    </xf>
    <xf borderId="54" fillId="20" fontId="0" numFmtId="9" xfId="0" applyAlignment="1" applyBorder="1" applyFont="1" applyNumberFormat="1">
      <alignment horizontal="center" shrinkToFit="0" wrapText="0"/>
    </xf>
    <xf borderId="149" fillId="6" fontId="0" numFmtId="0" xfId="0" applyAlignment="1" applyBorder="1" applyFont="1">
      <alignment horizontal="center" shrinkToFit="0" vertical="center" wrapText="0"/>
    </xf>
    <xf borderId="150" fillId="0" fontId="2" numFmtId="0" xfId="0" applyBorder="1" applyFont="1"/>
    <xf borderId="80" fillId="6" fontId="0" numFmtId="0" xfId="0" applyAlignment="1" applyBorder="1" applyFont="1">
      <alignment horizontal="center" shrinkToFit="0" wrapText="0"/>
    </xf>
    <xf borderId="81" fillId="6" fontId="0" numFmtId="0" xfId="0" applyAlignment="1" applyBorder="1" applyFont="1">
      <alignment shrinkToFit="0" wrapText="0"/>
    </xf>
    <xf borderId="57" fillId="19" fontId="0" numFmtId="9" xfId="0" applyAlignment="1" applyBorder="1" applyFont="1" applyNumberFormat="1">
      <alignment horizontal="center" shrinkToFit="0" wrapText="0"/>
    </xf>
    <xf borderId="56" fillId="19" fontId="0" numFmtId="9" xfId="0" applyAlignment="1" applyBorder="1" applyFont="1" applyNumberFormat="1">
      <alignment horizontal="center" shrinkToFit="0" wrapText="0"/>
    </xf>
    <xf borderId="56" fillId="20" fontId="0" numFmtId="9" xfId="0" applyAlignment="1" applyBorder="1" applyFont="1" applyNumberFormat="1">
      <alignment horizontal="center" shrinkToFit="0" wrapText="0"/>
    </xf>
    <xf borderId="57" fillId="20" fontId="0" numFmtId="9" xfId="0" applyAlignment="1" applyBorder="1" applyFont="1" applyNumberFormat="1">
      <alignment horizontal="center" shrinkToFit="0" wrapText="0"/>
    </xf>
    <xf borderId="0" fillId="0" fontId="0" numFmtId="9" xfId="0" applyAlignment="1" applyFont="1" applyNumberFormat="1">
      <alignment shrinkToFit="0" wrapText="0"/>
    </xf>
    <xf borderId="74" fillId="21" fontId="16" numFmtId="0" xfId="0" applyAlignment="1" applyBorder="1" applyFill="1" applyFont="1">
      <alignment horizontal="left" shrinkToFit="0" vertical="center" wrapText="0"/>
    </xf>
    <xf borderId="89" fillId="4" fontId="0" numFmtId="0" xfId="0" applyAlignment="1" applyBorder="1" applyFont="1">
      <alignment horizontal="left" shrinkToFit="0" vertical="center" wrapText="0"/>
    </xf>
    <xf borderId="89" fillId="22" fontId="0" numFmtId="9" xfId="0" applyAlignment="1" applyBorder="1" applyFill="1" applyFont="1" applyNumberFormat="1">
      <alignment horizontal="left" shrinkToFit="0" vertical="center" wrapText="0"/>
    </xf>
    <xf borderId="89" fillId="23" fontId="0" numFmtId="9" xfId="0" applyAlignment="1" applyBorder="1" applyFill="1" applyFont="1" applyNumberFormat="1">
      <alignment horizontal="left" shrinkToFit="0" vertical="center" wrapText="0"/>
    </xf>
    <xf borderId="75" fillId="24" fontId="0" numFmtId="0" xfId="0" applyAlignment="1" applyBorder="1" applyFill="1" applyFont="1">
      <alignment horizontal="left" shrinkToFit="0" vertical="center" wrapText="0"/>
    </xf>
    <xf borderId="46" fillId="21" fontId="16" numFmtId="0" xfId="0" applyAlignment="1" applyBorder="1" applyFont="1">
      <alignment horizontal="left" shrinkToFit="0" vertical="center" wrapText="0"/>
    </xf>
    <xf borderId="45" fillId="4" fontId="0" numFmtId="0" xfId="0" applyAlignment="1" applyBorder="1" applyFont="1">
      <alignment horizontal="left" shrinkToFit="0" vertical="center" wrapText="0"/>
    </xf>
    <xf borderId="45" fillId="22" fontId="0" numFmtId="9" xfId="0" applyAlignment="1" applyBorder="1" applyFont="1" applyNumberFormat="1">
      <alignment horizontal="left" shrinkToFit="0" vertical="center" wrapText="0"/>
    </xf>
    <xf borderId="45" fillId="23" fontId="0" numFmtId="9" xfId="0" applyAlignment="1" applyBorder="1" applyFont="1" applyNumberFormat="1">
      <alignment horizontal="left" shrinkToFit="0" vertical="center" wrapText="0"/>
    </xf>
    <xf borderId="54" fillId="24" fontId="0" numFmtId="0" xfId="0" applyAlignment="1" applyBorder="1" applyFont="1">
      <alignment horizontal="left" shrinkToFit="0" vertical="center" wrapText="0"/>
    </xf>
    <xf borderId="55" fillId="21" fontId="16" numFmtId="0" xfId="0" applyAlignment="1" applyBorder="1" applyFont="1">
      <alignment horizontal="left" shrinkToFit="0" vertical="center" wrapText="0"/>
    </xf>
    <xf borderId="56" fillId="4" fontId="0" numFmtId="0" xfId="0" applyAlignment="1" applyBorder="1" applyFont="1">
      <alignment horizontal="left" shrinkToFit="0" vertical="center" wrapText="0"/>
    </xf>
    <xf borderId="56" fillId="22" fontId="0" numFmtId="9" xfId="0" applyAlignment="1" applyBorder="1" applyFont="1" applyNumberFormat="1">
      <alignment horizontal="left" shrinkToFit="0" vertical="center" wrapText="0"/>
    </xf>
    <xf borderId="56" fillId="23" fontId="0" numFmtId="9" xfId="0" applyAlignment="1" applyBorder="1" applyFont="1" applyNumberFormat="1">
      <alignment horizontal="left" shrinkToFit="0" vertical="center" wrapText="0"/>
    </xf>
    <xf borderId="57" fillId="24" fontId="0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6A6A0"/>
          <bgColor rgb="FFF6A6A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0504D"/>
            </a:solidFill>
          </c:spPr>
          <c:cat>
            <c:strRef>
              <c:f>'2. Dados do adm-fin'!$A$15:$A$20</c:f>
            </c:strRef>
          </c:cat>
          <c:val>
            <c:numRef>
              <c:f>'2. Dados do adm-fin'!$B$15:$B$19</c:f>
            </c:numRef>
          </c:val>
        </c:ser>
        <c:axId val="1269553838"/>
        <c:axId val="455114130"/>
      </c:barChart>
      <c:catAx>
        <c:axId val="12695538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5114130"/>
      </c:catAx>
      <c:valAx>
        <c:axId val="45511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9553838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0504D"/>
            </a:solidFill>
          </c:spPr>
          <c:cat>
            <c:strRef>
              <c:f>'2. Dados do adm-fin'!$A$23:$A$28</c:f>
            </c:strRef>
          </c:cat>
          <c:val>
            <c:numRef>
              <c:f>'2. Dados do adm-fin'!$B$23:$B$28</c:f>
            </c:numRef>
          </c:val>
        </c:ser>
        <c:axId val="772131322"/>
        <c:axId val="1617323770"/>
      </c:barChart>
      <c:catAx>
        <c:axId val="7721313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17323770"/>
      </c:catAx>
      <c:valAx>
        <c:axId val="1617323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2131322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://xl/drawings/#CONSULTORIA!A1" TargetMode="External"/><Relationship Id="rId2" Type="http://schemas.openxmlformats.org/officeDocument/2006/relationships/hyperlink" Target="http://xl/drawings/#ASSESSORIA!A1" TargetMode="External"/><Relationship Id="rId3" Type="http://schemas.openxmlformats.org/officeDocument/2006/relationships/hyperlink" Target="http://xl/drawings/#'Gastos%20Operacionais%20Padr%C3%A3o'!A1" TargetMode="External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http://xl/drawings/#'Dados%20Assessoria'!A1" TargetMode="Externa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390525</xdr:colOff>
      <xdr:row>0</xdr:row>
      <xdr:rowOff>114300</xdr:rowOff>
    </xdr:from>
    <xdr:ext cx="8362950" cy="933450"/>
    <xdr:sp>
      <xdr:nvSpPr>
        <xdr:cNvPr id="3" name="Shape 3"/>
        <xdr:cNvSpPr/>
      </xdr:nvSpPr>
      <xdr:spPr>
        <a:xfrm>
          <a:off x="1162836" y="3311186"/>
          <a:ext cx="8366329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5400" u="none" cap="none" strike="noStrike">
              <a:solidFill>
                <a:schemeClr val="lt1"/>
              </a:solidFill>
            </a:rPr>
            <a:t>Planilha de Precificação 14.1</a:t>
          </a:r>
          <a:endParaRPr sz="1400"/>
        </a:p>
      </xdr:txBody>
    </xdr:sp>
    <xdr:clientData fLocksWithSheet="0"/>
  </xdr:oneCellAnchor>
  <xdr:oneCellAnchor>
    <xdr:from>
      <xdr:col>3</xdr:col>
      <xdr:colOff>428625</xdr:colOff>
      <xdr:row>8</xdr:row>
      <xdr:rowOff>133350</xdr:rowOff>
    </xdr:from>
    <xdr:ext cx="3352800" cy="1333500"/>
    <xdr:sp>
      <xdr:nvSpPr>
        <xdr:cNvPr id="4" name="Shape 4">
          <a:hlinkClick r:id="rId1"/>
        </xdr:cNvPr>
        <xdr:cNvSpPr/>
      </xdr:nvSpPr>
      <xdr:spPr>
        <a:xfrm>
          <a:off x="3669600" y="3113250"/>
          <a:ext cx="3352800" cy="1333500"/>
        </a:xfrm>
        <a:prstGeom prst="roundRect">
          <a:avLst>
            <a:gd fmla="val 16667" name="adj"/>
          </a:avLst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4000" u="none" cap="none" strike="noStrike">
              <a:solidFill>
                <a:srgbClr val="F7F5EA"/>
              </a:solidFill>
              <a:latin typeface="Calibri"/>
              <a:ea typeface="Calibri"/>
              <a:cs typeface="Calibri"/>
              <a:sym typeface="Calibri"/>
            </a:rPr>
            <a:t>Consultoria</a:t>
          </a:r>
          <a:endParaRPr b="1" i="0" sz="1100" u="none" cap="none" strike="noStrike">
            <a:solidFill>
              <a:srgbClr val="F7F5EA"/>
            </a:solidFill>
          </a:endParaRPr>
        </a:p>
      </xdr:txBody>
    </xdr:sp>
    <xdr:clientData fLocksWithSheet="0"/>
  </xdr:oneCellAnchor>
  <xdr:oneCellAnchor>
    <xdr:from>
      <xdr:col>10</xdr:col>
      <xdr:colOff>438150</xdr:colOff>
      <xdr:row>9</xdr:row>
      <xdr:rowOff>0</xdr:rowOff>
    </xdr:from>
    <xdr:ext cx="3352800" cy="1314450"/>
    <xdr:sp>
      <xdr:nvSpPr>
        <xdr:cNvPr id="5" name="Shape 5">
          <a:hlinkClick r:id="rId2"/>
        </xdr:cNvPr>
        <xdr:cNvSpPr/>
      </xdr:nvSpPr>
      <xdr:spPr>
        <a:xfrm>
          <a:off x="3669600" y="3122775"/>
          <a:ext cx="3352800" cy="1314450"/>
        </a:xfrm>
        <a:prstGeom prst="roundRect">
          <a:avLst>
            <a:gd fmla="val 16667" name="adj"/>
          </a:avLst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4000" u="none" cap="none" strike="noStrike">
              <a:solidFill>
                <a:srgbClr val="F7F5EA"/>
              </a:solidFill>
              <a:latin typeface="Calibri"/>
              <a:ea typeface="Calibri"/>
              <a:cs typeface="Calibri"/>
              <a:sym typeface="Calibri"/>
            </a:rPr>
            <a:t>Assessoria</a:t>
          </a:r>
          <a:endParaRPr b="1" i="0" sz="1100" u="none" cap="none" strike="noStrike">
            <a:solidFill>
              <a:srgbClr val="F7F5EA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17</xdr:row>
      <xdr:rowOff>9525</xdr:rowOff>
    </xdr:from>
    <xdr:ext cx="3343275" cy="1333500"/>
    <xdr:sp>
      <xdr:nvSpPr>
        <xdr:cNvPr id="6" name="Shape 6">
          <a:hlinkClick r:id="rId3"/>
        </xdr:cNvPr>
        <xdr:cNvSpPr/>
      </xdr:nvSpPr>
      <xdr:spPr>
        <a:xfrm>
          <a:off x="3679125" y="3113250"/>
          <a:ext cx="3333750" cy="1333500"/>
        </a:xfrm>
        <a:prstGeom prst="roundRect">
          <a:avLst>
            <a:gd fmla="val 16667" name="adj"/>
          </a:avLst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3600" u="none" cap="none" strike="noStrike">
              <a:solidFill>
                <a:srgbClr val="F7F5EA"/>
              </a:solidFill>
              <a:latin typeface="Calibri"/>
              <a:ea typeface="Calibri"/>
              <a:cs typeface="Calibri"/>
              <a:sym typeface="Calibri"/>
            </a:rPr>
            <a:t>Gastos Operacionais</a:t>
          </a:r>
          <a:endParaRPr b="1" i="0" sz="1050" u="none" cap="none" strike="noStrike">
            <a:solidFill>
              <a:srgbClr val="F7F5EA"/>
            </a:solidFill>
          </a:endParaRPr>
        </a:p>
      </xdr:txBody>
    </xdr:sp>
    <xdr:clientData fLocksWithSheet="0"/>
  </xdr:oneCellAnchor>
  <xdr:oneCellAnchor>
    <xdr:from>
      <xdr:col>0</xdr:col>
      <xdr:colOff>152400</xdr:colOff>
      <xdr:row>0</xdr:row>
      <xdr:rowOff>76200</xdr:rowOff>
    </xdr:from>
    <xdr:ext cx="971550" cy="10382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381000</xdr:colOff>
      <xdr:row>5</xdr:row>
      <xdr:rowOff>266700</xdr:rowOff>
    </xdr:from>
    <xdr:ext cx="1162050" cy="1257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5</xdr:row>
      <xdr:rowOff>209550</xdr:rowOff>
    </xdr:from>
    <xdr:ext cx="1162050" cy="1257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11</xdr:row>
      <xdr:rowOff>171450</xdr:rowOff>
    </xdr:from>
    <xdr:ext cx="3857625" cy="2571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590550</xdr:colOff>
      <xdr:row>11</xdr:row>
      <xdr:rowOff>171450</xdr:rowOff>
    </xdr:from>
    <xdr:ext cx="3324225" cy="2571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</xdr:colOff>
      <xdr:row>0</xdr:row>
      <xdr:rowOff>114300</xdr:rowOff>
    </xdr:from>
    <xdr:ext cx="10134600" cy="933450"/>
    <xdr:sp>
      <xdr:nvSpPr>
        <xdr:cNvPr id="6" name="Shape 6"/>
        <xdr:cNvSpPr/>
      </xdr:nvSpPr>
      <xdr:spPr>
        <a:xfrm>
          <a:off x="280062" y="3311186"/>
          <a:ext cx="10131876" cy="93762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5400" u="none" cap="none" strike="noStrike">
              <a:solidFill>
                <a:schemeClr val="lt1"/>
              </a:solidFill>
            </a:rPr>
            <a:t>Planilha de Precificação Assessoria</a:t>
          </a:r>
          <a:endParaRPr sz="1400"/>
        </a:p>
      </xdr:txBody>
    </xdr:sp>
    <xdr:clientData fLocksWithSheet="0"/>
  </xdr:oneCellAnchor>
  <xdr:oneCellAnchor>
    <xdr:from>
      <xdr:col>16</xdr:col>
      <xdr:colOff>228600</xdr:colOff>
      <xdr:row>76</xdr:row>
      <xdr:rowOff>171450</xdr:rowOff>
    </xdr:from>
    <xdr:ext cx="1771650" cy="657225"/>
    <xdr:sp>
      <xdr:nvSpPr>
        <xdr:cNvPr id="4" name="Shape 4">
          <a:hlinkClick r:id="rId1"/>
        </xdr:cNvPr>
        <xdr:cNvSpPr/>
      </xdr:nvSpPr>
      <xdr:spPr>
        <a:xfrm>
          <a:off x="4460175" y="3460913"/>
          <a:ext cx="1771650" cy="638175"/>
        </a:xfrm>
        <a:prstGeom prst="roundRect">
          <a:avLst>
            <a:gd fmla="val 16667" name="adj"/>
          </a:avLst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cap="none" strike="noStrike">
              <a:solidFill>
                <a:srgbClr val="F7F5EA"/>
              </a:solidFill>
              <a:latin typeface="Calibri"/>
              <a:ea typeface="Calibri"/>
              <a:cs typeface="Calibri"/>
              <a:sym typeface="Calibri"/>
            </a:rPr>
            <a:t>Dados ADM-FIN</a:t>
          </a:r>
          <a:endParaRPr b="1" i="0" sz="1600" u="none" cap="none" strike="noStrike">
            <a:solidFill>
              <a:srgbClr val="F7F5EA"/>
            </a:solidFill>
          </a:endParaRPr>
        </a:p>
      </xdr:txBody>
    </xdr:sp>
    <xdr:clientData fLocksWithSheet="0"/>
  </xdr:oneCellAnchor>
  <xdr:oneCellAnchor>
    <xdr:from>
      <xdr:col>0</xdr:col>
      <xdr:colOff>161925</xdr:colOff>
      <xdr:row>0</xdr:row>
      <xdr:rowOff>47625</xdr:rowOff>
    </xdr:from>
    <xdr:ext cx="971550" cy="1038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0</xdr:row>
      <xdr:rowOff>47625</xdr:rowOff>
    </xdr:from>
    <xdr:ext cx="971550" cy="1038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>
      <c r="A1" s="2"/>
      <c r="B1" s="4"/>
      <c r="C1" s="4"/>
      <c r="D1" s="4"/>
      <c r="E1" s="4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/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9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7"/>
      <c r="C6" s="17"/>
      <c r="D6" s="17"/>
      <c r="E6" s="17"/>
      <c r="F6" s="1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F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8.86"/>
    <col customWidth="1" min="2" max="2" width="26.71"/>
    <col customWidth="1" min="3" max="6" width="33.29"/>
    <col customWidth="1" min="7" max="8" width="15.0"/>
    <col customWidth="1" min="9" max="9" width="15.43"/>
    <col customWidth="1" min="10" max="17" width="8.86"/>
    <col customWidth="1" min="18" max="18" width="30.71"/>
    <col customWidth="1" min="19" max="21" width="21.71"/>
    <col customWidth="1" min="22" max="23" width="12.14"/>
    <col customWidth="1" min="24" max="24" width="3.43"/>
    <col customWidth="1" min="25" max="27" width="8.86"/>
    <col customWidth="1" min="28" max="28" width="26.43"/>
    <col customWidth="1" min="29" max="29" width="15.0"/>
  </cols>
  <sheetData>
    <row r="1" ht="13.5" customHeight="1">
      <c r="A1" s="1"/>
      <c r="B1" s="3" t="s">
        <v>0</v>
      </c>
      <c r="C1" s="5"/>
      <c r="D1" s="5"/>
      <c r="E1" s="5"/>
      <c r="F1" s="5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/>
      <c r="B2" s="8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1"/>
      <c r="B3" s="8"/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2"/>
      <c r="C4" s="13"/>
      <c r="D4" s="13"/>
      <c r="E4" s="13"/>
      <c r="F4" s="13"/>
      <c r="G4" s="13"/>
      <c r="H4" s="13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34.5" customHeight="1">
      <c r="A5" s="1"/>
      <c r="B5" s="16"/>
      <c r="C5" s="18"/>
      <c r="D5" s="18"/>
      <c r="E5" s="18"/>
      <c r="F5" s="18"/>
      <c r="G5" s="18"/>
      <c r="H5" s="18"/>
      <c r="I5" s="2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42.0" customHeight="1">
      <c r="A6" s="1"/>
      <c r="B6" s="21" t="s">
        <v>1</v>
      </c>
      <c r="C6" s="22"/>
      <c r="D6" s="22"/>
      <c r="E6" s="22"/>
      <c r="F6" s="22"/>
      <c r="G6" s="22"/>
      <c r="H6" s="22"/>
      <c r="I6" s="2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4"/>
      <c r="C7" s="25" t="s">
        <v>2</v>
      </c>
      <c r="D7" s="26"/>
      <c r="E7" s="26"/>
      <c r="F7" s="26"/>
      <c r="G7" s="27"/>
      <c r="H7" s="1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4"/>
      <c r="C8" s="29" t="s">
        <v>3</v>
      </c>
      <c r="D8" s="30"/>
      <c r="E8" s="31"/>
      <c r="F8" s="32">
        <v>4.0</v>
      </c>
      <c r="G8" s="33"/>
      <c r="H8" s="1"/>
      <c r="I8" s="2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4"/>
      <c r="C9" s="29" t="s">
        <v>4</v>
      </c>
      <c r="D9" s="30"/>
      <c r="E9" s="31"/>
      <c r="F9" s="32">
        <v>20.0</v>
      </c>
      <c r="G9" s="33"/>
      <c r="H9" s="1"/>
      <c r="I9" s="2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4"/>
      <c r="C10" s="29" t="s">
        <v>5</v>
      </c>
      <c r="D10" s="30"/>
      <c r="E10" s="31"/>
      <c r="F10" s="32">
        <v>10.0</v>
      </c>
      <c r="G10" s="33"/>
      <c r="H10" s="1"/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4"/>
      <c r="C11" s="29" t="s">
        <v>6</v>
      </c>
      <c r="D11" s="30"/>
      <c r="E11" s="31"/>
      <c r="F11" s="34">
        <v>3.0</v>
      </c>
      <c r="G11" s="33"/>
      <c r="H11" s="1"/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1"/>
      <c r="B12" s="35"/>
      <c r="C12" s="36" t="s">
        <v>7</v>
      </c>
      <c r="D12" s="37"/>
      <c r="E12" s="38"/>
      <c r="F12" s="39">
        <f>F8*2*F9/F10*F11</f>
        <v>48</v>
      </c>
      <c r="G12" s="40"/>
      <c r="H12" s="41"/>
      <c r="I12" s="4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43"/>
      <c r="C13" s="5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/>
      <c r="B14" s="12"/>
      <c r="C14" s="13"/>
      <c r="D14" s="13"/>
      <c r="E14" s="13"/>
      <c r="F14" s="13"/>
      <c r="G14" s="13"/>
      <c r="H14" s="13"/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37.5" customHeight="1">
      <c r="A15" s="1"/>
      <c r="B15" s="44" t="s">
        <v>8</v>
      </c>
      <c r="C15" s="22"/>
      <c r="D15" s="22"/>
      <c r="E15" s="22"/>
      <c r="F15" s="22"/>
      <c r="G15" s="22"/>
      <c r="H15" s="22"/>
      <c r="I15" s="23"/>
      <c r="J15" s="1"/>
      <c r="K15" s="1"/>
      <c r="L15" s="1"/>
      <c r="M15" s="1"/>
      <c r="N15" s="1"/>
      <c r="O15" s="1"/>
      <c r="P15" s="1"/>
      <c r="Q15" s="1"/>
      <c r="R15" s="45" t="s">
        <v>9</v>
      </c>
      <c r="S15" s="5"/>
      <c r="T15" s="5"/>
      <c r="U15" s="5"/>
      <c r="V15" s="5"/>
      <c r="W15" s="5"/>
      <c r="X15" s="6"/>
      <c r="Y15" s="1"/>
      <c r="Z15" s="1"/>
      <c r="AA15" s="1"/>
      <c r="AB15" s="1"/>
      <c r="AC15" s="1"/>
    </row>
    <row r="16">
      <c r="A16" s="1"/>
      <c r="B16" s="24"/>
      <c r="C16" s="46"/>
      <c r="D16" s="47" t="s">
        <v>10</v>
      </c>
      <c r="E16" s="5"/>
      <c r="F16" s="5"/>
      <c r="G16" s="6"/>
      <c r="H16" s="46"/>
      <c r="I16" s="48"/>
      <c r="J16" s="1"/>
      <c r="K16" s="1"/>
      <c r="L16" s="1"/>
      <c r="M16" s="1"/>
      <c r="N16" s="1"/>
      <c r="O16" s="1"/>
      <c r="P16" s="1"/>
      <c r="Q16" s="1"/>
      <c r="R16" s="49"/>
      <c r="S16" s="17"/>
      <c r="T16" s="17"/>
      <c r="U16" s="17"/>
      <c r="V16" s="17"/>
      <c r="W16" s="17"/>
      <c r="X16" s="50"/>
      <c r="Y16" s="1"/>
      <c r="Z16" s="51" t="s">
        <v>11</v>
      </c>
      <c r="AA16" s="1"/>
      <c r="AB16" s="52" t="s">
        <v>12</v>
      </c>
      <c r="AC16" s="53" t="s">
        <v>13</v>
      </c>
    </row>
    <row r="17" ht="15.75" customHeight="1">
      <c r="A17" s="1"/>
      <c r="B17" s="54"/>
      <c r="C17" s="55"/>
      <c r="D17" s="12"/>
      <c r="E17" s="13"/>
      <c r="F17" s="13"/>
      <c r="G17" s="14"/>
      <c r="H17" s="55"/>
      <c r="I17" s="56"/>
      <c r="J17" s="1"/>
      <c r="K17" s="1"/>
      <c r="L17" s="1"/>
      <c r="M17" s="1"/>
      <c r="N17" s="1"/>
      <c r="O17" s="1"/>
      <c r="P17" s="1"/>
      <c r="Q17" s="1"/>
      <c r="R17" s="57" t="str">
        <f t="shared" ref="R17:W17" si="1">C18</f>
        <v>Nome do Consultor 1</v>
      </c>
      <c r="S17" s="57" t="str">
        <f t="shared" si="1"/>
        <v>Nome do Consultor 2</v>
      </c>
      <c r="T17" s="57" t="str">
        <f t="shared" si="1"/>
        <v>Nome do Consultor 3</v>
      </c>
      <c r="U17" s="57" t="str">
        <f t="shared" si="1"/>
        <v>Nome do Consultor 4</v>
      </c>
      <c r="V17" s="57" t="str">
        <f t="shared" si="1"/>
        <v>Consultor 5</v>
      </c>
      <c r="W17" s="57" t="str">
        <f t="shared" si="1"/>
        <v>Consultor 6</v>
      </c>
      <c r="X17" s="1">
        <f>IF(E88="SIM",30,IF(E88="RISCO",20,IF(E88="NÃO",10)))</f>
        <v>30</v>
      </c>
      <c r="Y17" s="1"/>
      <c r="Z17" s="51" t="s">
        <v>14</v>
      </c>
      <c r="AA17" s="1"/>
      <c r="AB17" s="58" t="s">
        <v>15</v>
      </c>
      <c r="AC17" s="53" t="s">
        <v>16</v>
      </c>
    </row>
    <row r="18">
      <c r="A18" s="1"/>
      <c r="B18" s="59"/>
      <c r="C18" s="60" t="s">
        <v>17</v>
      </c>
      <c r="D18" s="60" t="s">
        <v>18</v>
      </c>
      <c r="E18" s="60" t="s">
        <v>19</v>
      </c>
      <c r="F18" s="60" t="s">
        <v>20</v>
      </c>
      <c r="G18" s="60" t="s">
        <v>21</v>
      </c>
      <c r="H18" s="60" t="s">
        <v>22</v>
      </c>
      <c r="I18" s="61"/>
      <c r="J18" s="1"/>
      <c r="K18" s="1"/>
      <c r="L18" s="1"/>
      <c r="M18" s="1"/>
      <c r="N18" s="1"/>
      <c r="O18" s="1"/>
      <c r="P18" s="1"/>
      <c r="Q18" s="1"/>
      <c r="R18" s="62">
        <f t="shared" ref="R18:W18" si="2">((IF(OR(C22="não",C22="gelog"),IF(C21="1º",500,IF(C21="2º",600,700)),IF(C22="glean 2º módulo",IF(C21="1º",600,IF(C21="2º",700,800)),IF(C22="glean 3º módulo",IF(C21="1º",700,800),IF(C22="glean 4º módulo",800,0)))))/20)*C20</f>
        <v>500</v>
      </c>
      <c r="S18" s="62">
        <f t="shared" si="2"/>
        <v>500</v>
      </c>
      <c r="T18" s="62">
        <f t="shared" si="2"/>
        <v>0</v>
      </c>
      <c r="U18" s="62">
        <f t="shared" si="2"/>
        <v>0</v>
      </c>
      <c r="V18" s="62">
        <f t="shared" si="2"/>
        <v>0</v>
      </c>
      <c r="W18" s="62">
        <f t="shared" si="2"/>
        <v>0</v>
      </c>
      <c r="X18" s="63"/>
      <c r="Y18" s="1"/>
      <c r="Z18" s="51" t="s">
        <v>23</v>
      </c>
      <c r="AA18" s="1"/>
      <c r="AB18" s="58" t="s">
        <v>24</v>
      </c>
      <c r="AC18" s="53" t="s">
        <v>25</v>
      </c>
    </row>
    <row r="19">
      <c r="A19" s="1"/>
      <c r="B19" s="57"/>
      <c r="C19" s="64"/>
      <c r="D19" s="64"/>
      <c r="E19" s="65"/>
      <c r="F19" s="66"/>
      <c r="G19" s="67"/>
      <c r="H19" s="68"/>
      <c r="I19" s="69"/>
      <c r="J19" s="1"/>
      <c r="K19" s="1"/>
      <c r="L19" s="1"/>
      <c r="M19" s="1"/>
      <c r="N19" s="1"/>
      <c r="O19" s="1"/>
      <c r="P19" s="1"/>
      <c r="Q19" s="1"/>
      <c r="R19" s="62">
        <f t="shared" ref="R19:W19" si="3">IF(R18="","",R18/4)</f>
        <v>125</v>
      </c>
      <c r="S19" s="70">
        <f t="shared" si="3"/>
        <v>125</v>
      </c>
      <c r="T19" s="70">
        <f t="shared" si="3"/>
        <v>0</v>
      </c>
      <c r="U19" s="70">
        <f t="shared" si="3"/>
        <v>0</v>
      </c>
      <c r="V19" s="70">
        <f t="shared" si="3"/>
        <v>0</v>
      </c>
      <c r="W19" s="71">
        <f t="shared" si="3"/>
        <v>0</v>
      </c>
      <c r="X19" s="63"/>
      <c r="Y19" s="1"/>
      <c r="Z19" s="51" t="s">
        <v>26</v>
      </c>
      <c r="AA19" s="1"/>
      <c r="AB19" s="58" t="s">
        <v>27</v>
      </c>
      <c r="AC19" s="53" t="s">
        <v>28</v>
      </c>
    </row>
    <row r="20">
      <c r="A20" s="1"/>
      <c r="B20" s="72" t="s">
        <v>29</v>
      </c>
      <c r="C20" s="60">
        <v>20.0</v>
      </c>
      <c r="D20" s="60">
        <v>20.0</v>
      </c>
      <c r="E20" s="60"/>
      <c r="F20" s="60"/>
      <c r="G20" s="60"/>
      <c r="H20" s="73"/>
      <c r="I20" s="69"/>
      <c r="J20" s="1"/>
      <c r="K20" s="1"/>
      <c r="L20" s="1"/>
      <c r="M20" s="1"/>
      <c r="N20" s="1"/>
      <c r="O20" s="1"/>
      <c r="P20" s="1"/>
      <c r="Q20" s="1"/>
      <c r="R20" s="74" t="s">
        <v>30</v>
      </c>
      <c r="S20" s="70">
        <f>SUM(R19:W19)</f>
        <v>250</v>
      </c>
      <c r="T20" s="70"/>
      <c r="U20" s="70"/>
      <c r="V20" s="70"/>
      <c r="W20" s="71"/>
      <c r="X20" s="63">
        <v>1.0</v>
      </c>
      <c r="Y20" s="1"/>
      <c r="Z20" s="51" t="s">
        <v>31</v>
      </c>
      <c r="AA20" s="1"/>
      <c r="AB20" s="58" t="s">
        <v>32</v>
      </c>
      <c r="AC20" s="53" t="s">
        <v>33</v>
      </c>
    </row>
    <row r="21">
      <c r="A21" s="1"/>
      <c r="B21" s="72" t="s">
        <v>34</v>
      </c>
      <c r="C21" s="75" t="s">
        <v>35</v>
      </c>
      <c r="D21" s="75" t="s">
        <v>35</v>
      </c>
      <c r="E21" s="75"/>
      <c r="F21" s="75"/>
      <c r="G21" s="75"/>
      <c r="H21" s="76"/>
      <c r="I21" s="69"/>
      <c r="J21" s="1"/>
      <c r="K21" s="1"/>
      <c r="L21" s="1"/>
      <c r="M21" s="1"/>
      <c r="N21" s="1"/>
      <c r="O21" s="1"/>
      <c r="P21" s="1"/>
      <c r="Q21" s="1"/>
      <c r="R21" s="74"/>
      <c r="S21" s="77"/>
      <c r="T21" s="77"/>
      <c r="U21" s="77"/>
      <c r="V21" s="77"/>
      <c r="W21" s="78"/>
      <c r="X21" s="63">
        <v>2.0</v>
      </c>
      <c r="Y21" s="1"/>
      <c r="Z21" s="51" t="s">
        <v>36</v>
      </c>
      <c r="AA21" s="1"/>
      <c r="AB21" s="58" t="s">
        <v>37</v>
      </c>
      <c r="AC21" s="53" t="s">
        <v>38</v>
      </c>
    </row>
    <row r="22" ht="15.75" customHeight="1">
      <c r="A22" s="1"/>
      <c r="B22" s="79" t="s">
        <v>39</v>
      </c>
      <c r="C22" s="80" t="s">
        <v>40</v>
      </c>
      <c r="D22" s="80" t="s">
        <v>40</v>
      </c>
      <c r="E22" s="80"/>
      <c r="F22" s="80"/>
      <c r="G22" s="80"/>
      <c r="H22" s="81"/>
      <c r="I22" s="82"/>
      <c r="J22" s="1"/>
      <c r="K22" s="1"/>
      <c r="L22" s="1"/>
      <c r="M22" s="1"/>
      <c r="N22" s="1"/>
      <c r="O22" s="1"/>
      <c r="P22" s="1"/>
      <c r="Q22" s="1"/>
      <c r="R22" s="74"/>
      <c r="S22" s="83">
        <v>0.0</v>
      </c>
      <c r="T22" s="77" t="s">
        <v>35</v>
      </c>
      <c r="U22" s="77" t="s">
        <v>34</v>
      </c>
      <c r="V22" s="77" t="s">
        <v>41</v>
      </c>
      <c r="W22" s="78">
        <v>6.25</v>
      </c>
      <c r="X22" s="63">
        <v>3.0</v>
      </c>
      <c r="Y22" s="1"/>
      <c r="Z22" s="51" t="s">
        <v>42</v>
      </c>
      <c r="AA22" s="1"/>
      <c r="AB22" s="58" t="s">
        <v>43</v>
      </c>
      <c r="AC22" s="53" t="s">
        <v>44</v>
      </c>
    </row>
    <row r="23" ht="15.75" customHeight="1">
      <c r="A23" s="1"/>
      <c r="B23" s="84"/>
      <c r="C23" s="85"/>
      <c r="D23" s="85"/>
      <c r="E23" s="85"/>
      <c r="F23" s="85"/>
      <c r="G23" s="85"/>
      <c r="H23" s="85"/>
      <c r="I23" s="86"/>
      <c r="J23" s="1"/>
      <c r="K23" s="1"/>
      <c r="L23" s="1"/>
      <c r="M23" s="1"/>
      <c r="N23" s="1"/>
      <c r="O23" s="1"/>
      <c r="P23" s="1"/>
      <c r="Q23" s="1"/>
      <c r="R23" s="74"/>
      <c r="S23" s="83">
        <v>0.05</v>
      </c>
      <c r="T23" s="77" t="s">
        <v>45</v>
      </c>
      <c r="U23" s="77" t="s">
        <v>34</v>
      </c>
      <c r="V23" s="77"/>
      <c r="W23" s="78">
        <v>7.5</v>
      </c>
      <c r="X23" s="63">
        <v>4.0</v>
      </c>
      <c r="Y23" s="1"/>
      <c r="Z23" s="51" t="s">
        <v>46</v>
      </c>
      <c r="AA23" s="1"/>
      <c r="AB23" s="58" t="s">
        <v>47</v>
      </c>
      <c r="AC23" s="53" t="s">
        <v>48</v>
      </c>
    </row>
    <row r="24" ht="18.75" customHeight="1">
      <c r="A24" s="1"/>
      <c r="B24" s="24"/>
      <c r="C24" s="1"/>
      <c r="D24" s="87" t="s">
        <v>49</v>
      </c>
      <c r="E24" s="26"/>
      <c r="F24" s="26"/>
      <c r="G24" s="27"/>
      <c r="H24" s="1"/>
      <c r="I24" s="28"/>
      <c r="J24" s="1"/>
      <c r="K24" s="1"/>
      <c r="L24" s="1"/>
      <c r="M24" s="1"/>
      <c r="N24" s="1"/>
      <c r="O24" s="1"/>
      <c r="P24" s="1"/>
      <c r="Q24" s="1"/>
      <c r="R24" s="74" t="s">
        <v>50</v>
      </c>
      <c r="S24" s="83">
        <v>0.1</v>
      </c>
      <c r="T24" s="77" t="s">
        <v>51</v>
      </c>
      <c r="U24" s="77" t="s">
        <v>34</v>
      </c>
      <c r="V24" s="77"/>
      <c r="W24" s="78">
        <v>8.75</v>
      </c>
      <c r="X24" s="63">
        <v>5.0</v>
      </c>
      <c r="Y24" s="1"/>
      <c r="Z24" s="51" t="s">
        <v>52</v>
      </c>
      <c r="AA24" s="1"/>
      <c r="AB24" s="58" t="s">
        <v>53</v>
      </c>
      <c r="AC24" s="1"/>
    </row>
    <row r="25">
      <c r="A25" s="1"/>
      <c r="B25" s="24"/>
      <c r="C25" s="1"/>
      <c r="D25" s="88" t="s">
        <v>54</v>
      </c>
      <c r="E25" s="31"/>
      <c r="F25" s="90">
        <v>12.0</v>
      </c>
      <c r="G25" s="33"/>
      <c r="H25" s="1"/>
      <c r="I25" s="28"/>
      <c r="J25" s="1"/>
      <c r="K25" s="1"/>
      <c r="L25" s="1"/>
      <c r="M25" s="1"/>
      <c r="N25" s="1"/>
      <c r="O25" s="1"/>
      <c r="P25" s="1"/>
      <c r="Q25" s="1"/>
      <c r="R25" s="74" t="s">
        <v>56</v>
      </c>
      <c r="S25" s="83">
        <v>0.15</v>
      </c>
      <c r="T25" s="77" t="s">
        <v>57</v>
      </c>
      <c r="U25" s="77"/>
      <c r="V25" s="77"/>
      <c r="W25" s="78"/>
      <c r="X25" s="63">
        <v>6.0</v>
      </c>
      <c r="Y25" s="1"/>
      <c r="Z25" s="1"/>
      <c r="AA25" s="1"/>
      <c r="AB25" s="58" t="s">
        <v>58</v>
      </c>
      <c r="AC25" s="1"/>
    </row>
    <row r="26" ht="15.75" customHeight="1">
      <c r="A26" s="1"/>
      <c r="B26" s="24"/>
      <c r="C26" s="1"/>
      <c r="D26" s="94" t="s">
        <v>59</v>
      </c>
      <c r="E26" s="38"/>
      <c r="F26" s="97">
        <f>COUNTA(C20:H20)</f>
        <v>2</v>
      </c>
      <c r="G26" s="40"/>
      <c r="H26" s="1"/>
      <c r="I26" s="28"/>
      <c r="J26" s="1"/>
      <c r="K26" s="1"/>
      <c r="L26" s="1"/>
      <c r="M26" s="1"/>
      <c r="N26" s="1"/>
      <c r="O26" s="1"/>
      <c r="P26" s="1"/>
      <c r="Q26" s="1"/>
      <c r="R26" s="74" t="s">
        <v>62</v>
      </c>
      <c r="S26" s="77"/>
      <c r="T26" s="77" t="s">
        <v>63</v>
      </c>
      <c r="U26" s="77"/>
      <c r="V26" s="77"/>
      <c r="W26" s="78"/>
      <c r="X26" s="63">
        <v>7.0</v>
      </c>
      <c r="Y26" s="1"/>
      <c r="Z26" s="1"/>
      <c r="AA26" s="1"/>
      <c r="AB26" s="58" t="s">
        <v>64</v>
      </c>
      <c r="AC26" s="1"/>
    </row>
    <row r="27" ht="15.75" customHeight="1">
      <c r="A27" s="1"/>
      <c r="B27" s="24"/>
      <c r="C27" s="1"/>
      <c r="D27" s="99"/>
      <c r="E27" s="99"/>
      <c r="F27" s="101"/>
      <c r="G27" s="101"/>
      <c r="H27" s="1"/>
      <c r="I27" s="28"/>
      <c r="J27" s="1"/>
      <c r="K27" s="1"/>
      <c r="L27" s="1"/>
      <c r="M27" s="1"/>
      <c r="N27" s="1"/>
      <c r="O27" s="1"/>
      <c r="P27" s="1"/>
      <c r="Q27" s="1"/>
      <c r="R27" s="103" t="s">
        <v>40</v>
      </c>
      <c r="S27" s="104"/>
      <c r="T27" s="104"/>
      <c r="U27" s="104"/>
      <c r="V27" s="104"/>
      <c r="W27" s="106"/>
      <c r="X27" s="63"/>
      <c r="Y27" s="1"/>
      <c r="Z27" s="1"/>
      <c r="AA27" s="1"/>
      <c r="AB27" s="58" t="s">
        <v>66</v>
      </c>
      <c r="AC27" s="1"/>
    </row>
    <row r="28" ht="15.75" customHeight="1">
      <c r="A28" s="1"/>
      <c r="B28" s="108"/>
      <c r="C28" s="5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03" t="s">
        <v>70</v>
      </c>
      <c r="S28" s="104"/>
      <c r="T28" s="104"/>
      <c r="U28" s="104"/>
      <c r="V28" s="104"/>
      <c r="W28" s="106"/>
      <c r="X28" s="63"/>
      <c r="Y28" s="1"/>
      <c r="Z28" s="1"/>
      <c r="AA28" s="1"/>
      <c r="AB28" s="58" t="s">
        <v>71</v>
      </c>
      <c r="AC28" s="1"/>
    </row>
    <row r="29" ht="15.75" customHeight="1">
      <c r="A29" s="1"/>
      <c r="B29" s="12"/>
      <c r="C29" s="13"/>
      <c r="D29" s="13"/>
      <c r="E29" s="13"/>
      <c r="F29" s="13"/>
      <c r="G29" s="13"/>
      <c r="H29" s="13"/>
      <c r="I29" s="14"/>
      <c r="J29" s="1"/>
      <c r="K29" s="1"/>
      <c r="L29" s="1"/>
      <c r="M29" s="1"/>
      <c r="N29" s="1"/>
      <c r="O29" s="1"/>
      <c r="P29" s="1"/>
      <c r="Q29" s="1"/>
      <c r="R29" s="103" t="s">
        <v>72</v>
      </c>
      <c r="S29" s="104"/>
      <c r="T29" s="104"/>
      <c r="U29" s="104"/>
      <c r="V29" s="104"/>
      <c r="W29" s="106"/>
      <c r="X29" s="63"/>
      <c r="Y29" s="1"/>
      <c r="Z29" s="1"/>
      <c r="AA29" s="1"/>
      <c r="AB29" s="112" t="s">
        <v>73</v>
      </c>
      <c r="AC29" s="1"/>
    </row>
    <row r="30" ht="15.75" customHeight="1">
      <c r="A30" s="1"/>
      <c r="B30" s="47" t="s">
        <v>75</v>
      </c>
      <c r="C30" s="5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03" t="s">
        <v>76</v>
      </c>
      <c r="S30" s="104"/>
      <c r="T30" s="104"/>
      <c r="U30" s="104"/>
      <c r="V30" s="104"/>
      <c r="W30" s="106"/>
      <c r="X30" s="63"/>
      <c r="Y30" s="1"/>
      <c r="Z30" s="1"/>
      <c r="AA30" s="1"/>
      <c r="AB30" s="1"/>
      <c r="AC30" s="1"/>
    </row>
    <row r="31" ht="15.75" customHeight="1">
      <c r="A31" s="1"/>
      <c r="B31" s="12"/>
      <c r="C31" s="13"/>
      <c r="D31" s="13"/>
      <c r="E31" s="13"/>
      <c r="F31" s="13"/>
      <c r="G31" s="13"/>
      <c r="H31" s="13"/>
      <c r="I31" s="14"/>
      <c r="J31" s="1"/>
      <c r="K31" s="1"/>
      <c r="L31" s="1"/>
      <c r="M31" s="1"/>
      <c r="N31" s="1"/>
      <c r="O31" s="1"/>
      <c r="P31" s="1"/>
      <c r="Q31" s="1"/>
      <c r="R31" s="103" t="s">
        <v>77</v>
      </c>
      <c r="S31" s="104"/>
      <c r="T31" s="104"/>
      <c r="U31" s="104"/>
      <c r="V31" s="104"/>
      <c r="W31" s="106"/>
      <c r="X31" s="63"/>
      <c r="Y31" s="1"/>
      <c r="Z31" s="1"/>
      <c r="AA31" s="1"/>
      <c r="AB31" s="1"/>
      <c r="AC31" s="1"/>
    </row>
    <row r="32" ht="15.75" customHeight="1">
      <c r="A32" s="1"/>
      <c r="B32" s="115"/>
      <c r="C32" s="6"/>
      <c r="D32" s="117" t="s">
        <v>78</v>
      </c>
      <c r="E32" s="118" t="s">
        <v>46</v>
      </c>
      <c r="F32" s="120" t="s">
        <v>48</v>
      </c>
      <c r="G32" s="122"/>
      <c r="H32" s="123"/>
      <c r="I32" s="23"/>
      <c r="J32" s="1"/>
      <c r="K32" s="1"/>
      <c r="L32" s="1"/>
      <c r="M32" s="1"/>
      <c r="N32" s="1"/>
      <c r="O32" s="1"/>
      <c r="P32" s="1"/>
      <c r="Q32" s="1"/>
      <c r="R32" s="103"/>
      <c r="S32" s="104"/>
      <c r="T32" s="104"/>
      <c r="U32" s="104"/>
      <c r="V32" s="104"/>
      <c r="W32" s="106"/>
      <c r="X32" s="63"/>
      <c r="Y32" s="1"/>
      <c r="Z32" s="1"/>
      <c r="AA32" s="1"/>
      <c r="AB32" s="1"/>
      <c r="AC32" s="1"/>
    </row>
    <row r="33" ht="15.75" customHeight="1">
      <c r="A33" s="1"/>
      <c r="B33" s="8"/>
      <c r="C33" s="10"/>
      <c r="D33" s="125" t="s">
        <v>81</v>
      </c>
      <c r="E33" s="147" t="s">
        <v>15</v>
      </c>
      <c r="F33" s="149"/>
      <c r="I33" s="10"/>
      <c r="J33" s="1"/>
      <c r="K33" s="1"/>
      <c r="L33" s="1"/>
      <c r="M33" s="1"/>
      <c r="N33" s="1"/>
      <c r="O33" s="1"/>
      <c r="P33" s="1"/>
      <c r="Q33" s="1"/>
      <c r="R33" s="103"/>
      <c r="S33" s="104"/>
      <c r="T33" s="104"/>
      <c r="U33" s="104"/>
      <c r="V33" s="104"/>
      <c r="W33" s="106"/>
      <c r="X33" s="63"/>
      <c r="Y33" s="1"/>
      <c r="Z33" s="1"/>
      <c r="AA33" s="1"/>
      <c r="AB33" s="1"/>
      <c r="AC33" s="1"/>
    </row>
    <row r="34" ht="15.75" customHeight="1">
      <c r="A34" s="1"/>
      <c r="B34" s="8"/>
      <c r="C34" s="10"/>
      <c r="D34" s="125" t="s">
        <v>99</v>
      </c>
      <c r="E34" s="147" t="s">
        <v>15</v>
      </c>
      <c r="F34" s="8"/>
      <c r="I34" s="10"/>
      <c r="J34" s="1"/>
      <c r="K34" s="1"/>
      <c r="L34" s="1"/>
      <c r="M34" s="1"/>
      <c r="N34" s="1"/>
      <c r="O34" s="1"/>
      <c r="P34" s="1"/>
      <c r="Q34" s="1"/>
      <c r="R34" s="103"/>
      <c r="S34" s="104"/>
      <c r="T34" s="104"/>
      <c r="U34" s="104"/>
      <c r="V34" s="104"/>
      <c r="W34" s="106"/>
      <c r="X34" s="63"/>
      <c r="Y34" s="1"/>
      <c r="Z34" s="1"/>
      <c r="AA34" s="1"/>
      <c r="AB34" s="1"/>
      <c r="AC34" s="1"/>
    </row>
    <row r="35" ht="15.75" customHeight="1">
      <c r="A35" s="1"/>
      <c r="B35" s="8"/>
      <c r="C35" s="10"/>
      <c r="D35" s="125" t="s">
        <v>101</v>
      </c>
      <c r="E35" s="147" t="s">
        <v>27</v>
      </c>
      <c r="F35" s="8"/>
      <c r="I35" s="10"/>
      <c r="J35" s="1"/>
      <c r="K35" s="1"/>
      <c r="L35" s="1"/>
      <c r="M35" s="1"/>
      <c r="N35" s="1"/>
      <c r="O35" s="1"/>
      <c r="P35" s="1"/>
      <c r="Q35" s="1"/>
      <c r="R35" s="103"/>
      <c r="S35" s="104"/>
      <c r="T35" s="104"/>
      <c r="U35" s="104"/>
      <c r="V35" s="104"/>
      <c r="W35" s="106"/>
      <c r="X35" s="63"/>
      <c r="Y35" s="1"/>
      <c r="Z35" s="1"/>
      <c r="AA35" s="1"/>
      <c r="AB35" s="1"/>
      <c r="AC35" s="1"/>
    </row>
    <row r="36" ht="15.75" customHeight="1">
      <c r="A36" s="1"/>
      <c r="B36" s="8"/>
      <c r="C36" s="10"/>
      <c r="D36" s="125" t="s">
        <v>102</v>
      </c>
      <c r="E36" s="147" t="s">
        <v>43</v>
      </c>
      <c r="F36" s="8"/>
      <c r="I36" s="10"/>
      <c r="J36" s="1"/>
      <c r="K36" s="1"/>
      <c r="L36" s="1"/>
      <c r="M36" s="1"/>
      <c r="N36" s="1"/>
      <c r="O36" s="1"/>
      <c r="P36" s="1"/>
      <c r="Q36" s="1"/>
      <c r="R36" s="103"/>
      <c r="S36" s="104"/>
      <c r="T36" s="104"/>
      <c r="U36" s="104"/>
      <c r="V36" s="104"/>
      <c r="W36" s="106"/>
      <c r="X36" s="63"/>
      <c r="Y36" s="1"/>
      <c r="Z36" s="1"/>
      <c r="AA36" s="1"/>
      <c r="AB36" s="1"/>
      <c r="AC36" s="1"/>
    </row>
    <row r="37" ht="15.75" customHeight="1">
      <c r="A37" s="1"/>
      <c r="B37" s="8"/>
      <c r="C37" s="10"/>
      <c r="D37" s="125" t="s">
        <v>69</v>
      </c>
      <c r="E37" s="147" t="s">
        <v>53</v>
      </c>
      <c r="F37" s="8"/>
      <c r="I37" s="10"/>
      <c r="J37" s="1"/>
      <c r="K37" s="1"/>
      <c r="L37" s="1"/>
      <c r="M37" s="1"/>
      <c r="N37" s="1"/>
      <c r="O37" s="1"/>
      <c r="P37" s="1"/>
      <c r="Q37" s="1"/>
      <c r="R37" s="103"/>
      <c r="S37" s="104"/>
      <c r="T37" s="104"/>
      <c r="U37" s="104"/>
      <c r="V37" s="104"/>
      <c r="W37" s="106"/>
      <c r="X37" s="63"/>
      <c r="Y37" s="1"/>
      <c r="Z37" s="1"/>
      <c r="AA37" s="1"/>
      <c r="AB37" s="1"/>
      <c r="AC37" s="1"/>
    </row>
    <row r="38" ht="15.75" customHeight="1">
      <c r="A38" s="1"/>
      <c r="B38" s="8"/>
      <c r="C38" s="10"/>
      <c r="D38" s="125" t="s">
        <v>104</v>
      </c>
      <c r="E38" s="147" t="s">
        <v>27</v>
      </c>
      <c r="F38" s="8"/>
      <c r="I38" s="10"/>
      <c r="J38" s="1"/>
      <c r="K38" s="1"/>
      <c r="L38" s="1"/>
      <c r="M38" s="1"/>
      <c r="N38" s="1"/>
      <c r="O38" s="1"/>
      <c r="P38" s="1"/>
      <c r="Q38" s="1"/>
      <c r="R38" s="103"/>
      <c r="S38" s="104"/>
      <c r="T38" s="104"/>
      <c r="U38" s="104"/>
      <c r="V38" s="104"/>
      <c r="W38" s="106"/>
      <c r="X38" s="63"/>
      <c r="Y38" s="1"/>
      <c r="Z38" s="1"/>
      <c r="AA38" s="1"/>
      <c r="AB38" s="1"/>
      <c r="AC38" s="1"/>
    </row>
    <row r="39" ht="15.75" customHeight="1">
      <c r="A39" s="1"/>
      <c r="B39" s="49"/>
      <c r="C39" s="50"/>
      <c r="D39" s="154" t="s">
        <v>31</v>
      </c>
      <c r="E39" s="156" t="s">
        <v>71</v>
      </c>
      <c r="F39" s="8"/>
      <c r="I39" s="10"/>
      <c r="J39" s="1"/>
      <c r="K39" s="1"/>
      <c r="L39" s="1"/>
      <c r="M39" s="1"/>
      <c r="N39" s="1"/>
      <c r="O39" s="1"/>
      <c r="P39" s="1"/>
      <c r="Q39" s="1"/>
      <c r="R39" s="103"/>
      <c r="S39" s="104"/>
      <c r="T39" s="104"/>
      <c r="U39" s="104"/>
      <c r="V39" s="104"/>
      <c r="W39" s="106"/>
      <c r="X39" s="63"/>
      <c r="Y39" s="1"/>
      <c r="Z39" s="1"/>
      <c r="AA39" s="1"/>
      <c r="AB39" s="1"/>
      <c r="AC39" s="1"/>
    </row>
    <row r="40" ht="15.75" customHeight="1">
      <c r="A40" s="1"/>
      <c r="B40" s="108"/>
      <c r="C40" s="5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2"/>
      <c r="C41" s="13"/>
      <c r="D41" s="13"/>
      <c r="E41" s="13"/>
      <c r="F41" s="13"/>
      <c r="G41" s="13"/>
      <c r="H41" s="13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47" t="s">
        <v>106</v>
      </c>
      <c r="C42" s="5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49"/>
      <c r="C43" s="17"/>
      <c r="D43" s="17"/>
      <c r="E43" s="17"/>
      <c r="F43" s="17"/>
      <c r="G43" s="17"/>
      <c r="H43" s="17"/>
      <c r="I43" s="5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62" t="s">
        <v>107</v>
      </c>
      <c r="C44" s="164" t="s">
        <v>108</v>
      </c>
      <c r="D44" s="26"/>
      <c r="E44" s="165"/>
      <c r="F44" s="166" t="s">
        <v>109</v>
      </c>
      <c r="G44" s="166" t="s">
        <v>110</v>
      </c>
      <c r="H44" s="167" t="s">
        <v>30</v>
      </c>
      <c r="I44" s="16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72">
        <v>1.0</v>
      </c>
      <c r="C45" s="169" t="s">
        <v>111</v>
      </c>
      <c r="D45" s="30"/>
      <c r="E45" s="31"/>
      <c r="F45" s="70">
        <f>IF(E87="Boleto Bancário Sem Registro",5.3, IF(E87="Boleto Bancário Com Registro",10.6,0))</f>
        <v>5.3</v>
      </c>
      <c r="G45" s="77">
        <f>E85</f>
        <v>1</v>
      </c>
      <c r="H45" s="71">
        <f t="shared" ref="H45:H53" si="4">F45*G45</f>
        <v>5.3</v>
      </c>
      <c r="I45" s="17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72">
        <v>2.0</v>
      </c>
      <c r="C46" s="169" t="s">
        <v>112</v>
      </c>
      <c r="D46" s="30"/>
      <c r="E46" s="31"/>
      <c r="F46" s="70">
        <v>7.4</v>
      </c>
      <c r="G46" s="171"/>
      <c r="H46" s="71">
        <f t="shared" si="4"/>
        <v>0</v>
      </c>
      <c r="I46" s="17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72">
        <v>3.0</v>
      </c>
      <c r="C47" s="172" t="s">
        <v>113</v>
      </c>
      <c r="D47" s="30"/>
      <c r="E47" s="31"/>
      <c r="F47" s="173">
        <v>70.0</v>
      </c>
      <c r="G47" s="171">
        <v>1.0</v>
      </c>
      <c r="H47" s="71">
        <f t="shared" si="4"/>
        <v>70</v>
      </c>
      <c r="I47" s="17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72">
        <v>4.0</v>
      </c>
      <c r="C48" s="172" t="s">
        <v>114</v>
      </c>
      <c r="D48" s="30"/>
      <c r="E48" s="31"/>
      <c r="F48" s="173">
        <v>50.0</v>
      </c>
      <c r="G48" s="171">
        <v>1.0</v>
      </c>
      <c r="H48" s="71">
        <f t="shared" si="4"/>
        <v>50</v>
      </c>
      <c r="I48" s="17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72">
        <v>5.0</v>
      </c>
      <c r="C49" s="172"/>
      <c r="D49" s="30"/>
      <c r="E49" s="31"/>
      <c r="F49" s="173"/>
      <c r="G49" s="171"/>
      <c r="H49" s="71">
        <f t="shared" si="4"/>
        <v>0</v>
      </c>
      <c r="I49" s="17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72">
        <v>6.0</v>
      </c>
      <c r="C50" s="172"/>
      <c r="D50" s="30"/>
      <c r="E50" s="31"/>
      <c r="F50" s="173"/>
      <c r="G50" s="171"/>
      <c r="H50" s="71">
        <f t="shared" si="4"/>
        <v>0</v>
      </c>
      <c r="I50" s="17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72">
        <v>7.0</v>
      </c>
      <c r="C51" s="172"/>
      <c r="D51" s="30"/>
      <c r="E51" s="31"/>
      <c r="F51" s="173"/>
      <c r="G51" s="171"/>
      <c r="H51" s="71">
        <f t="shared" si="4"/>
        <v>0</v>
      </c>
      <c r="I51" s="170"/>
      <c r="J51" s="1"/>
      <c r="K51" s="1"/>
      <c r="L51" s="15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72">
        <v>8.0</v>
      </c>
      <c r="C52" s="172"/>
      <c r="D52" s="30"/>
      <c r="E52" s="31"/>
      <c r="F52" s="173"/>
      <c r="G52" s="171"/>
      <c r="H52" s="71">
        <f t="shared" si="4"/>
        <v>0</v>
      </c>
      <c r="I52" s="17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72">
        <v>9.0</v>
      </c>
      <c r="C53" s="174"/>
      <c r="D53" s="175"/>
      <c r="E53" s="176"/>
      <c r="F53" s="177"/>
      <c r="G53" s="178"/>
      <c r="H53" s="71">
        <f t="shared" si="4"/>
        <v>0</v>
      </c>
      <c r="I53" s="17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79" t="s">
        <v>7</v>
      </c>
      <c r="C54" s="180"/>
      <c r="D54" s="37"/>
      <c r="E54" s="181"/>
      <c r="F54" s="182"/>
      <c r="G54" s="183"/>
      <c r="H54" s="184">
        <f>SUM(H45:H53)</f>
        <v>125.3</v>
      </c>
      <c r="I54" s="18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86"/>
      <c r="C55" s="187"/>
      <c r="D55" s="187"/>
      <c r="E55" s="187"/>
      <c r="F55" s="188"/>
      <c r="G55" s="96"/>
      <c r="H55" s="188"/>
      <c r="I55" s="18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86"/>
      <c r="C56" s="187"/>
      <c r="D56" s="187"/>
      <c r="E56" s="187"/>
      <c r="F56" s="188"/>
      <c r="G56" s="96"/>
      <c r="H56" s="188"/>
      <c r="I56" s="18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47" t="s">
        <v>115</v>
      </c>
      <c r="C57" s="5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2"/>
      <c r="C58" s="13"/>
      <c r="D58" s="13"/>
      <c r="E58" s="13"/>
      <c r="F58" s="13"/>
      <c r="G58" s="13"/>
      <c r="H58" s="13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24"/>
      <c r="C59" s="1"/>
      <c r="D59" s="1"/>
      <c r="E59" s="1"/>
      <c r="F59" s="1"/>
      <c r="G59" s="1"/>
      <c r="H59" s="1"/>
      <c r="I59" s="2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24"/>
      <c r="C60" s="25" t="s">
        <v>2</v>
      </c>
      <c r="D60" s="26"/>
      <c r="E60" s="26"/>
      <c r="F60" s="26"/>
      <c r="G60" s="27"/>
      <c r="H60" s="1"/>
      <c r="I60" s="28"/>
      <c r="J60" s="1"/>
      <c r="K60" s="190"/>
      <c r="L60" s="191"/>
      <c r="M60" s="191"/>
      <c r="N60" s="191"/>
      <c r="O60" s="19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24"/>
      <c r="C61" s="29" t="s">
        <v>116</v>
      </c>
      <c r="D61" s="31"/>
      <c r="E61" s="32">
        <v>22.0</v>
      </c>
      <c r="F61" s="30"/>
      <c r="G61" s="33"/>
      <c r="H61" s="1"/>
      <c r="I61" s="28"/>
      <c r="J61" s="1"/>
      <c r="K61" s="190"/>
      <c r="L61" s="191"/>
      <c r="M61" s="192"/>
      <c r="N61" s="190"/>
      <c r="O61" s="19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24"/>
      <c r="C62" s="29" t="s">
        <v>117</v>
      </c>
      <c r="D62" s="31"/>
      <c r="E62" s="193">
        <f t="shared" ref="E62:E64" si="5">F9</f>
        <v>20</v>
      </c>
      <c r="F62" s="30"/>
      <c r="G62" s="33"/>
      <c r="H62" s="1"/>
      <c r="I62" s="28"/>
      <c r="J62" s="1"/>
      <c r="K62" s="190"/>
      <c r="L62" s="191"/>
      <c r="M62" s="192"/>
      <c r="N62" s="190"/>
      <c r="O62" s="19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24"/>
      <c r="C63" s="29" t="s">
        <v>118</v>
      </c>
      <c r="D63" s="31"/>
      <c r="E63" s="193">
        <f t="shared" si="5"/>
        <v>10</v>
      </c>
      <c r="F63" s="30"/>
      <c r="G63" s="33"/>
      <c r="H63" s="1"/>
      <c r="I63" s="28"/>
      <c r="J63" s="1"/>
      <c r="K63" s="190"/>
      <c r="L63" s="191"/>
      <c r="M63" s="192"/>
      <c r="N63" s="190"/>
      <c r="O63" s="19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24"/>
      <c r="C64" s="29" t="s">
        <v>74</v>
      </c>
      <c r="D64" s="31"/>
      <c r="E64" s="194">
        <f t="shared" si="5"/>
        <v>3</v>
      </c>
      <c r="F64" s="30"/>
      <c r="G64" s="33"/>
      <c r="H64" s="1"/>
      <c r="I64" s="28"/>
      <c r="J64" s="1"/>
      <c r="K64" s="190"/>
      <c r="L64" s="191"/>
      <c r="M64" s="192"/>
      <c r="N64" s="195"/>
      <c r="O64" s="19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24"/>
      <c r="C65" s="36" t="s">
        <v>7</v>
      </c>
      <c r="D65" s="38"/>
      <c r="E65" s="39">
        <f>E61*(E62*2)/E63*E64</f>
        <v>264</v>
      </c>
      <c r="F65" s="37"/>
      <c r="G65" s="40"/>
      <c r="H65" s="1"/>
      <c r="I65" s="28"/>
      <c r="J65" s="1"/>
      <c r="K65" s="196"/>
      <c r="L65" s="191"/>
      <c r="M65" s="192"/>
      <c r="N65" s="197"/>
      <c r="O65" s="19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24"/>
      <c r="C66" s="198"/>
      <c r="D66" s="198"/>
      <c r="E66" s="199"/>
      <c r="F66" s="199"/>
      <c r="G66" s="199"/>
      <c r="H66" s="1"/>
      <c r="I66" s="28"/>
      <c r="J66" s="1"/>
      <c r="K66" s="198"/>
      <c r="L66" s="198"/>
      <c r="M66" s="198"/>
      <c r="N66" s="199"/>
      <c r="O66" s="19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idden="1">
      <c r="A67" s="1"/>
      <c r="B67" s="43"/>
      <c r="C67" s="5"/>
      <c r="D67" s="5"/>
      <c r="E67" s="5"/>
      <c r="F67" s="5"/>
      <c r="G67" s="5"/>
      <c r="H67" s="5"/>
      <c r="I67" s="6"/>
      <c r="J67" s="1"/>
      <c r="K67" s="198"/>
      <c r="L67" s="198"/>
      <c r="M67" s="198"/>
      <c r="N67" s="199"/>
      <c r="O67" s="19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hidden="1" customHeight="1">
      <c r="A68" s="1"/>
      <c r="B68" s="12"/>
      <c r="C68" s="13"/>
      <c r="D68" s="13"/>
      <c r="E68" s="13"/>
      <c r="F68" s="13"/>
      <c r="G68" s="13"/>
      <c r="H68" s="13"/>
      <c r="I68" s="14"/>
      <c r="J68" s="1"/>
      <c r="K68" s="198"/>
      <c r="L68" s="198"/>
      <c r="M68" s="198"/>
      <c r="N68" s="199"/>
      <c r="O68" s="19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8.75" hidden="1" customHeight="1">
      <c r="A69" s="1"/>
      <c r="B69" s="47" t="s">
        <v>119</v>
      </c>
      <c r="C69" s="5"/>
      <c r="D69" s="5"/>
      <c r="E69" s="5"/>
      <c r="F69" s="5"/>
      <c r="G69" s="5"/>
      <c r="H69" s="5"/>
      <c r="I69" s="6"/>
      <c r="J69" s="1"/>
      <c r="K69" s="198"/>
      <c r="L69" s="198"/>
      <c r="M69" s="198"/>
      <c r="N69" s="199"/>
      <c r="O69" s="19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hidden="1" customHeight="1">
      <c r="A70" s="1"/>
      <c r="B70" s="12"/>
      <c r="C70" s="13"/>
      <c r="D70" s="13"/>
      <c r="E70" s="13"/>
      <c r="F70" s="13"/>
      <c r="G70" s="13"/>
      <c r="H70" s="13"/>
      <c r="I70" s="14"/>
      <c r="J70" s="1"/>
      <c r="K70" s="198"/>
      <c r="L70" s="198"/>
      <c r="M70" s="198"/>
      <c r="N70" s="199"/>
      <c r="O70" s="19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idden="1">
      <c r="A71" s="1"/>
      <c r="B71" s="24"/>
      <c r="C71" s="25" t="s">
        <v>120</v>
      </c>
      <c r="D71" s="165"/>
      <c r="E71" s="65">
        <v>50.0</v>
      </c>
      <c r="F71" s="67">
        <v>0.0</v>
      </c>
      <c r="G71" s="200">
        <f>E71*F71</f>
        <v>0</v>
      </c>
      <c r="H71" s="1"/>
      <c r="I71" s="28"/>
      <c r="J71" s="1"/>
      <c r="K71" s="198"/>
      <c r="L71" s="198"/>
      <c r="M71" s="198"/>
      <c r="N71" s="199"/>
      <c r="O71" s="19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hidden="1" customHeight="1">
      <c r="A72" s="1"/>
      <c r="B72" s="24"/>
      <c r="C72" s="36" t="s">
        <v>7</v>
      </c>
      <c r="D72" s="38"/>
      <c r="E72" s="201"/>
      <c r="F72" s="38"/>
      <c r="G72" s="202">
        <f>SUM(G71)</f>
        <v>0</v>
      </c>
      <c r="H72" s="1"/>
      <c r="I72" s="28"/>
      <c r="J72" s="1"/>
      <c r="K72" s="198"/>
      <c r="L72" s="198"/>
      <c r="M72" s="198"/>
      <c r="N72" s="199"/>
      <c r="O72" s="19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hidden="1" customHeight="1">
      <c r="A73" s="1"/>
      <c r="B73" s="24"/>
      <c r="C73" s="198"/>
      <c r="D73" s="1"/>
      <c r="E73" s="1"/>
      <c r="F73" s="1"/>
      <c r="G73" s="1"/>
      <c r="H73" s="1"/>
      <c r="I73" s="28"/>
      <c r="J73" s="1"/>
      <c r="K73" s="198"/>
      <c r="L73" s="198"/>
      <c r="M73" s="198"/>
      <c r="N73" s="199"/>
      <c r="O73" s="19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idden="1">
      <c r="A74" s="1"/>
      <c r="B74" s="47" t="s">
        <v>121</v>
      </c>
      <c r="C74" s="5"/>
      <c r="D74" s="5"/>
      <c r="E74" s="5"/>
      <c r="F74" s="5"/>
      <c r="G74" s="5"/>
      <c r="H74" s="5"/>
      <c r="I74" s="6"/>
      <c r="J74" s="1"/>
      <c r="K74" s="198"/>
      <c r="L74" s="198"/>
      <c r="M74" s="198"/>
      <c r="N74" s="199"/>
      <c r="O74" s="19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hidden="1" customHeight="1">
      <c r="A75" s="1"/>
      <c r="B75" s="12"/>
      <c r="C75" s="13"/>
      <c r="D75" s="13"/>
      <c r="E75" s="13"/>
      <c r="F75" s="13"/>
      <c r="G75" s="13"/>
      <c r="H75" s="13"/>
      <c r="I75" s="14"/>
      <c r="J75" s="1"/>
      <c r="K75" s="198"/>
      <c r="L75" s="198"/>
      <c r="M75" s="198"/>
      <c r="N75" s="199"/>
      <c r="O75" s="19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idden="1">
      <c r="A76" s="1"/>
      <c r="B76" s="24"/>
      <c r="C76" s="25" t="s">
        <v>3</v>
      </c>
      <c r="D76" s="165"/>
      <c r="E76" s="203">
        <v>0.0</v>
      </c>
      <c r="F76" s="26"/>
      <c r="G76" s="27"/>
      <c r="H76" s="1"/>
      <c r="I76" s="28"/>
      <c r="J76" s="1"/>
      <c r="K76" s="198"/>
      <c r="L76" s="198"/>
      <c r="M76" s="198"/>
      <c r="N76" s="199"/>
      <c r="O76" s="19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idden="1">
      <c r="A77" s="1"/>
      <c r="B77" s="24"/>
      <c r="C77" s="29" t="s">
        <v>4</v>
      </c>
      <c r="D77" s="31"/>
      <c r="E77" s="193">
        <f t="shared" ref="E77:E79" si="6">F9</f>
        <v>20</v>
      </c>
      <c r="F77" s="30"/>
      <c r="G77" s="33"/>
      <c r="H77" s="1"/>
      <c r="I77" s="28"/>
      <c r="J77" s="1"/>
      <c r="K77" s="198"/>
      <c r="L77" s="198"/>
      <c r="M77" s="198"/>
      <c r="N77" s="199"/>
      <c r="O77" s="19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idden="1">
      <c r="A78" s="1"/>
      <c r="B78" s="24"/>
      <c r="C78" s="29" t="s">
        <v>5</v>
      </c>
      <c r="D78" s="31"/>
      <c r="E78" s="193">
        <f t="shared" si="6"/>
        <v>10</v>
      </c>
      <c r="F78" s="30"/>
      <c r="G78" s="33"/>
      <c r="H78" s="1"/>
      <c r="I78" s="28"/>
      <c r="J78" s="1"/>
      <c r="K78" s="198"/>
      <c r="L78" s="198"/>
      <c r="M78" s="198"/>
      <c r="N78" s="199"/>
      <c r="O78" s="19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idden="1">
      <c r="A79" s="1"/>
      <c r="B79" s="24"/>
      <c r="C79" s="29" t="s">
        <v>6</v>
      </c>
      <c r="D79" s="31"/>
      <c r="E79" s="194">
        <f t="shared" si="6"/>
        <v>3</v>
      </c>
      <c r="F79" s="30"/>
      <c r="G79" s="33"/>
      <c r="H79" s="1"/>
      <c r="I79" s="28"/>
      <c r="J79" s="1"/>
      <c r="K79" s="198"/>
      <c r="L79" s="198"/>
      <c r="M79" s="198"/>
      <c r="N79" s="199"/>
      <c r="O79" s="19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hidden="1" customHeight="1">
      <c r="A80" s="1"/>
      <c r="B80" s="24"/>
      <c r="C80" s="36" t="s">
        <v>7</v>
      </c>
      <c r="D80" s="38"/>
      <c r="E80" s="39">
        <f>E76*2*E77/E78*E79</f>
        <v>0</v>
      </c>
      <c r="F80" s="37"/>
      <c r="G80" s="40"/>
      <c r="H80" s="1"/>
      <c r="I80" s="2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08"/>
      <c r="C81" s="5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2"/>
      <c r="C82" s="13"/>
      <c r="D82" s="13"/>
      <c r="E82" s="13"/>
      <c r="F82" s="13"/>
      <c r="G82" s="13"/>
      <c r="H82" s="13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47" t="s">
        <v>122</v>
      </c>
      <c r="C83" s="5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2"/>
      <c r="C84" s="13"/>
      <c r="D84" s="13"/>
      <c r="E84" s="13"/>
      <c r="F84" s="13"/>
      <c r="G84" s="13"/>
      <c r="H84" s="13"/>
      <c r="I84" s="1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24"/>
      <c r="C85" s="25" t="s">
        <v>123</v>
      </c>
      <c r="D85" s="165"/>
      <c r="E85" s="203">
        <v>1.0</v>
      </c>
      <c r="F85" s="165"/>
      <c r="G85" s="86"/>
      <c r="H85" s="1"/>
      <c r="I85" s="2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24"/>
      <c r="C86" s="29" t="s">
        <v>124</v>
      </c>
      <c r="D86" s="31"/>
      <c r="E86" s="194">
        <f>B95/E85</f>
        <v>6350</v>
      </c>
      <c r="F86" s="31"/>
      <c r="G86" s="28"/>
      <c r="H86" s="1"/>
      <c r="I86" s="2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24"/>
      <c r="C87" s="29" t="s">
        <v>125</v>
      </c>
      <c r="D87" s="31"/>
      <c r="E87" s="32" t="s">
        <v>50</v>
      </c>
      <c r="F87" s="31"/>
      <c r="G87" s="28"/>
      <c r="H87" s="1"/>
      <c r="I87" s="2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24"/>
      <c r="C88" s="204" t="s">
        <v>126</v>
      </c>
      <c r="D88" s="38"/>
      <c r="E88" s="205" t="str">
        <f>IF(E85&lt;=((F25/4)+1),"SIM",IF(E86&gt;(F26*'2. Dados do adm-fin'!J8*1.2),"RISCO","NÃO"))</f>
        <v>SIM</v>
      </c>
      <c r="F88" s="38"/>
      <c r="G88" s="42"/>
      <c r="H88" s="1"/>
      <c r="I88" s="2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24"/>
      <c r="C89" s="206"/>
      <c r="D89" s="206"/>
      <c r="E89" s="206"/>
      <c r="F89" s="206"/>
      <c r="G89" s="1"/>
      <c r="H89" s="1"/>
      <c r="I89" s="2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47" t="s">
        <v>127</v>
      </c>
      <c r="C90" s="5"/>
      <c r="D90" s="5"/>
      <c r="E90" s="5"/>
      <c r="F90" s="5"/>
      <c r="G90" s="5"/>
      <c r="H90" s="5"/>
      <c r="I90" s="6"/>
      <c r="J90" s="1"/>
      <c r="K90" s="1"/>
      <c r="L90" s="1"/>
      <c r="M90" s="15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2"/>
      <c r="C91" s="13"/>
      <c r="D91" s="13"/>
      <c r="E91" s="13"/>
      <c r="F91" s="13"/>
      <c r="G91" s="13"/>
      <c r="H91" s="13"/>
      <c r="I91" s="1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84"/>
      <c r="C92" s="207" t="s">
        <v>84</v>
      </c>
      <c r="D92" s="6"/>
      <c r="E92" s="208">
        <v>0.0</v>
      </c>
      <c r="F92" s="165"/>
      <c r="G92" s="85"/>
      <c r="H92" s="85"/>
      <c r="I92" s="8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35"/>
      <c r="C93" s="209"/>
      <c r="D93" s="14"/>
      <c r="E93" s="210">
        <f>IF(E92=0,0,IF(E92=0.05,-'2. Dados do adm-fin'!B23*0.05,IF(E92=0.1,-'2. Dados do adm-fin'!B23*0.1,IF(E92=0.15,-'2. Dados do adm-fin'!B23*0.15,""))))</f>
        <v>0</v>
      </c>
      <c r="F93" s="38"/>
      <c r="G93" s="41"/>
      <c r="H93" s="41"/>
      <c r="I93" s="4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27.0" customHeight="1">
      <c r="A94" s="1"/>
      <c r="B94" s="211" t="s">
        <v>7</v>
      </c>
      <c r="C94" s="212"/>
      <c r="D94" s="213"/>
      <c r="E94" s="214" t="s">
        <v>128</v>
      </c>
      <c r="F94" s="215"/>
      <c r="G94" s="215"/>
      <c r="H94" s="215"/>
      <c r="I94" s="12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29.25" customHeight="1">
      <c r="A95" s="1"/>
      <c r="B95" s="216">
        <f>ROUNDDOWN('2. Dados do adm-fin'!B32,-1)</f>
        <v>6350</v>
      </c>
      <c r="C95" s="217"/>
      <c r="D95" s="218" t="s">
        <v>129</v>
      </c>
      <c r="E95" s="219" t="s">
        <v>130</v>
      </c>
      <c r="F95" s="215"/>
      <c r="G95" s="215"/>
      <c r="H95" s="215"/>
      <c r="I95" s="12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2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06"/>
      <c r="C116" s="20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5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5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5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98">
    <mergeCell ref="E76:G76"/>
    <mergeCell ref="B81:I82"/>
    <mergeCell ref="B83:I84"/>
    <mergeCell ref="E94:I94"/>
    <mergeCell ref="E95:I95"/>
    <mergeCell ref="B90:I91"/>
    <mergeCell ref="E88:F88"/>
    <mergeCell ref="E72:F72"/>
    <mergeCell ref="C72:D72"/>
    <mergeCell ref="C77:D77"/>
    <mergeCell ref="C76:D76"/>
    <mergeCell ref="C86:D86"/>
    <mergeCell ref="C87:D87"/>
    <mergeCell ref="C71:D71"/>
    <mergeCell ref="E79:G79"/>
    <mergeCell ref="E65:G65"/>
    <mergeCell ref="E63:G63"/>
    <mergeCell ref="E64:G64"/>
    <mergeCell ref="C8:E8"/>
    <mergeCell ref="C9:E9"/>
    <mergeCell ref="F8:G8"/>
    <mergeCell ref="F9:G9"/>
    <mergeCell ref="C44:E44"/>
    <mergeCell ref="C47:E47"/>
    <mergeCell ref="C46:E46"/>
    <mergeCell ref="C45:E45"/>
    <mergeCell ref="C48:E48"/>
    <mergeCell ref="C49:E49"/>
    <mergeCell ref="F12:G12"/>
    <mergeCell ref="F32:G32"/>
    <mergeCell ref="F25:G25"/>
    <mergeCell ref="F26:G26"/>
    <mergeCell ref="D24:G24"/>
    <mergeCell ref="D26:E26"/>
    <mergeCell ref="D25:E25"/>
    <mergeCell ref="C63:D63"/>
    <mergeCell ref="C64:D64"/>
    <mergeCell ref="C7:G7"/>
    <mergeCell ref="C11:E11"/>
    <mergeCell ref="C12:E12"/>
    <mergeCell ref="F11:G11"/>
    <mergeCell ref="C50:E50"/>
    <mergeCell ref="K62:M62"/>
    <mergeCell ref="K63:M63"/>
    <mergeCell ref="C61:D61"/>
    <mergeCell ref="C62:D62"/>
    <mergeCell ref="K61:M61"/>
    <mergeCell ref="N61:O61"/>
    <mergeCell ref="N62:O62"/>
    <mergeCell ref="N64:O64"/>
    <mergeCell ref="C65:D65"/>
    <mergeCell ref="K60:O60"/>
    <mergeCell ref="C60:G60"/>
    <mergeCell ref="B94:C94"/>
    <mergeCell ref="B95:C95"/>
    <mergeCell ref="C92:D93"/>
    <mergeCell ref="C88:D88"/>
    <mergeCell ref="E92:F92"/>
    <mergeCell ref="E93:F93"/>
    <mergeCell ref="C85:D85"/>
    <mergeCell ref="E85:F85"/>
    <mergeCell ref="E86:F86"/>
    <mergeCell ref="E87:F87"/>
    <mergeCell ref="E62:G62"/>
    <mergeCell ref="E61:G61"/>
    <mergeCell ref="B42:I43"/>
    <mergeCell ref="H32:I32"/>
    <mergeCell ref="B32:C39"/>
    <mergeCell ref="F33:I39"/>
    <mergeCell ref="B40:I41"/>
    <mergeCell ref="C51:E51"/>
    <mergeCell ref="C52:E52"/>
    <mergeCell ref="C53:E53"/>
    <mergeCell ref="B57:I58"/>
    <mergeCell ref="C54:E54"/>
    <mergeCell ref="R15:X16"/>
    <mergeCell ref="D16:G17"/>
    <mergeCell ref="B74:I75"/>
    <mergeCell ref="B69:I70"/>
    <mergeCell ref="B67:I68"/>
    <mergeCell ref="K65:M65"/>
    <mergeCell ref="N65:O65"/>
    <mergeCell ref="K64:M64"/>
    <mergeCell ref="N63:O63"/>
    <mergeCell ref="E77:G77"/>
    <mergeCell ref="E78:G78"/>
    <mergeCell ref="C78:D78"/>
    <mergeCell ref="C79:D79"/>
    <mergeCell ref="E80:G80"/>
    <mergeCell ref="C80:D80"/>
    <mergeCell ref="B13:I14"/>
    <mergeCell ref="B15:I15"/>
    <mergeCell ref="C10:E10"/>
    <mergeCell ref="F10:G10"/>
    <mergeCell ref="B1:I4"/>
    <mergeCell ref="B6:I6"/>
    <mergeCell ref="B28:I29"/>
    <mergeCell ref="B30:I31"/>
  </mergeCells>
  <conditionalFormatting sqref="E88">
    <cfRule type="colorScale" priority="1">
      <colorScale>
        <cfvo type="formula" val="$E$88=&quot;NÃO&quot;"/>
        <cfvo type="formula" val="$E$88=&quot;RISCO&quot;"/>
        <cfvo type="formula" val="$E$88=&quot;SIM&quot;"/>
        <color rgb="FFFF0000"/>
        <color rgb="FFFFFF00"/>
        <color rgb="FF00B050"/>
      </colorScale>
    </cfRule>
  </conditionalFormatting>
  <conditionalFormatting sqref="X17">
    <cfRule type="colorScale" priority="2">
      <colorScale>
        <cfvo type="min"/>
        <cfvo type="formula" val="0"/>
        <cfvo type="max"/>
        <color rgb="FFF8696B"/>
        <color rgb="FFFFEB84"/>
        <color rgb="FF63BE7B"/>
      </colorScale>
    </cfRule>
  </conditionalFormatting>
  <conditionalFormatting sqref="K85">
    <cfRule type="colorScale" priority="3">
      <colorScale>
        <cfvo type="percent" val="$K$85=Sim"/>
        <cfvo type="percentile" val="50"/>
        <cfvo type="max"/>
        <color rgb="FFF8696B"/>
        <color rgb="FFFFEB84"/>
        <color rgb="FF63BE7B"/>
      </colorScale>
    </cfRule>
  </conditionalFormatting>
  <conditionalFormatting sqref="K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92">
    <cfRule type="colorScale" priority="5">
      <colorScale>
        <cfvo type="formula" val="$S$23"/>
        <cfvo type="formula" val="$S$23"/>
        <cfvo type="formula" val="$S$25"/>
        <color rgb="FF00B050"/>
        <color rgb="FFFFFF00"/>
        <color rgb="FFFF0000"/>
      </colorScale>
    </cfRule>
  </conditionalFormatting>
  <conditionalFormatting sqref="N26:N41">
    <cfRule type="colorScale" priority="6">
      <colorScale>
        <cfvo type="formula" val="#REF!=&quot;SIM&quot;"/>
        <cfvo type="percentile" val="50"/>
        <cfvo type="max"/>
        <color rgb="FFF8696B"/>
        <color rgb="FFFFEB84"/>
        <color rgb="FF63BE7B"/>
      </colorScale>
    </cfRule>
  </conditionalFormatting>
  <dataValidations>
    <dataValidation type="list" allowBlank="1" showErrorMessage="1" sqref="F32">
      <formula1>IF(AND($E$32&lt;&gt;"SAG",$E$32&lt;&gt;"PCP",$E$32&lt;&gt;"PE",$E$32&lt;&gt;"MP"),$ZZ$20,IF($E$32="PCP",$AC$16:$AC$17,IF($E$32="MP",$AC$22:$AC$23,IF($E$32="PE",$AC$18:$AC$19,$AC$20:$AC$21))))</formula1>
    </dataValidation>
    <dataValidation type="list" allowBlank="1" showErrorMessage="1" sqref="E87">
      <formula1>$R$24:$R$39</formula1>
    </dataValidation>
    <dataValidation type="list" allowBlank="1" showErrorMessage="1" sqref="E33 E38">
      <formula1>$AB$17:$AB$19</formula1>
    </dataValidation>
    <dataValidation type="list" allowBlank="1" showErrorMessage="1" sqref="E92">
      <formula1>$S$22:$S$25</formula1>
    </dataValidation>
    <dataValidation type="list" allowBlank="1" showErrorMessage="1" sqref="E85">
      <formula1>$X$20:$X$39</formula1>
    </dataValidation>
    <dataValidation type="list" allowBlank="1" showErrorMessage="1" sqref="C22:H22">
      <formula1>$R$27:$R$31</formula1>
    </dataValidation>
    <dataValidation type="list" allowBlank="1" showErrorMessage="1" sqref="E37">
      <formula1>$AB$23:$AB$26</formula1>
    </dataValidation>
    <dataValidation type="list" allowBlank="1" showErrorMessage="1" sqref="E34:E35">
      <formula1>$AB$16:$AB$19</formula1>
    </dataValidation>
    <dataValidation type="list" allowBlank="1" showErrorMessage="1" sqref="C21:H21">
      <formula1>$T$22:$T$24</formula1>
    </dataValidation>
    <dataValidation type="list" allowBlank="1" showErrorMessage="1" sqref="E39">
      <formula1>$AB$27:$AB$29</formula1>
    </dataValidation>
    <dataValidation type="list" allowBlank="1" showErrorMessage="1" sqref="E32">
      <formula1>$Z$16:$Z$24</formula1>
    </dataValidation>
    <dataValidation type="list" allowBlank="1" showErrorMessage="1" sqref="E36">
      <formula1>$AB$20:$AB$22</formula1>
    </dataValidation>
    <dataValidation type="list" allowBlank="1" showErrorMessage="1" sqref="S22">
      <formula1>$B$122:$B$124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36C09"/>
    <outlinePr summaryBelow="0" summaryRight="0"/>
  </sheetPr>
  <sheetViews>
    <sheetView workbookViewId="0"/>
  </sheetViews>
  <sheetFormatPr customHeight="1" defaultColWidth="17.29" defaultRowHeight="15.0"/>
  <cols>
    <col customWidth="1" min="1" max="1" width="20.43"/>
    <col customWidth="1" min="2" max="2" width="15.43"/>
    <col customWidth="1" min="3" max="3" width="16.71"/>
    <col customWidth="1" min="4" max="8" width="16.43"/>
    <col customWidth="1" min="9" max="9" width="16.14"/>
    <col customWidth="1" min="10" max="10" width="12.14"/>
    <col customWidth="1" min="11" max="11" width="8.86"/>
    <col customWidth="1" min="12" max="12" width="10.43"/>
    <col customWidth="1" min="13" max="26" width="8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87" t="s">
        <v>55</v>
      </c>
      <c r="B2" s="26"/>
      <c r="C2" s="26"/>
      <c r="D2" s="26"/>
      <c r="E2" s="26"/>
      <c r="F2" s="26"/>
      <c r="G2" s="26"/>
      <c r="H2" s="26"/>
      <c r="I2" s="89"/>
      <c r="J2" s="9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92" t="s">
        <v>60</v>
      </c>
      <c r="B3" s="93"/>
      <c r="C3" s="1"/>
      <c r="D3" s="95" t="s">
        <v>61</v>
      </c>
      <c r="E3" s="1"/>
      <c r="F3" s="1"/>
      <c r="G3" s="96"/>
      <c r="H3" s="1"/>
      <c r="I3" s="1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8" t="s">
        <v>54</v>
      </c>
      <c r="B4" s="100">
        <f>CONSULTORIA!F25</f>
        <v>12</v>
      </c>
      <c r="C4" s="1"/>
      <c r="D4" s="102" t="s">
        <v>61</v>
      </c>
      <c r="E4" s="105">
        <v>5.55</v>
      </c>
      <c r="F4" s="105"/>
      <c r="G4" s="1"/>
      <c r="H4" s="105"/>
      <c r="I4" s="105"/>
      <c r="J4" s="28"/>
      <c r="K4" s="1"/>
      <c r="L4" s="10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8" t="s">
        <v>65</v>
      </c>
      <c r="B5" s="107">
        <f>CONSULTORIA!S20*B4</f>
        <v>3000</v>
      </c>
      <c r="C5" s="1"/>
      <c r="D5" s="102"/>
      <c r="E5" s="105"/>
      <c r="F5" s="105"/>
      <c r="G5" s="1"/>
      <c r="H5" s="105"/>
      <c r="I5" s="105"/>
      <c r="J5" s="28"/>
      <c r="K5" s="1"/>
      <c r="L5" s="1"/>
      <c r="M5" s="1" t="s">
        <v>67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8" t="s">
        <v>68</v>
      </c>
      <c r="B6" s="107">
        <f>CONSULTORIA!G72</f>
        <v>0</v>
      </c>
      <c r="C6" s="1"/>
      <c r="D6" s="109" t="s">
        <v>69</v>
      </c>
      <c r="E6" s="110"/>
      <c r="F6" s="110"/>
      <c r="G6" s="110"/>
      <c r="H6" s="110"/>
      <c r="I6" s="110"/>
      <c r="J6" s="1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8" t="s">
        <v>74</v>
      </c>
      <c r="B7" s="107">
        <f>CONSULTORIA!F12+CONSULTORIA!E65+CONSULTORIA!E80</f>
        <v>312</v>
      </c>
      <c r="C7" s="1"/>
      <c r="D7" s="113" t="str">
        <f>CONSULTORIA!C18</f>
        <v>Nome do Consultor 1</v>
      </c>
      <c r="E7" s="114" t="str">
        <f>CONSULTORIA!D18</f>
        <v>Nome do Consultor 2</v>
      </c>
      <c r="F7" s="114" t="str">
        <f>CONSULTORIA!E18</f>
        <v>Nome do Consultor 3</v>
      </c>
      <c r="G7" s="114" t="str">
        <f>CONSULTORIA!F18</f>
        <v>Nome do Consultor 4</v>
      </c>
      <c r="H7" s="116" t="str">
        <f>CONSULTORIA!G18</f>
        <v>Consultor 5</v>
      </c>
      <c r="I7" s="114" t="str">
        <f>CONSULTORIA!H18</f>
        <v>Consultor 6</v>
      </c>
      <c r="J7" s="28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8" t="s">
        <v>79</v>
      </c>
      <c r="B8" s="107">
        <f>CONSULTORIA!H54</f>
        <v>125.3</v>
      </c>
      <c r="C8" s="119" t="s">
        <v>80</v>
      </c>
      <c r="D8" s="121">
        <f>CONSULTORIA!R18</f>
        <v>500</v>
      </c>
      <c r="E8" s="121">
        <f>CONSULTORIA!S18</f>
        <v>500</v>
      </c>
      <c r="F8" s="121">
        <f>CONSULTORIA!T18</f>
        <v>0</v>
      </c>
      <c r="G8" s="121">
        <f>CONSULTORIA!U18</f>
        <v>0</v>
      </c>
      <c r="H8" s="124">
        <f>CONSULTORIA!V18</f>
        <v>0</v>
      </c>
      <c r="I8" s="121">
        <f>CONSULTORIA!W18</f>
        <v>0</v>
      </c>
      <c r="J8" s="126">
        <f>SUM(D8:I8)</f>
        <v>1000</v>
      </c>
      <c r="K8" s="1"/>
      <c r="L8" s="1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8"/>
      <c r="B9" s="107"/>
      <c r="C9" s="119" t="s">
        <v>82</v>
      </c>
      <c r="D9" s="128">
        <f>IF(CONSULTORIA!R19="","",CONSULTORIA!R19*$B$4)</f>
        <v>1500</v>
      </c>
      <c r="E9" s="121">
        <f>IF(CONSULTORIA!S19="","",CONSULTORIA!S19*$B$4)</f>
        <v>1500</v>
      </c>
      <c r="F9" s="121">
        <f>IF(CONSULTORIA!T19="","",CONSULTORIA!T19*$B$4)</f>
        <v>0</v>
      </c>
      <c r="G9" s="121">
        <f>IF(CONSULTORIA!U19="","",CONSULTORIA!U19*$B$4)</f>
        <v>0</v>
      </c>
      <c r="H9" s="124">
        <f>IF(CONSULTORIA!V19="","",CONSULTORIA!V19*$B$4)</f>
        <v>0</v>
      </c>
      <c r="I9" s="121">
        <f>IF(CONSULTORIA!W19="","",CONSULTORIA!W19*$B$4)</f>
        <v>0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9"/>
      <c r="B10" s="130"/>
      <c r="C10" s="131" t="s">
        <v>83</v>
      </c>
      <c r="D10" s="121">
        <f>SUM(D9:I9)</f>
        <v>3000</v>
      </c>
      <c r="E10" s="132"/>
      <c r="F10" s="132"/>
      <c r="G10" s="132"/>
      <c r="H10" s="132"/>
      <c r="I10" s="67"/>
      <c r="J10" s="1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9" t="s">
        <v>84</v>
      </c>
      <c r="B11" s="133">
        <f>CONSULTORIA!E92</f>
        <v>0</v>
      </c>
      <c r="C11" s="102"/>
      <c r="D11" s="105"/>
      <c r="E11" s="105"/>
      <c r="F11" s="1"/>
      <c r="G11" s="1"/>
      <c r="H11" s="1"/>
      <c r="I11" s="1"/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34"/>
      <c r="B12" s="135"/>
      <c r="C12" s="41"/>
      <c r="D12" s="41"/>
      <c r="E12" s="41"/>
      <c r="F12" s="41"/>
      <c r="G12" s="41"/>
      <c r="H12" s="41"/>
      <c r="I12" s="41"/>
      <c r="J12" s="4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36" t="s">
        <v>85</v>
      </c>
      <c r="B13" s="137"/>
      <c r="C13" s="13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9" t="s">
        <v>86</v>
      </c>
      <c r="B14" s="140"/>
      <c r="C14" s="141" t="s">
        <v>87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2" t="s">
        <v>88</v>
      </c>
      <c r="B15" s="105">
        <f>20*B4*E4</f>
        <v>1332</v>
      </c>
      <c r="C15" s="142">
        <f t="shared" ref="C15:C17" si="1">B15/$B$19</f>
        <v>0.2094647013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2" t="s">
        <v>69</v>
      </c>
      <c r="B16" s="105">
        <f>B5+B6</f>
        <v>3000</v>
      </c>
      <c r="C16" s="142">
        <f t="shared" si="1"/>
        <v>0.4717673453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2" t="s">
        <v>89</v>
      </c>
      <c r="B17" s="105">
        <f>B8+B7</f>
        <v>437.3</v>
      </c>
      <c r="C17" s="142">
        <f t="shared" si="1"/>
        <v>0.06876795337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90</v>
      </c>
      <c r="B18" s="105">
        <f>SUM(B15:B17)</f>
        <v>4769.3</v>
      </c>
      <c r="C18" s="143">
        <v>1.0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2" t="s">
        <v>91</v>
      </c>
      <c r="B19" s="105">
        <f>IF((SUM(Esconder!F19:F26))&gt;0.25,B18/(1-SUM(Esconder!F19:F26)),B18/(1-0.25))</f>
        <v>6359.066667</v>
      </c>
      <c r="C19" s="142">
        <f>SUM(Esconder!F19:F26)</f>
        <v>0.196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02"/>
      <c r="B20" s="1"/>
      <c r="C20" s="1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02"/>
      <c r="B21" s="1"/>
      <c r="C21" s="14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95" t="s">
        <v>92</v>
      </c>
      <c r="B22" s="1"/>
      <c r="C22" s="144" t="s">
        <v>87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02" t="s">
        <v>93</v>
      </c>
      <c r="B23" s="105">
        <f>B19</f>
        <v>6359.066667</v>
      </c>
      <c r="C23" s="142">
        <f t="shared" ref="C23:C27" si="2">B23/$B$23</f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2" t="s">
        <v>94</v>
      </c>
      <c r="B24" s="105">
        <f t="shared" ref="B24:B25" si="3">B16</f>
        <v>3000</v>
      </c>
      <c r="C24" s="142">
        <f t="shared" si="2"/>
        <v>0.4717673453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02" t="s">
        <v>95</v>
      </c>
      <c r="B25" s="105">
        <f t="shared" si="3"/>
        <v>437.3</v>
      </c>
      <c r="C25" s="142">
        <f t="shared" si="2"/>
        <v>0.06876795337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02" t="s">
        <v>96</v>
      </c>
      <c r="B26" s="105">
        <f>B23-B24-B25</f>
        <v>2921.766667</v>
      </c>
      <c r="C26" s="142">
        <f t="shared" si="2"/>
        <v>0.4594647013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2" t="s">
        <v>97</v>
      </c>
      <c r="B27" s="105">
        <f>B15</f>
        <v>1332</v>
      </c>
      <c r="C27" s="142">
        <f t="shared" si="2"/>
        <v>0.2094647013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5" t="s">
        <v>98</v>
      </c>
      <c r="B28" s="146">
        <f>B26-B27</f>
        <v>1589.766667</v>
      </c>
      <c r="C28" s="148">
        <f>B28/B19</f>
        <v>0.25</v>
      </c>
      <c r="D28" s="1"/>
      <c r="E28" s="1"/>
      <c r="F28" s="150"/>
      <c r="G28" s="150"/>
      <c r="H28" s="10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2" t="s">
        <v>100</v>
      </c>
      <c r="B29" s="105">
        <f>IF(B11=5%,B23*B11,IF(B11=10%,B23*B11,IF(B11=15%,B23*B11,0)))</f>
        <v>0</v>
      </c>
      <c r="C29" s="142">
        <f>B29/B23</f>
        <v>0</v>
      </c>
      <c r="D29" s="1"/>
      <c r="E29" s="105">
        <f>SUM(B16:B17)</f>
        <v>3437.3</v>
      </c>
      <c r="F29" s="150"/>
      <c r="G29" s="150"/>
      <c r="H29" s="10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02" t="s">
        <v>103</v>
      </c>
      <c r="B30" s="105">
        <f>B28-B29</f>
        <v>1589.766667</v>
      </c>
      <c r="C30" s="142">
        <f>B30/B19</f>
        <v>0.25</v>
      </c>
      <c r="D30" s="1"/>
      <c r="E30" s="1"/>
      <c r="F30" s="150"/>
      <c r="G30" s="150"/>
      <c r="H30" s="10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51"/>
      <c r="B31" s="152"/>
      <c r="C31" s="153"/>
      <c r="D31" s="1"/>
      <c r="E31" s="1"/>
      <c r="F31" s="150"/>
      <c r="G31" s="150"/>
      <c r="H31" s="10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5" t="s">
        <v>105</v>
      </c>
      <c r="B32" s="157">
        <f>B23-B29</f>
        <v>6359.066667</v>
      </c>
      <c r="C32" s="158"/>
      <c r="D32" s="105"/>
      <c r="E32" s="105"/>
      <c r="F32" s="105"/>
      <c r="G32" s="105"/>
      <c r="H32" s="10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9"/>
      <c r="B33" s="160"/>
      <c r="C33" s="161"/>
      <c r="D33" s="1"/>
      <c r="E33" s="1"/>
      <c r="F33" s="163"/>
      <c r="G33" s="105"/>
      <c r="H33" s="10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3:C13"/>
    <mergeCell ref="A2:I2"/>
  </mergeCells>
  <conditionalFormatting sqref="C26">
    <cfRule type="expression" dxfId="0" priority="1">
      <formula>$C$26&gt;0.55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1"/>
      <c r="W1" s="1"/>
      <c r="X1" s="1"/>
      <c r="Y1" s="1"/>
      <c r="Z1" s="1"/>
    </row>
    <row r="2">
      <c r="A2" s="9"/>
      <c r="U2" s="11"/>
      <c r="V2" s="1"/>
      <c r="W2" s="1"/>
      <c r="X2" s="1"/>
      <c r="Y2" s="1"/>
      <c r="Z2" s="1"/>
    </row>
    <row r="3">
      <c r="A3" s="9"/>
      <c r="U3" s="11"/>
      <c r="V3" s="1"/>
      <c r="W3" s="1"/>
      <c r="X3" s="1"/>
      <c r="Y3" s="1"/>
      <c r="Z3" s="1"/>
    </row>
    <row r="4">
      <c r="A4" s="9"/>
      <c r="U4" s="11"/>
      <c r="V4" s="1"/>
      <c r="W4" s="1"/>
      <c r="X4" s="1"/>
      <c r="Y4" s="1"/>
      <c r="Z4" s="1"/>
    </row>
    <row r="5">
      <c r="A5" s="9"/>
      <c r="U5" s="11"/>
      <c r="V5" s="1"/>
      <c r="W5" s="1"/>
      <c r="X5" s="1"/>
      <c r="Y5" s="1"/>
      <c r="Z5" s="1"/>
    </row>
    <row r="6">
      <c r="A6" s="15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9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7" t="s">
        <v>131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  <c r="U8" s="1"/>
      <c r="V8" s="1"/>
      <c r="W8" s="1"/>
      <c r="X8" s="1"/>
      <c r="Y8" s="1"/>
      <c r="Z8" s="1"/>
    </row>
    <row r="9" ht="15.75" customHeight="1">
      <c r="A9" s="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"/>
      <c r="V9" s="1"/>
      <c r="W9" s="1"/>
      <c r="X9" s="1"/>
      <c r="Y9" s="1"/>
      <c r="Z9" s="1"/>
    </row>
    <row r="10">
      <c r="A10" s="1"/>
      <c r="B10" s="115"/>
      <c r="C10" s="5"/>
      <c r="D10" s="5"/>
      <c r="E10" s="5"/>
      <c r="F10" s="5"/>
      <c r="G10" s="221"/>
      <c r="H10" s="222" t="s">
        <v>132</v>
      </c>
      <c r="I10" s="137"/>
      <c r="J10" s="137"/>
      <c r="K10" s="138"/>
      <c r="L10" s="223">
        <v>2.0</v>
      </c>
      <c r="M10" s="137"/>
      <c r="N10" s="224"/>
      <c r="O10" s="225"/>
      <c r="P10" s="5"/>
      <c r="Q10" s="5"/>
      <c r="R10" s="5"/>
      <c r="S10" s="5"/>
      <c r="T10" s="6"/>
      <c r="U10" s="1"/>
      <c r="V10" s="1"/>
      <c r="W10" s="1"/>
      <c r="X10" s="1"/>
      <c r="Y10" s="1"/>
      <c r="Z10" s="1"/>
    </row>
    <row r="11">
      <c r="A11" s="1"/>
      <c r="B11" s="8"/>
      <c r="G11" s="11"/>
      <c r="H11" s="29" t="s">
        <v>4</v>
      </c>
      <c r="I11" s="30"/>
      <c r="J11" s="30"/>
      <c r="K11" s="31"/>
      <c r="L11" s="226">
        <v>20.0</v>
      </c>
      <c r="M11" s="30"/>
      <c r="N11" s="33"/>
      <c r="O11" s="9"/>
      <c r="T11" s="10"/>
      <c r="U11" s="1"/>
      <c r="V11" s="1"/>
      <c r="W11" s="1"/>
      <c r="X11" s="1"/>
      <c r="Y11" s="1"/>
      <c r="Z11" s="1"/>
    </row>
    <row r="12">
      <c r="A12" s="1"/>
      <c r="B12" s="8"/>
      <c r="G12" s="11"/>
      <c r="H12" s="29" t="s">
        <v>133</v>
      </c>
      <c r="I12" s="30"/>
      <c r="J12" s="30"/>
      <c r="K12" s="31"/>
      <c r="L12" s="227">
        <v>10.0</v>
      </c>
      <c r="M12" s="30"/>
      <c r="N12" s="33"/>
      <c r="O12" s="9"/>
      <c r="T12" s="10"/>
      <c r="U12" s="1"/>
      <c r="V12" s="1"/>
      <c r="W12" s="1"/>
      <c r="X12" s="1"/>
      <c r="Y12" s="1"/>
      <c r="Z12" s="1"/>
    </row>
    <row r="13" ht="15.75" customHeight="1">
      <c r="A13" s="1"/>
      <c r="B13" s="8"/>
      <c r="G13" s="11"/>
      <c r="H13" s="204" t="s">
        <v>134</v>
      </c>
      <c r="I13" s="37"/>
      <c r="J13" s="37"/>
      <c r="K13" s="38"/>
      <c r="L13" s="228">
        <v>3.0</v>
      </c>
      <c r="M13" s="37"/>
      <c r="N13" s="40"/>
      <c r="O13" s="9"/>
      <c r="T13" s="10"/>
      <c r="U13" s="1"/>
      <c r="V13" s="1"/>
      <c r="W13" s="1"/>
      <c r="X13" s="1"/>
      <c r="Y13" s="1"/>
      <c r="Z13" s="1"/>
    </row>
    <row r="14" ht="15.75" customHeight="1">
      <c r="A14" s="1"/>
      <c r="B14" s="8"/>
      <c r="G14" s="11"/>
      <c r="H14" s="229" t="s">
        <v>30</v>
      </c>
      <c r="I14" s="215"/>
      <c r="J14" s="215"/>
      <c r="K14" s="230"/>
      <c r="L14" s="231">
        <f>L10*L11/L12*L13</f>
        <v>12</v>
      </c>
      <c r="M14" s="215"/>
      <c r="N14" s="122"/>
      <c r="O14" s="9"/>
      <c r="T14" s="10"/>
      <c r="U14" s="1"/>
      <c r="V14" s="1"/>
      <c r="W14" s="1"/>
      <c r="X14" s="1"/>
      <c r="Y14" s="1"/>
      <c r="Z14" s="1"/>
    </row>
    <row r="15" ht="15.75" customHeight="1">
      <c r="A15" s="1"/>
      <c r="B15" s="12"/>
      <c r="C15" s="13"/>
      <c r="D15" s="13"/>
      <c r="E15" s="13"/>
      <c r="F15" s="13"/>
      <c r="G15" s="232"/>
      <c r="H15" s="233"/>
      <c r="I15" s="234"/>
      <c r="J15" s="234"/>
      <c r="K15" s="234"/>
      <c r="L15" s="234"/>
      <c r="M15" s="234"/>
      <c r="N15" s="212"/>
      <c r="O15" s="209"/>
      <c r="P15" s="13"/>
      <c r="Q15" s="13"/>
      <c r="R15" s="13"/>
      <c r="S15" s="13"/>
      <c r="T15" s="14"/>
      <c r="U15" s="1"/>
      <c r="V15" s="1"/>
      <c r="W15" s="1"/>
      <c r="X15" s="1"/>
      <c r="Y15" s="1"/>
      <c r="Z15" s="1"/>
    </row>
    <row r="16">
      <c r="A16" s="1"/>
      <c r="B16" s="47" t="s">
        <v>135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1"/>
      <c r="V16" s="1"/>
      <c r="W16" s="1"/>
      <c r="X16" s="1"/>
      <c r="Y16" s="1"/>
      <c r="Z16" s="1"/>
    </row>
    <row r="17">
      <c r="A17" s="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"/>
      <c r="V17" s="1"/>
      <c r="W17" s="1"/>
      <c r="X17" s="1"/>
      <c r="Y17" s="1"/>
      <c r="Z17" s="1"/>
    </row>
    <row r="18" ht="15.75" customHeight="1">
      <c r="A18" s="1"/>
      <c r="B18" s="2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8"/>
      <c r="U18" s="1"/>
      <c r="V18" s="1"/>
      <c r="W18" s="1"/>
      <c r="X18" s="1"/>
      <c r="Y18" s="1"/>
      <c r="Z18" s="1"/>
    </row>
    <row r="19" ht="15.75" customHeight="1">
      <c r="A19" s="1"/>
      <c r="B19" s="229" t="s">
        <v>10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122"/>
      <c r="U19" s="1"/>
      <c r="V19" s="1"/>
      <c r="W19" s="1"/>
      <c r="X19" s="1"/>
      <c r="Y19" s="1"/>
      <c r="Z19" s="1"/>
    </row>
    <row r="20">
      <c r="A20" s="1"/>
      <c r="B20" s="23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36"/>
      <c r="U20" s="1"/>
      <c r="V20" s="1"/>
      <c r="W20" s="1"/>
      <c r="X20" s="1"/>
      <c r="Y20" s="1"/>
      <c r="Z20" s="1"/>
    </row>
    <row r="21">
      <c r="A21" s="1"/>
      <c r="B21" s="29" t="s">
        <v>136</v>
      </c>
      <c r="C21" s="30"/>
      <c r="D21" s="31"/>
      <c r="E21" s="226" t="s">
        <v>137</v>
      </c>
      <c r="F21" s="30"/>
      <c r="G21" s="31"/>
      <c r="H21" s="226" t="s">
        <v>138</v>
      </c>
      <c r="I21" s="30"/>
      <c r="J21" s="31"/>
      <c r="K21" s="226" t="s">
        <v>139</v>
      </c>
      <c r="L21" s="30"/>
      <c r="M21" s="31"/>
      <c r="N21" s="226" t="s">
        <v>140</v>
      </c>
      <c r="O21" s="30"/>
      <c r="P21" s="31"/>
      <c r="Q21" s="226" t="s">
        <v>21</v>
      </c>
      <c r="R21" s="30"/>
      <c r="S21" s="31"/>
      <c r="T21" s="28"/>
      <c r="U21" s="1"/>
      <c r="V21" s="1"/>
      <c r="W21" s="1"/>
      <c r="X21" s="1"/>
      <c r="Y21" s="1"/>
      <c r="Z21" s="1"/>
    </row>
    <row r="22">
      <c r="A22" s="1"/>
      <c r="B22" s="29" t="s">
        <v>141</v>
      </c>
      <c r="C22" s="30"/>
      <c r="D22" s="31"/>
      <c r="E22" s="226">
        <v>20.0</v>
      </c>
      <c r="F22" s="30"/>
      <c r="G22" s="31"/>
      <c r="H22" s="226"/>
      <c r="I22" s="30"/>
      <c r="J22" s="31"/>
      <c r="K22" s="226"/>
      <c r="L22" s="30"/>
      <c r="M22" s="31"/>
      <c r="N22" s="226"/>
      <c r="O22" s="30"/>
      <c r="P22" s="31"/>
      <c r="Q22" s="226"/>
      <c r="R22" s="30"/>
      <c r="S22" s="31"/>
      <c r="T22" s="28"/>
      <c r="U22" s="1"/>
      <c r="V22" s="1"/>
      <c r="W22" s="1"/>
      <c r="X22" s="1"/>
      <c r="Y22" s="1"/>
      <c r="Z22" s="1"/>
    </row>
    <row r="23">
      <c r="A23" s="1"/>
      <c r="B23" s="29" t="s">
        <v>142</v>
      </c>
      <c r="C23" s="30"/>
      <c r="D23" s="31"/>
      <c r="E23" s="226" t="s">
        <v>143</v>
      </c>
      <c r="F23" s="30"/>
      <c r="G23" s="31"/>
      <c r="H23" s="226"/>
      <c r="I23" s="30"/>
      <c r="J23" s="31"/>
      <c r="K23" s="226"/>
      <c r="L23" s="30"/>
      <c r="M23" s="31"/>
      <c r="N23" s="226"/>
      <c r="O23" s="30"/>
      <c r="P23" s="31"/>
      <c r="Q23" s="226"/>
      <c r="R23" s="30"/>
      <c r="S23" s="31"/>
      <c r="T23" s="28"/>
      <c r="U23" s="1"/>
      <c r="V23" s="1"/>
      <c r="W23" s="1"/>
      <c r="X23" s="1"/>
      <c r="Y23" s="1"/>
      <c r="Z23" s="1"/>
    </row>
    <row r="24">
      <c r="A24" s="1"/>
      <c r="B24" s="29" t="s">
        <v>144</v>
      </c>
      <c r="C24" s="30"/>
      <c r="D24" s="31"/>
      <c r="E24" s="226" t="s">
        <v>145</v>
      </c>
      <c r="F24" s="30"/>
      <c r="G24" s="31"/>
      <c r="H24" s="226"/>
      <c r="I24" s="30"/>
      <c r="J24" s="31"/>
      <c r="K24" s="226"/>
      <c r="L24" s="30"/>
      <c r="M24" s="31"/>
      <c r="N24" s="226"/>
      <c r="O24" s="30"/>
      <c r="P24" s="31"/>
      <c r="Q24" s="226"/>
      <c r="R24" s="30"/>
      <c r="S24" s="31"/>
      <c r="T24" s="28"/>
      <c r="U24" s="1"/>
      <c r="V24" s="1"/>
      <c r="W24" s="1"/>
      <c r="X24" s="1"/>
      <c r="Y24" s="1"/>
      <c r="Z24" s="1"/>
    </row>
    <row r="25">
      <c r="A25" s="1"/>
      <c r="B25" s="29" t="s">
        <v>146</v>
      </c>
      <c r="C25" s="30"/>
      <c r="D25" s="31"/>
      <c r="E25" s="226" t="s">
        <v>40</v>
      </c>
      <c r="F25" s="30"/>
      <c r="G25" s="31"/>
      <c r="H25" s="226"/>
      <c r="I25" s="30"/>
      <c r="J25" s="31"/>
      <c r="K25" s="226"/>
      <c r="L25" s="30"/>
      <c r="M25" s="31"/>
      <c r="N25" s="226"/>
      <c r="O25" s="30"/>
      <c r="P25" s="31"/>
      <c r="Q25" s="226"/>
      <c r="R25" s="30"/>
      <c r="S25" s="31"/>
      <c r="T25" s="28"/>
      <c r="U25" s="1"/>
      <c r="V25" s="1"/>
      <c r="W25" s="1"/>
      <c r="X25" s="1"/>
      <c r="Y25" s="1"/>
      <c r="Z25" s="1"/>
    </row>
    <row r="26" ht="15.75" customHeight="1">
      <c r="A26" s="1"/>
      <c r="B26" s="2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8"/>
      <c r="U26" s="1"/>
      <c r="V26" s="1"/>
      <c r="W26" s="1"/>
      <c r="X26" s="1"/>
      <c r="Y26" s="1"/>
      <c r="Z26" s="1"/>
    </row>
    <row r="27" ht="15.75" customHeight="1">
      <c r="A27" s="1"/>
      <c r="B27" s="229" t="s">
        <v>147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122"/>
      <c r="U27" s="1"/>
      <c r="V27" s="1"/>
      <c r="W27" s="1"/>
      <c r="X27" s="1"/>
      <c r="Y27" s="1"/>
      <c r="Z27" s="1"/>
    </row>
    <row r="28" ht="15.75" customHeight="1">
      <c r="A28" s="1"/>
      <c r="B28" s="23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36"/>
      <c r="U28" s="1"/>
      <c r="V28" s="1"/>
      <c r="W28" s="1"/>
      <c r="X28" s="1"/>
      <c r="Y28" s="1"/>
      <c r="Z28" s="1"/>
    </row>
    <row r="29">
      <c r="A29" s="1"/>
      <c r="B29" s="24"/>
      <c r="C29" s="1"/>
      <c r="D29" s="1"/>
      <c r="E29" s="1"/>
      <c r="F29" s="1"/>
      <c r="G29" s="1"/>
      <c r="H29" s="25" t="s">
        <v>54</v>
      </c>
      <c r="I29" s="26"/>
      <c r="J29" s="26"/>
      <c r="K29" s="165"/>
      <c r="L29" s="237">
        <v>6.0</v>
      </c>
      <c r="M29" s="26"/>
      <c r="N29" s="27"/>
      <c r="O29" s="1"/>
      <c r="P29" s="1"/>
      <c r="Q29" s="1"/>
      <c r="R29" s="1"/>
      <c r="S29" s="1"/>
      <c r="T29" s="28"/>
      <c r="U29" s="1"/>
      <c r="V29" s="1"/>
      <c r="W29" s="1"/>
      <c r="X29" s="1"/>
      <c r="Y29" s="1"/>
      <c r="Z29" s="1"/>
    </row>
    <row r="30" ht="15.75" customHeight="1">
      <c r="A30" s="1"/>
      <c r="B30" s="24"/>
      <c r="C30" s="1"/>
      <c r="D30" s="1"/>
      <c r="E30" s="1"/>
      <c r="F30" s="1"/>
      <c r="G30" s="1"/>
      <c r="H30" s="204" t="s">
        <v>148</v>
      </c>
      <c r="I30" s="37"/>
      <c r="J30" s="37"/>
      <c r="K30" s="38"/>
      <c r="L30" s="238">
        <v>1.0</v>
      </c>
      <c r="M30" s="37"/>
      <c r="N30" s="40"/>
      <c r="O30" s="1"/>
      <c r="P30" s="1"/>
      <c r="Q30" s="1"/>
      <c r="R30" s="1"/>
      <c r="S30" s="1"/>
      <c r="T30" s="28"/>
      <c r="U30" s="1"/>
      <c r="V30" s="1"/>
      <c r="W30" s="1"/>
      <c r="X30" s="1"/>
      <c r="Y30" s="1"/>
      <c r="Z30" s="1"/>
    </row>
    <row r="31" ht="15.75" customHeight="1">
      <c r="A31" s="1"/>
      <c r="B31" s="2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8"/>
      <c r="U31" s="1"/>
      <c r="V31" s="1"/>
      <c r="W31" s="1"/>
      <c r="X31" s="1"/>
      <c r="Y31" s="1"/>
      <c r="Z31" s="1"/>
    </row>
    <row r="32" ht="15.75" customHeight="1">
      <c r="A32" s="1"/>
      <c r="B32" s="229" t="s">
        <v>149</v>
      </c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122"/>
      <c r="U32" s="1"/>
      <c r="V32" s="1"/>
      <c r="W32" s="1"/>
      <c r="X32" s="1"/>
      <c r="Y32" s="1"/>
      <c r="Z32" s="1"/>
    </row>
    <row r="33" ht="15.75" customHeight="1">
      <c r="A33" s="1"/>
      <c r="B33" s="235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36"/>
      <c r="U33" s="1"/>
      <c r="V33" s="1"/>
      <c r="W33" s="1"/>
      <c r="X33" s="1"/>
      <c r="Y33" s="1"/>
      <c r="Z33" s="1"/>
    </row>
    <row r="34">
      <c r="A34" s="1"/>
      <c r="B34" s="239"/>
      <c r="C34" s="191"/>
      <c r="D34" s="191"/>
      <c r="E34" s="192"/>
      <c r="F34" s="1"/>
      <c r="G34" s="1"/>
      <c r="H34" s="25" t="s">
        <v>132</v>
      </c>
      <c r="I34" s="26"/>
      <c r="J34" s="26"/>
      <c r="K34" s="165"/>
      <c r="L34" s="237">
        <v>12.0</v>
      </c>
      <c r="M34" s="26"/>
      <c r="N34" s="27"/>
      <c r="O34" s="1"/>
      <c r="P34" s="1"/>
      <c r="Q34" s="1"/>
      <c r="R34" s="1"/>
      <c r="S34" s="1"/>
      <c r="T34" s="28"/>
      <c r="U34" s="1"/>
      <c r="V34" s="1"/>
      <c r="W34" s="1"/>
      <c r="X34" s="1"/>
      <c r="Y34" s="1"/>
      <c r="Z34" s="1"/>
    </row>
    <row r="35">
      <c r="A35" s="1"/>
      <c r="B35" s="239"/>
      <c r="C35" s="191"/>
      <c r="D35" s="191"/>
      <c r="E35" s="192"/>
      <c r="F35" s="1"/>
      <c r="G35" s="1"/>
      <c r="H35" s="29" t="s">
        <v>4</v>
      </c>
      <c r="I35" s="30"/>
      <c r="J35" s="30"/>
      <c r="K35" s="31"/>
      <c r="L35" s="226">
        <v>20.0</v>
      </c>
      <c r="M35" s="30"/>
      <c r="N35" s="33"/>
      <c r="O35" s="1"/>
      <c r="P35" s="1"/>
      <c r="Q35" s="1"/>
      <c r="R35" s="1"/>
      <c r="S35" s="1"/>
      <c r="T35" s="28"/>
      <c r="U35" s="1"/>
      <c r="V35" s="1"/>
      <c r="W35" s="1"/>
      <c r="X35" s="1"/>
      <c r="Y35" s="1"/>
      <c r="Z35" s="1"/>
    </row>
    <row r="36">
      <c r="A36" s="1"/>
      <c r="B36" s="239"/>
      <c r="C36" s="191"/>
      <c r="D36" s="191"/>
      <c r="E36" s="192"/>
      <c r="F36" s="1"/>
      <c r="G36" s="1"/>
      <c r="H36" s="29" t="s">
        <v>133</v>
      </c>
      <c r="I36" s="30"/>
      <c r="J36" s="30"/>
      <c r="K36" s="31"/>
      <c r="L36" s="193">
        <v>10.0</v>
      </c>
      <c r="M36" s="30"/>
      <c r="N36" s="33"/>
      <c r="O36" s="1"/>
      <c r="P36" s="1"/>
      <c r="Q36" s="1"/>
      <c r="R36" s="1"/>
      <c r="S36" s="1"/>
      <c r="T36" s="28"/>
      <c r="U36" s="1"/>
      <c r="V36" s="1"/>
      <c r="W36" s="1"/>
      <c r="X36" s="1"/>
      <c r="Y36" s="1"/>
      <c r="Z36" s="1"/>
    </row>
    <row r="37" ht="15.75" customHeight="1">
      <c r="A37" s="1"/>
      <c r="B37" s="239"/>
      <c r="C37" s="191"/>
      <c r="D37" s="191"/>
      <c r="E37" s="192"/>
      <c r="F37" s="1"/>
      <c r="G37" s="1"/>
      <c r="H37" s="240" t="s">
        <v>134</v>
      </c>
      <c r="I37" s="175"/>
      <c r="J37" s="175"/>
      <c r="K37" s="176"/>
      <c r="L37" s="241">
        <v>3.0</v>
      </c>
      <c r="M37" s="175"/>
      <c r="N37" s="242"/>
      <c r="O37" s="1"/>
      <c r="P37" s="1"/>
      <c r="Q37" s="1"/>
      <c r="R37" s="1"/>
      <c r="S37" s="1"/>
      <c r="T37" s="28"/>
      <c r="U37" s="1"/>
      <c r="V37" s="1"/>
      <c r="W37" s="1"/>
      <c r="X37" s="1"/>
      <c r="Y37" s="1"/>
      <c r="Z37" s="1"/>
    </row>
    <row r="38" ht="15.75" customHeight="1">
      <c r="A38" s="1"/>
      <c r="B38" s="239"/>
      <c r="C38" s="191"/>
      <c r="D38" s="191"/>
      <c r="E38" s="192"/>
      <c r="F38" s="1"/>
      <c r="G38" s="1"/>
      <c r="H38" s="229" t="s">
        <v>30</v>
      </c>
      <c r="I38" s="215"/>
      <c r="J38" s="215"/>
      <c r="K38" s="230"/>
      <c r="L38" s="231">
        <f>L34*L35/L36*L37</f>
        <v>72</v>
      </c>
      <c r="M38" s="215"/>
      <c r="N38" s="122"/>
      <c r="O38" s="1"/>
      <c r="P38" s="1"/>
      <c r="Q38" s="1"/>
      <c r="R38" s="1"/>
      <c r="S38" s="1"/>
      <c r="T38" s="28"/>
      <c r="U38" s="1"/>
      <c r="V38" s="1"/>
      <c r="W38" s="1"/>
      <c r="X38" s="1"/>
      <c r="Y38" s="1"/>
      <c r="Z38" s="1"/>
    </row>
    <row r="39" ht="15.75" customHeight="1">
      <c r="A39" s="1"/>
      <c r="B39" s="2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8"/>
      <c r="U39" s="1"/>
      <c r="V39" s="1"/>
      <c r="W39" s="1"/>
      <c r="X39" s="1"/>
      <c r="Y39" s="1"/>
      <c r="Z39" s="1"/>
    </row>
    <row r="40" ht="15.75" customHeight="1">
      <c r="A40" s="1"/>
      <c r="B40" s="229" t="s">
        <v>79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122"/>
      <c r="U40" s="1"/>
      <c r="V40" s="1"/>
      <c r="W40" s="1"/>
      <c r="X40" s="1"/>
      <c r="Y40" s="1"/>
      <c r="Z40" s="1"/>
    </row>
    <row r="41">
      <c r="A41" s="1"/>
      <c r="B41" s="23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36"/>
      <c r="U41" s="1"/>
      <c r="V41" s="1"/>
      <c r="W41" s="1"/>
      <c r="X41" s="1"/>
      <c r="Y41" s="1"/>
      <c r="Z41" s="1"/>
    </row>
    <row r="42">
      <c r="A42" s="1"/>
      <c r="B42" s="24"/>
      <c r="C42" s="190"/>
      <c r="D42" s="191"/>
      <c r="E42" s="243"/>
      <c r="F42" s="193" t="s">
        <v>108</v>
      </c>
      <c r="G42" s="30"/>
      <c r="H42" s="30"/>
      <c r="I42" s="30"/>
      <c r="J42" s="30"/>
      <c r="K42" s="30"/>
      <c r="L42" s="31"/>
      <c r="M42" s="193" t="s">
        <v>109</v>
      </c>
      <c r="N42" s="31"/>
      <c r="O42" s="77" t="s">
        <v>110</v>
      </c>
      <c r="P42" s="193" t="s">
        <v>30</v>
      </c>
      <c r="Q42" s="31"/>
      <c r="R42" s="1"/>
      <c r="S42" s="1"/>
      <c r="T42" s="28"/>
      <c r="U42" s="1"/>
      <c r="V42" s="1"/>
      <c r="W42" s="1"/>
      <c r="X42" s="1"/>
      <c r="Y42" s="1"/>
      <c r="Z42" s="1"/>
    </row>
    <row r="43">
      <c r="A43" s="1"/>
      <c r="B43" s="24"/>
      <c r="C43" s="244"/>
      <c r="D43" s="191"/>
      <c r="E43" s="243"/>
      <c r="F43" s="245" t="s">
        <v>150</v>
      </c>
      <c r="G43" s="30"/>
      <c r="H43" s="30"/>
      <c r="I43" s="30"/>
      <c r="J43" s="30"/>
      <c r="K43" s="30"/>
      <c r="L43" s="31"/>
      <c r="M43" s="227">
        <f>IF(K67="Boleto com registro",7.6,IF(K67="Boleto sem registro",5.3,0))</f>
        <v>7.6</v>
      </c>
      <c r="N43" s="31"/>
      <c r="O43" s="113">
        <f>IF(K67="Depósito em conta",0,K65)</f>
        <v>3</v>
      </c>
      <c r="P43" s="227">
        <f t="shared" ref="P43:P51" si="1">M43*O43</f>
        <v>22.8</v>
      </c>
      <c r="Q43" s="31"/>
      <c r="R43" s="1"/>
      <c r="S43" s="1"/>
      <c r="T43" s="28"/>
      <c r="U43" s="1"/>
      <c r="V43" s="1"/>
      <c r="W43" s="1"/>
      <c r="X43" s="1"/>
      <c r="Y43" s="1"/>
      <c r="Z43" s="1"/>
    </row>
    <row r="44">
      <c r="A44" s="1"/>
      <c r="B44" s="24"/>
      <c r="C44" s="244"/>
      <c r="D44" s="191"/>
      <c r="E44" s="243"/>
      <c r="F44" s="245" t="s">
        <v>151</v>
      </c>
      <c r="G44" s="30"/>
      <c r="H44" s="30"/>
      <c r="I44" s="30"/>
      <c r="J44" s="30"/>
      <c r="K44" s="30"/>
      <c r="L44" s="31"/>
      <c r="M44" s="227">
        <v>7.8</v>
      </c>
      <c r="N44" s="31"/>
      <c r="O44" s="246">
        <v>1.0</v>
      </c>
      <c r="P44" s="227">
        <f t="shared" si="1"/>
        <v>7.8</v>
      </c>
      <c r="Q44" s="31"/>
      <c r="R44" s="1"/>
      <c r="S44" s="1"/>
      <c r="T44" s="28"/>
      <c r="U44" s="1"/>
      <c r="V44" s="1"/>
      <c r="W44" s="1"/>
      <c r="X44" s="1"/>
      <c r="Y44" s="1"/>
      <c r="Z44" s="1"/>
    </row>
    <row r="45">
      <c r="A45" s="1"/>
      <c r="B45" s="24"/>
      <c r="C45" s="244"/>
      <c r="D45" s="191"/>
      <c r="E45" s="243"/>
      <c r="F45" s="245" t="s">
        <v>152</v>
      </c>
      <c r="G45" s="30"/>
      <c r="H45" s="30"/>
      <c r="I45" s="30"/>
      <c r="J45" s="30"/>
      <c r="K45" s="30"/>
      <c r="L45" s="31"/>
      <c r="M45" s="227">
        <v>50.0</v>
      </c>
      <c r="N45" s="31"/>
      <c r="O45" s="246">
        <v>1.0</v>
      </c>
      <c r="P45" s="227">
        <f t="shared" si="1"/>
        <v>50</v>
      </c>
      <c r="Q45" s="31"/>
      <c r="R45" s="1"/>
      <c r="S45" s="1"/>
      <c r="T45" s="28"/>
      <c r="U45" s="1"/>
      <c r="V45" s="1"/>
      <c r="W45" s="1"/>
      <c r="X45" s="1"/>
      <c r="Y45" s="1"/>
      <c r="Z45" s="1"/>
    </row>
    <row r="46">
      <c r="A46" s="1"/>
      <c r="B46" s="24"/>
      <c r="C46" s="244"/>
      <c r="D46" s="191"/>
      <c r="E46" s="243"/>
      <c r="F46" s="245"/>
      <c r="G46" s="30"/>
      <c r="H46" s="30"/>
      <c r="I46" s="30"/>
      <c r="J46" s="30"/>
      <c r="K46" s="30"/>
      <c r="L46" s="31"/>
      <c r="M46" s="247"/>
      <c r="N46" s="31"/>
      <c r="O46" s="246"/>
      <c r="P46" s="227">
        <f t="shared" si="1"/>
        <v>0</v>
      </c>
      <c r="Q46" s="31"/>
      <c r="R46" s="1"/>
      <c r="S46" s="1"/>
      <c r="T46" s="28"/>
      <c r="U46" s="1"/>
      <c r="V46" s="1"/>
      <c r="W46" s="1"/>
      <c r="X46" s="1"/>
      <c r="Y46" s="1"/>
      <c r="Z46" s="1"/>
    </row>
    <row r="47">
      <c r="A47" s="1"/>
      <c r="B47" s="24"/>
      <c r="C47" s="244"/>
      <c r="D47" s="191"/>
      <c r="E47" s="243"/>
      <c r="F47" s="245"/>
      <c r="G47" s="30"/>
      <c r="H47" s="30"/>
      <c r="I47" s="30"/>
      <c r="J47" s="30"/>
      <c r="K47" s="30"/>
      <c r="L47" s="31"/>
      <c r="M47" s="247"/>
      <c r="N47" s="31"/>
      <c r="O47" s="246"/>
      <c r="P47" s="227">
        <f t="shared" si="1"/>
        <v>0</v>
      </c>
      <c r="Q47" s="31"/>
      <c r="R47" s="1"/>
      <c r="S47" s="1"/>
      <c r="T47" s="28"/>
      <c r="U47" s="1"/>
      <c r="V47" s="1"/>
      <c r="W47" s="1"/>
      <c r="X47" s="1"/>
      <c r="Y47" s="1"/>
      <c r="Z47" s="1"/>
    </row>
    <row r="48">
      <c r="A48" s="1"/>
      <c r="B48" s="24"/>
      <c r="C48" s="244"/>
      <c r="D48" s="191"/>
      <c r="E48" s="243"/>
      <c r="F48" s="245"/>
      <c r="G48" s="30"/>
      <c r="H48" s="30"/>
      <c r="I48" s="30"/>
      <c r="J48" s="30"/>
      <c r="K48" s="30"/>
      <c r="L48" s="31"/>
      <c r="M48" s="247"/>
      <c r="N48" s="31"/>
      <c r="O48" s="246"/>
      <c r="P48" s="227">
        <f t="shared" si="1"/>
        <v>0</v>
      </c>
      <c r="Q48" s="31"/>
      <c r="R48" s="1"/>
      <c r="S48" s="1"/>
      <c r="T48" s="28"/>
      <c r="U48" s="1"/>
      <c r="V48" s="1"/>
      <c r="W48" s="1"/>
      <c r="X48" s="1"/>
      <c r="Y48" s="1"/>
      <c r="Z48" s="1"/>
    </row>
    <row r="49">
      <c r="A49" s="1"/>
      <c r="B49" s="24"/>
      <c r="C49" s="244"/>
      <c r="D49" s="191"/>
      <c r="E49" s="243"/>
      <c r="F49" s="245"/>
      <c r="G49" s="30"/>
      <c r="H49" s="30"/>
      <c r="I49" s="30"/>
      <c r="J49" s="30"/>
      <c r="K49" s="30"/>
      <c r="L49" s="31"/>
      <c r="M49" s="247"/>
      <c r="N49" s="31"/>
      <c r="O49" s="246"/>
      <c r="P49" s="227">
        <f t="shared" si="1"/>
        <v>0</v>
      </c>
      <c r="Q49" s="31"/>
      <c r="R49" s="1"/>
      <c r="S49" s="1"/>
      <c r="T49" s="28"/>
      <c r="U49" s="1"/>
      <c r="V49" s="1"/>
      <c r="W49" s="1"/>
      <c r="X49" s="1"/>
      <c r="Y49" s="1"/>
      <c r="Z49" s="1"/>
    </row>
    <row r="50">
      <c r="A50" s="1"/>
      <c r="B50" s="24"/>
      <c r="C50" s="244"/>
      <c r="D50" s="191"/>
      <c r="E50" s="243"/>
      <c r="F50" s="245"/>
      <c r="G50" s="30"/>
      <c r="H50" s="30"/>
      <c r="I50" s="30"/>
      <c r="J50" s="30"/>
      <c r="K50" s="30"/>
      <c r="L50" s="31"/>
      <c r="M50" s="247"/>
      <c r="N50" s="31"/>
      <c r="O50" s="246"/>
      <c r="P50" s="227">
        <f t="shared" si="1"/>
        <v>0</v>
      </c>
      <c r="Q50" s="31"/>
      <c r="R50" s="1"/>
      <c r="S50" s="1"/>
      <c r="T50" s="28"/>
      <c r="U50" s="1"/>
      <c r="V50" s="1"/>
      <c r="W50" s="1"/>
      <c r="X50" s="1"/>
      <c r="Y50" s="1"/>
      <c r="Z50" s="1"/>
    </row>
    <row r="51" ht="15.75" customHeight="1">
      <c r="A51" s="1"/>
      <c r="B51" s="24"/>
      <c r="C51" s="244"/>
      <c r="D51" s="191"/>
      <c r="E51" s="243"/>
      <c r="F51" s="248"/>
      <c r="G51" s="175"/>
      <c r="H51" s="175"/>
      <c r="I51" s="175"/>
      <c r="J51" s="175"/>
      <c r="K51" s="175"/>
      <c r="L51" s="176"/>
      <c r="M51" s="249"/>
      <c r="N51" s="176"/>
      <c r="O51" s="250"/>
      <c r="P51" s="251">
        <f t="shared" si="1"/>
        <v>0</v>
      </c>
      <c r="Q51" s="176"/>
      <c r="R51" s="1"/>
      <c r="S51" s="1"/>
      <c r="T51" s="28"/>
      <c r="U51" s="1"/>
      <c r="V51" s="1"/>
      <c r="W51" s="1"/>
      <c r="X51" s="1"/>
      <c r="Y51" s="1"/>
      <c r="Z51" s="1"/>
    </row>
    <row r="52" ht="15.75" customHeight="1">
      <c r="A52" s="1"/>
      <c r="B52" s="24"/>
      <c r="C52" s="244"/>
      <c r="D52" s="191"/>
      <c r="E52" s="192"/>
      <c r="F52" s="229" t="s">
        <v>7</v>
      </c>
      <c r="G52" s="215"/>
      <c r="H52" s="215"/>
      <c r="I52" s="215"/>
      <c r="J52" s="215"/>
      <c r="K52" s="215"/>
      <c r="L52" s="230"/>
      <c r="M52" s="252"/>
      <c r="N52" s="230"/>
      <c r="O52" s="253"/>
      <c r="P52" s="252">
        <f>SUM(P43:Q51)</f>
        <v>80.6</v>
      </c>
      <c r="Q52" s="122"/>
      <c r="R52" s="1"/>
      <c r="S52" s="1"/>
      <c r="T52" s="28"/>
      <c r="U52" s="1"/>
      <c r="V52" s="1"/>
      <c r="W52" s="1"/>
      <c r="X52" s="1"/>
      <c r="Y52" s="1"/>
      <c r="Z52" s="1"/>
    </row>
    <row r="53">
      <c r="A53" s="1"/>
      <c r="B53" s="24"/>
      <c r="C53" s="1"/>
      <c r="D53" s="1"/>
      <c r="E53" s="25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8"/>
      <c r="U53" s="1"/>
      <c r="V53" s="1"/>
      <c r="W53" s="1"/>
      <c r="X53" s="1"/>
      <c r="Y53" s="1"/>
      <c r="Z53" s="1"/>
    </row>
    <row r="54">
      <c r="A54" s="1"/>
      <c r="B54" s="239"/>
      <c r="C54" s="191"/>
      <c r="D54" s="191"/>
      <c r="E54" s="191"/>
      <c r="F54" s="191"/>
      <c r="G54" s="191"/>
      <c r="H54" s="191"/>
      <c r="I54" s="192"/>
      <c r="J54" s="1"/>
      <c r="K54" s="1"/>
      <c r="L54" s="1"/>
      <c r="M54" s="1"/>
      <c r="N54" s="1"/>
      <c r="O54" s="1"/>
      <c r="P54" s="1"/>
      <c r="Q54" s="1"/>
      <c r="R54" s="1"/>
      <c r="S54" s="1"/>
      <c r="T54" s="28"/>
      <c r="U54" s="1"/>
      <c r="V54" s="1"/>
      <c r="W54" s="1"/>
      <c r="X54" s="1"/>
      <c r="Y54" s="1"/>
      <c r="Z54" s="1"/>
    </row>
    <row r="55" ht="15.75" customHeight="1">
      <c r="A55" s="1"/>
      <c r="B55" s="229" t="s">
        <v>75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122"/>
      <c r="T55" s="28"/>
      <c r="U55" s="1"/>
      <c r="V55" s="1"/>
      <c r="W55" s="1"/>
      <c r="X55" s="1"/>
      <c r="Y55" s="1"/>
      <c r="Z55" s="1"/>
    </row>
    <row r="56">
      <c r="A56" s="1"/>
      <c r="B56" s="239"/>
      <c r="C56" s="192"/>
      <c r="D56" s="255"/>
      <c r="E56" s="1"/>
      <c r="F56" s="206"/>
      <c r="G56" s="206"/>
      <c r="H56" s="190"/>
      <c r="I56" s="192"/>
      <c r="J56" s="1"/>
      <c r="K56" s="1"/>
      <c r="L56" s="1"/>
      <c r="M56" s="1"/>
      <c r="N56" s="1"/>
      <c r="O56" s="1"/>
      <c r="P56" s="1"/>
      <c r="Q56" s="1"/>
      <c r="R56" s="1"/>
      <c r="S56" s="1"/>
      <c r="T56" s="28"/>
      <c r="U56" s="1"/>
      <c r="V56" s="1"/>
      <c r="W56" s="1"/>
      <c r="X56" s="1"/>
      <c r="Y56" s="1"/>
      <c r="Z56" s="1"/>
    </row>
    <row r="57">
      <c r="A57" s="1"/>
      <c r="B57" s="239"/>
      <c r="C57" s="192"/>
      <c r="D57" s="255"/>
      <c r="E57" s="206"/>
      <c r="F57" s="206"/>
      <c r="G57" s="206"/>
      <c r="H57" s="193" t="s">
        <v>153</v>
      </c>
      <c r="I57" s="30"/>
      <c r="J57" s="31"/>
      <c r="K57" s="226"/>
      <c r="L57" s="30"/>
      <c r="M57" s="31"/>
      <c r="N57" s="1"/>
      <c r="O57" s="1"/>
      <c r="P57" s="1"/>
      <c r="Q57" s="1"/>
      <c r="R57" s="1"/>
      <c r="S57" s="1"/>
      <c r="T57" s="28"/>
      <c r="U57" s="1"/>
      <c r="V57" s="1"/>
      <c r="W57" s="1"/>
      <c r="X57" s="1"/>
      <c r="Y57" s="1"/>
      <c r="Z57" s="1"/>
    </row>
    <row r="58">
      <c r="A58" s="1"/>
      <c r="B58" s="239"/>
      <c r="C58" s="192"/>
      <c r="D58" s="255"/>
      <c r="E58" s="206"/>
      <c r="F58" s="206"/>
      <c r="G58" s="206"/>
      <c r="H58" s="193" t="s">
        <v>154</v>
      </c>
      <c r="I58" s="30"/>
      <c r="J58" s="31"/>
      <c r="K58" s="226"/>
      <c r="L58" s="30"/>
      <c r="M58" s="31"/>
      <c r="N58" s="1"/>
      <c r="O58" s="1"/>
      <c r="P58" s="1"/>
      <c r="Q58" s="1"/>
      <c r="R58" s="1"/>
      <c r="S58" s="1"/>
      <c r="T58" s="28"/>
      <c r="U58" s="1"/>
      <c r="V58" s="1"/>
      <c r="W58" s="1"/>
      <c r="X58" s="1"/>
      <c r="Y58" s="1"/>
      <c r="Z58" s="1"/>
    </row>
    <row r="59">
      <c r="A59" s="1"/>
      <c r="B59" s="239"/>
      <c r="C59" s="192"/>
      <c r="D59" s="255"/>
      <c r="E59" s="206"/>
      <c r="F59" s="206"/>
      <c r="G59" s="206"/>
      <c r="H59" s="193" t="s">
        <v>155</v>
      </c>
      <c r="I59" s="30"/>
      <c r="J59" s="31"/>
      <c r="K59" s="226"/>
      <c r="L59" s="30"/>
      <c r="M59" s="31"/>
      <c r="N59" s="1"/>
      <c r="O59" s="1"/>
      <c r="P59" s="1"/>
      <c r="Q59" s="1"/>
      <c r="R59" s="1"/>
      <c r="S59" s="1"/>
      <c r="T59" s="28"/>
      <c r="U59" s="1"/>
      <c r="V59" s="1"/>
      <c r="W59" s="1"/>
      <c r="X59" s="1"/>
      <c r="Y59" s="1"/>
      <c r="Z59" s="1"/>
    </row>
    <row r="60">
      <c r="A60" s="1"/>
      <c r="B60" s="239"/>
      <c r="C60" s="192"/>
      <c r="D60" s="255"/>
      <c r="E60" s="206"/>
      <c r="F60" s="206"/>
      <c r="G60" s="206"/>
      <c r="H60" s="190"/>
      <c r="I60" s="191"/>
      <c r="J60" s="192"/>
      <c r="K60" s="190"/>
      <c r="L60" s="191"/>
      <c r="M60" s="192"/>
      <c r="N60" s="1"/>
      <c r="O60" s="1"/>
      <c r="P60" s="1"/>
      <c r="Q60" s="1"/>
      <c r="R60" s="1"/>
      <c r="S60" s="1"/>
      <c r="T60" s="28"/>
      <c r="U60" s="1"/>
      <c r="V60" s="1"/>
      <c r="W60" s="1"/>
      <c r="X60" s="1"/>
      <c r="Y60" s="1"/>
      <c r="Z60" s="1"/>
    </row>
    <row r="61">
      <c r="A61" s="1"/>
      <c r="B61" s="239"/>
      <c r="C61" s="192"/>
      <c r="D61" s="255"/>
      <c r="E61" s="206"/>
      <c r="F61" s="206"/>
      <c r="G61" s="206"/>
      <c r="H61" s="20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8"/>
      <c r="U61" s="1"/>
      <c r="V61" s="1"/>
      <c r="W61" s="1"/>
      <c r="X61" s="1"/>
      <c r="Y61" s="1"/>
      <c r="Z61" s="1"/>
    </row>
    <row r="62" ht="15.75" customHeight="1">
      <c r="A62" s="1"/>
      <c r="B62" s="239"/>
      <c r="C62" s="192"/>
      <c r="D62" s="255"/>
      <c r="E62" s="206"/>
      <c r="F62" s="206"/>
      <c r="G62" s="206"/>
      <c r="H62" s="20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8"/>
      <c r="U62" s="1"/>
      <c r="V62" s="1"/>
      <c r="W62" s="1"/>
      <c r="X62" s="1"/>
      <c r="Y62" s="1"/>
      <c r="Z62" s="1"/>
    </row>
    <row r="63" ht="15.75" customHeight="1">
      <c r="A63" s="1"/>
      <c r="B63" s="229" t="s">
        <v>122</v>
      </c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122"/>
      <c r="T63" s="28"/>
      <c r="U63" s="1"/>
      <c r="V63" s="1"/>
      <c r="W63" s="1"/>
      <c r="X63" s="1"/>
      <c r="Y63" s="1"/>
      <c r="Z63" s="1"/>
    </row>
    <row r="64">
      <c r="A64" s="1"/>
      <c r="B64" s="2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8"/>
      <c r="U64" s="1"/>
      <c r="V64" s="1"/>
      <c r="W64" s="1"/>
      <c r="X64" s="1"/>
      <c r="Y64" s="1"/>
      <c r="Z64" s="1"/>
    </row>
    <row r="65">
      <c r="A65" s="1"/>
      <c r="B65" s="24"/>
      <c r="C65" s="1"/>
      <c r="D65" s="1"/>
      <c r="E65" s="1"/>
      <c r="F65" s="1"/>
      <c r="G65" s="1"/>
      <c r="H65" s="193" t="s">
        <v>156</v>
      </c>
      <c r="I65" s="30"/>
      <c r="J65" s="31"/>
      <c r="K65" s="226">
        <v>3.0</v>
      </c>
      <c r="L65" s="30"/>
      <c r="M65" s="31"/>
      <c r="N65" s="1"/>
      <c r="O65" s="1"/>
      <c r="P65" s="1"/>
      <c r="Q65" s="1"/>
      <c r="R65" s="1"/>
      <c r="S65" s="1"/>
      <c r="T65" s="28"/>
      <c r="U65" s="1"/>
      <c r="V65" s="1"/>
      <c r="W65" s="1"/>
      <c r="X65" s="1"/>
      <c r="Y65" s="1"/>
      <c r="Z65" s="1"/>
    </row>
    <row r="66">
      <c r="A66" s="1"/>
      <c r="B66" s="24"/>
      <c r="C66" s="1"/>
      <c r="D66" s="1"/>
      <c r="E66" s="1"/>
      <c r="F66" s="1"/>
      <c r="G66" s="1"/>
      <c r="H66" s="193" t="s">
        <v>124</v>
      </c>
      <c r="I66" s="30"/>
      <c r="J66" s="31"/>
      <c r="K66" s="193">
        <f>D78/K65</f>
        <v>709.9603333</v>
      </c>
      <c r="L66" s="30"/>
      <c r="M66" s="31"/>
      <c r="N66" s="1"/>
      <c r="O66" s="1"/>
      <c r="P66" s="1"/>
      <c r="Q66" s="1"/>
      <c r="R66" s="1"/>
      <c r="S66" s="1"/>
      <c r="T66" s="28"/>
      <c r="U66" s="1"/>
      <c r="V66" s="1"/>
      <c r="W66" s="1"/>
      <c r="X66" s="1"/>
      <c r="Y66" s="1"/>
      <c r="Z66" s="1"/>
    </row>
    <row r="67">
      <c r="A67" s="1"/>
      <c r="B67" s="24"/>
      <c r="C67" s="1"/>
      <c r="D67" s="1"/>
      <c r="E67" s="1"/>
      <c r="F67" s="1"/>
      <c r="G67" s="1"/>
      <c r="H67" s="193" t="s">
        <v>157</v>
      </c>
      <c r="I67" s="30"/>
      <c r="J67" s="31"/>
      <c r="K67" s="226" t="s">
        <v>158</v>
      </c>
      <c r="L67" s="30"/>
      <c r="M67" s="31"/>
      <c r="N67" s="1"/>
      <c r="O67" s="1"/>
      <c r="P67" s="1"/>
      <c r="Q67" s="1"/>
      <c r="R67" s="1"/>
      <c r="S67" s="1"/>
      <c r="T67" s="28"/>
      <c r="U67" s="1"/>
      <c r="V67" s="1"/>
      <c r="W67" s="1"/>
      <c r="X67" s="1"/>
      <c r="Y67" s="1"/>
      <c r="Z67" s="1"/>
    </row>
    <row r="68">
      <c r="A68" s="1"/>
      <c r="B68" s="24"/>
      <c r="C68" s="1"/>
      <c r="D68" s="1"/>
      <c r="E68" s="1"/>
      <c r="F68" s="1"/>
      <c r="G68" s="1"/>
      <c r="H68" s="193" t="s">
        <v>126</v>
      </c>
      <c r="I68" s="30"/>
      <c r="J68" s="31"/>
      <c r="K68" s="193"/>
      <c r="L68" s="30"/>
      <c r="M68" s="31"/>
      <c r="N68" s="1"/>
      <c r="O68" s="1"/>
      <c r="P68" s="1"/>
      <c r="Q68" s="1"/>
      <c r="R68" s="1"/>
      <c r="S68" s="1"/>
      <c r="T68" s="28"/>
      <c r="U68" s="1"/>
      <c r="V68" s="1"/>
      <c r="W68" s="1"/>
      <c r="X68" s="1"/>
      <c r="Y68" s="1"/>
      <c r="Z68" s="1"/>
    </row>
    <row r="69">
      <c r="A69" s="1"/>
      <c r="B69" s="24"/>
      <c r="C69" s="1"/>
      <c r="D69" s="1"/>
      <c r="E69" s="1"/>
      <c r="F69" s="1"/>
      <c r="G69" s="1"/>
      <c r="H69" s="20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8"/>
      <c r="U69" s="1"/>
      <c r="V69" s="1"/>
      <c r="W69" s="1"/>
      <c r="X69" s="1"/>
      <c r="Y69" s="1"/>
      <c r="Z69" s="1"/>
    </row>
    <row r="70" ht="15.75" customHeight="1">
      <c r="A70" s="1"/>
      <c r="B70" s="2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8"/>
      <c r="U70" s="1"/>
      <c r="V70" s="1"/>
      <c r="W70" s="1"/>
      <c r="X70" s="1"/>
      <c r="Y70" s="1"/>
      <c r="Z70" s="1"/>
    </row>
    <row r="71" ht="15.75" customHeight="1">
      <c r="A71" s="1"/>
      <c r="B71" s="229" t="s">
        <v>159</v>
      </c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122"/>
      <c r="T71" s="28"/>
      <c r="U71" s="1"/>
      <c r="V71" s="1"/>
      <c r="W71" s="1"/>
      <c r="X71" s="1"/>
      <c r="Y71" s="1"/>
      <c r="Z71" s="1"/>
    </row>
    <row r="72">
      <c r="A72" s="1"/>
      <c r="B72" s="2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8"/>
      <c r="U72" s="1"/>
      <c r="V72" s="1"/>
      <c r="W72" s="1"/>
      <c r="X72" s="1"/>
      <c r="Y72" s="1"/>
      <c r="Z72" s="1"/>
    </row>
    <row r="73">
      <c r="A73" s="1"/>
      <c r="B73" s="24"/>
      <c r="C73" s="1"/>
      <c r="D73" s="1"/>
      <c r="E73" s="1"/>
      <c r="F73" s="1"/>
      <c r="G73" s="1"/>
      <c r="H73" s="193" t="s">
        <v>84</v>
      </c>
      <c r="I73" s="30"/>
      <c r="J73" s="31"/>
      <c r="K73" s="256">
        <v>0.05</v>
      </c>
      <c r="L73" s="30"/>
      <c r="M73" s="31"/>
      <c r="N73" s="1"/>
      <c r="O73" s="1"/>
      <c r="P73" s="1"/>
      <c r="Q73" s="1"/>
      <c r="R73" s="1"/>
      <c r="S73" s="1"/>
      <c r="T73" s="28"/>
      <c r="U73" s="1"/>
      <c r="V73" s="1"/>
      <c r="W73" s="1"/>
      <c r="X73" s="1"/>
      <c r="Y73" s="1"/>
      <c r="Z73" s="1"/>
    </row>
    <row r="74">
      <c r="A74" s="1"/>
      <c r="B74" s="24"/>
      <c r="C74" s="1"/>
      <c r="D74" s="1"/>
      <c r="E74" s="1"/>
      <c r="F74" s="1"/>
      <c r="G74" s="1"/>
      <c r="H74" s="193" t="s">
        <v>160</v>
      </c>
      <c r="I74" s="30"/>
      <c r="J74" s="31"/>
      <c r="K74" s="193">
        <f>'Dados Assessoria'!B17*ASSESSORIA!K73</f>
        <v>112.099</v>
      </c>
      <c r="L74" s="30"/>
      <c r="M74" s="31"/>
      <c r="N74" s="1"/>
      <c r="O74" s="1"/>
      <c r="P74" s="1"/>
      <c r="Q74" s="1"/>
      <c r="R74" s="1"/>
      <c r="S74" s="1"/>
      <c r="T74" s="28"/>
      <c r="U74" s="1"/>
      <c r="V74" s="1"/>
      <c r="W74" s="1"/>
      <c r="X74" s="1"/>
      <c r="Y74" s="1"/>
      <c r="Z74" s="1"/>
    </row>
    <row r="75">
      <c r="A75" s="1"/>
      <c r="B75" s="24"/>
      <c r="C75" s="1"/>
      <c r="D75" s="1"/>
      <c r="E75" s="1"/>
      <c r="F75" s="1"/>
      <c r="G75" s="1"/>
      <c r="H75" s="190"/>
      <c r="I75" s="191"/>
      <c r="J75" s="192"/>
      <c r="K75" s="190"/>
      <c r="L75" s="191"/>
      <c r="M75" s="192"/>
      <c r="N75" s="1"/>
      <c r="O75" s="1"/>
      <c r="P75" s="1"/>
      <c r="Q75" s="1"/>
      <c r="R75" s="1"/>
      <c r="S75" s="1"/>
      <c r="T75" s="28"/>
      <c r="U75" s="1"/>
      <c r="V75" s="1"/>
      <c r="W75" s="1"/>
      <c r="X75" s="1"/>
      <c r="Y75" s="1"/>
      <c r="Z75" s="1"/>
    </row>
    <row r="76">
      <c r="A76" s="1"/>
      <c r="B76" s="24"/>
      <c r="C76" s="1"/>
      <c r="D76" s="257" t="s">
        <v>7</v>
      </c>
      <c r="E76" s="4"/>
      <c r="F76" s="4"/>
      <c r="G76" s="4"/>
      <c r="H76" s="4"/>
      <c r="I76" s="7"/>
      <c r="J76" s="258"/>
      <c r="K76" s="258"/>
      <c r="L76" s="258"/>
      <c r="M76" s="258"/>
      <c r="N76" s="258"/>
      <c r="O76" s="258"/>
      <c r="P76" s="258"/>
      <c r="Q76" s="258"/>
      <c r="R76" s="258"/>
      <c r="S76" s="1"/>
      <c r="T76" s="28"/>
      <c r="U76" s="1"/>
      <c r="V76" s="1"/>
      <c r="W76" s="1"/>
      <c r="X76" s="1"/>
      <c r="Y76" s="1"/>
      <c r="Z76" s="1"/>
    </row>
    <row r="77" ht="15.75" customHeight="1">
      <c r="A77" s="1"/>
      <c r="B77" s="24"/>
      <c r="C77" s="1"/>
      <c r="D77" s="15"/>
      <c r="E77" s="17"/>
      <c r="F77" s="17"/>
      <c r="G77" s="17"/>
      <c r="H77" s="17"/>
      <c r="I77" s="19"/>
      <c r="J77" s="258"/>
      <c r="K77" s="258"/>
      <c r="L77" s="258"/>
      <c r="M77" s="258"/>
      <c r="N77" s="258"/>
      <c r="O77" s="258"/>
      <c r="P77" s="258"/>
      <c r="Q77" s="258"/>
      <c r="R77" s="258"/>
      <c r="S77" s="1"/>
      <c r="T77" s="28"/>
      <c r="U77" s="1"/>
      <c r="V77" s="1"/>
      <c r="W77" s="1"/>
      <c r="X77" s="1"/>
      <c r="Y77" s="1"/>
      <c r="Z77" s="1"/>
    </row>
    <row r="78" ht="18.75" customHeight="1">
      <c r="A78" s="259"/>
      <c r="B78" s="260"/>
      <c r="C78" s="259"/>
      <c r="D78" s="261">
        <f>'Dados Assessoria'!B19</f>
        <v>2129.881</v>
      </c>
      <c r="E78" s="5"/>
      <c r="F78" s="5"/>
      <c r="G78" s="5"/>
      <c r="H78" s="5"/>
      <c r="I78" s="6"/>
      <c r="J78" s="262" t="s">
        <v>161</v>
      </c>
      <c r="K78" s="5"/>
      <c r="L78" s="5"/>
      <c r="M78" s="5"/>
      <c r="N78" s="5"/>
      <c r="O78" s="5"/>
      <c r="P78" s="6"/>
      <c r="Q78" s="1"/>
      <c r="R78" s="258"/>
      <c r="S78" s="1"/>
      <c r="T78" s="28"/>
      <c r="U78" s="1"/>
      <c r="V78" s="1"/>
      <c r="W78" s="1"/>
      <c r="X78" s="1"/>
      <c r="Y78" s="1"/>
      <c r="Z78" s="1"/>
    </row>
    <row r="79">
      <c r="A79" s="1"/>
      <c r="B79" s="24"/>
      <c r="C79" s="1"/>
      <c r="D79" s="8"/>
      <c r="I79" s="10"/>
      <c r="J79" s="8"/>
      <c r="P79" s="10"/>
      <c r="Q79" s="258"/>
      <c r="R79" s="258"/>
      <c r="S79" s="1"/>
      <c r="T79" s="28"/>
      <c r="U79" s="1"/>
      <c r="V79" s="1"/>
      <c r="W79" s="1"/>
      <c r="X79" s="1"/>
      <c r="Y79" s="1"/>
      <c r="Z79" s="1"/>
    </row>
    <row r="80" ht="15.75" customHeight="1">
      <c r="A80" s="1"/>
      <c r="B80" s="35"/>
      <c r="C80" s="41"/>
      <c r="D80" s="12"/>
      <c r="E80" s="13"/>
      <c r="F80" s="13"/>
      <c r="G80" s="13"/>
      <c r="H80" s="13"/>
      <c r="I80" s="14"/>
      <c r="J80" s="12"/>
      <c r="K80" s="13"/>
      <c r="L80" s="13"/>
      <c r="M80" s="13"/>
      <c r="N80" s="13"/>
      <c r="O80" s="13"/>
      <c r="P80" s="14"/>
      <c r="Q80" s="263"/>
      <c r="R80" s="263"/>
      <c r="S80" s="41"/>
      <c r="T80" s="42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0">
    <mergeCell ref="B10:G15"/>
    <mergeCell ref="H14:K14"/>
    <mergeCell ref="H13:K13"/>
    <mergeCell ref="H12:K12"/>
    <mergeCell ref="B25:D25"/>
    <mergeCell ref="E25:G25"/>
    <mergeCell ref="L10:N10"/>
    <mergeCell ref="L12:N12"/>
    <mergeCell ref="O10:T15"/>
    <mergeCell ref="B16:T17"/>
    <mergeCell ref="B19:T19"/>
    <mergeCell ref="B27:T27"/>
    <mergeCell ref="B24:D24"/>
    <mergeCell ref="B23:D23"/>
    <mergeCell ref="Q24:S24"/>
    <mergeCell ref="Q25:S25"/>
    <mergeCell ref="H15:N15"/>
    <mergeCell ref="H25:J25"/>
    <mergeCell ref="L11:N11"/>
    <mergeCell ref="H11:K11"/>
    <mergeCell ref="H10:K10"/>
    <mergeCell ref="B8:T9"/>
    <mergeCell ref="A1:U6"/>
    <mergeCell ref="L14:N14"/>
    <mergeCell ref="L13:N13"/>
    <mergeCell ref="E24:G24"/>
    <mergeCell ref="K24:M24"/>
    <mergeCell ref="H24:J24"/>
    <mergeCell ref="Q21:S21"/>
    <mergeCell ref="N22:P22"/>
    <mergeCell ref="N21:P21"/>
    <mergeCell ref="N23:P23"/>
    <mergeCell ref="N24:P24"/>
    <mergeCell ref="K23:M23"/>
    <mergeCell ref="K22:M22"/>
    <mergeCell ref="E21:G21"/>
    <mergeCell ref="H21:J21"/>
    <mergeCell ref="B22:D22"/>
    <mergeCell ref="B21:D21"/>
    <mergeCell ref="K21:M21"/>
    <mergeCell ref="E23:G23"/>
    <mergeCell ref="H23:J23"/>
    <mergeCell ref="E22:G22"/>
    <mergeCell ref="H22:J22"/>
    <mergeCell ref="Q22:S22"/>
    <mergeCell ref="Q23:S23"/>
    <mergeCell ref="P42:Q42"/>
    <mergeCell ref="P43:Q43"/>
    <mergeCell ref="F42:L42"/>
    <mergeCell ref="C42:E42"/>
    <mergeCell ref="B40:T40"/>
    <mergeCell ref="H29:K29"/>
    <mergeCell ref="L29:N29"/>
    <mergeCell ref="L34:N34"/>
    <mergeCell ref="H34:K34"/>
    <mergeCell ref="B32:T32"/>
    <mergeCell ref="L30:N30"/>
    <mergeCell ref="H30:K30"/>
    <mergeCell ref="B34:E34"/>
    <mergeCell ref="K25:M25"/>
    <mergeCell ref="N25:P25"/>
    <mergeCell ref="B57:C57"/>
    <mergeCell ref="B56:C56"/>
    <mergeCell ref="C52:E52"/>
    <mergeCell ref="C51:E51"/>
    <mergeCell ref="C50:E50"/>
    <mergeCell ref="F51:L51"/>
    <mergeCell ref="F52:L52"/>
    <mergeCell ref="F50:L50"/>
    <mergeCell ref="P49:Q49"/>
    <mergeCell ref="P52:Q52"/>
    <mergeCell ref="P50:Q50"/>
    <mergeCell ref="P51:Q51"/>
    <mergeCell ref="M51:N51"/>
    <mergeCell ref="M50:N50"/>
    <mergeCell ref="M52:N52"/>
    <mergeCell ref="M47:N47"/>
    <mergeCell ref="M48:N48"/>
    <mergeCell ref="P48:Q48"/>
    <mergeCell ref="P47:Q47"/>
    <mergeCell ref="P44:Q44"/>
    <mergeCell ref="P45:Q45"/>
    <mergeCell ref="P46:Q46"/>
    <mergeCell ref="F43:L43"/>
    <mergeCell ref="F44:L44"/>
    <mergeCell ref="C47:E47"/>
    <mergeCell ref="H37:K37"/>
    <mergeCell ref="B37:E37"/>
    <mergeCell ref="F46:L46"/>
    <mergeCell ref="F47:L47"/>
    <mergeCell ref="F45:L45"/>
    <mergeCell ref="B38:E38"/>
    <mergeCell ref="C48:E48"/>
    <mergeCell ref="F48:L48"/>
    <mergeCell ref="M42:N42"/>
    <mergeCell ref="M44:N44"/>
    <mergeCell ref="M45:N45"/>
    <mergeCell ref="M43:N43"/>
    <mergeCell ref="M49:N49"/>
    <mergeCell ref="M46:N46"/>
    <mergeCell ref="C49:E49"/>
    <mergeCell ref="F49:L49"/>
    <mergeCell ref="H35:K35"/>
    <mergeCell ref="L35:N35"/>
    <mergeCell ref="L36:N36"/>
    <mergeCell ref="L37:N37"/>
    <mergeCell ref="L38:N38"/>
    <mergeCell ref="H38:K38"/>
    <mergeCell ref="H36:K36"/>
    <mergeCell ref="C43:E43"/>
    <mergeCell ref="C44:E44"/>
    <mergeCell ref="C46:E46"/>
    <mergeCell ref="C45:E45"/>
    <mergeCell ref="B35:E35"/>
    <mergeCell ref="B36:E36"/>
    <mergeCell ref="H60:J60"/>
    <mergeCell ref="H59:J59"/>
    <mergeCell ref="K58:M58"/>
    <mergeCell ref="H58:J58"/>
    <mergeCell ref="H57:J57"/>
    <mergeCell ref="H56:I56"/>
    <mergeCell ref="B63:S63"/>
    <mergeCell ref="B54:I54"/>
    <mergeCell ref="B55:S55"/>
    <mergeCell ref="B58:C58"/>
    <mergeCell ref="K57:M57"/>
    <mergeCell ref="H68:J68"/>
    <mergeCell ref="H67:J67"/>
    <mergeCell ref="H65:J65"/>
    <mergeCell ref="B71:S71"/>
    <mergeCell ref="K68:M68"/>
    <mergeCell ref="K66:M66"/>
    <mergeCell ref="H66:J66"/>
    <mergeCell ref="K65:M65"/>
    <mergeCell ref="K67:M67"/>
    <mergeCell ref="K60:M60"/>
    <mergeCell ref="K59:M59"/>
    <mergeCell ref="B62:C62"/>
    <mergeCell ref="B61:C61"/>
    <mergeCell ref="B59:C59"/>
    <mergeCell ref="B60:C60"/>
    <mergeCell ref="H73:J73"/>
    <mergeCell ref="K73:M73"/>
    <mergeCell ref="H74:J74"/>
    <mergeCell ref="K74:M74"/>
    <mergeCell ref="H75:J75"/>
    <mergeCell ref="D78:I80"/>
    <mergeCell ref="D76:I77"/>
    <mergeCell ref="J78:P80"/>
    <mergeCell ref="K75:M75"/>
  </mergeCells>
  <dataValidations>
    <dataValidation type="list" allowBlank="1" showErrorMessage="1" sqref="K57">
      <formula1>"Acompanhamento,Implantação"</formula1>
    </dataValidation>
    <dataValidation type="list" allowBlank="1" showErrorMessage="1" sqref="K73">
      <formula1>"0.05,0.1,0.15"</formula1>
    </dataValidation>
    <dataValidation type="list" allowBlank="1" showErrorMessage="1" sqref="K58">
      <formula1>"Alto,Médio,Baixo"</formula1>
    </dataValidation>
    <dataValidation type="list" allowBlank="1" showErrorMessage="1" sqref="E24 H24 K24 N24 Q24 K59">
      <formula1>"Sim,Não"</formula1>
    </dataValidation>
    <dataValidation type="list" allowBlank="1" showErrorMessage="1" sqref="E23 H23 K23 N23 Q23">
      <formula1>"1ª,2ª,3ª"</formula1>
    </dataValidation>
    <dataValidation type="list" allowBlank="1" showErrorMessage="1" sqref="E25 H25 K25 N25 Q25">
      <formula1>"Não,Glean,Gelog"</formula1>
    </dataValidation>
    <dataValidation type="list" allowBlank="1" showErrorMessage="1" sqref="E56">
      <formula1>$Z$15:$Z$24</formula1>
    </dataValidation>
    <dataValidation type="list" allowBlank="1" showErrorMessage="1" sqref="K67">
      <formula1>"Boleto com registro,Boleto sem registro,Depósito em conta"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17" width="18.43"/>
    <col customWidth="1" min="18" max="26" width="8.86"/>
  </cols>
  <sheetData>
    <row r="1" ht="12.0" customHeight="1">
      <c r="A1" s="264" t="s">
        <v>55</v>
      </c>
      <c r="B1" s="26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66"/>
      <c r="B2" s="267"/>
      <c r="C2" s="1"/>
      <c r="D2" s="1"/>
      <c r="E2" s="206" t="str">
        <f>ASSESSORIA!E21</f>
        <v>Consultor 1</v>
      </c>
      <c r="F2" s="206" t="str">
        <f>ASSESSORIA!H21</f>
        <v>Consultor 2</v>
      </c>
      <c r="G2" s="206" t="str">
        <f>ASSESSORIA!K21</f>
        <v>Consultor 3</v>
      </c>
      <c r="H2" s="206" t="str">
        <f>ASSESSORIA!N21</f>
        <v>Consultor 4</v>
      </c>
      <c r="I2" s="206" t="str">
        <f>ASSESSORIA!Q21</f>
        <v>Consultor 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7" t="s">
        <v>162</v>
      </c>
      <c r="B3" s="77" t="b">
        <f>IF(ASSESSORIA!E23="Acompanhamento",IF(ASSESSORIA!H25="Glean",IF(ASSESSORIA!E23="1",10,15)))</f>
        <v>0</v>
      </c>
      <c r="C3" s="1"/>
      <c r="D3" s="1" t="s">
        <v>80</v>
      </c>
      <c r="E3" s="206">
        <f>IF(ASSESSORIA!E23="1ª",IF(ASSESSORIA!E25="Glean",ASSESSORIA!E22*4*7.5,ASSESSORIA!E22*4*6.25),IF(ASSESSORIA!E23="2ª",IF(ASSESSORIA!E25="Glean",ASSESSORIA!E22*4*8.75,ASSESSORIA!E22*4*7.5),IF(ASSESSORIA!E25="Glean",ASSESSORIA!E22*4*10,ASSESSORIA!E22*4*8.75)))</f>
        <v>600</v>
      </c>
      <c r="F3" s="206">
        <f>IF(ASSESSORIA!F23="1ª",IF(ASSESSORIA!F25="Glean",ASSESSORIA!F22*4*7.5,ASSESSORIA!F22*4*6.25),IF(ASSESSORIA!F23="2ª",IF(ASSESSORIA!F25="Glean",ASSESSORIA!F22*4*8.75,ASSESSORIA!F22*4*7.5),IF(ASSESSORIA!F25="Glean",ASSESSORIA!F22*4*10,ASSESSORIA!F22*4*8.75)))</f>
        <v>0</v>
      </c>
      <c r="G3" s="206">
        <f>IF(ASSESSORIA!G23="1ª",IF(ASSESSORIA!G25="Glean",ASSESSORIA!G22*4*7.5,ASSESSORIA!G22*4*6.25),IF(ASSESSORIA!G23="2ª",IF(ASSESSORIA!G25="Glean",ASSESSORIA!G22*4*8.75,ASSESSORIA!G22*4*7.5),IF(ASSESSORIA!G25="Glean",ASSESSORIA!G22*4*10,ASSESSORIA!G22*4*8.75)))</f>
        <v>0</v>
      </c>
      <c r="H3" s="206">
        <f>IF(ASSESSORIA!H23="1ª",IF(ASSESSORIA!H25="Glean",ASSESSORIA!H22*4*7.5,ASSESSORIA!H22*4*6.25),IF(ASSESSORIA!H23="2ª",IF(ASSESSORIA!H25="Glean",ASSESSORIA!H22*4*8.75,ASSESSORIA!H22*4*7.5),IF(ASSESSORIA!H25="Glean",ASSESSORIA!H22*4*10,ASSESSORIA!H22*4*8.75)))</f>
        <v>0</v>
      </c>
      <c r="I3" s="206">
        <f>IF(ASSESSORIA!I23="1ª",IF(ASSESSORIA!I25="Glean",ASSESSORIA!I22*4*7.5,ASSESSORIA!I22*4*6.25),IF(ASSESSORIA!I23="2ª",IF(ASSESSORIA!I25="Glean",ASSESSORIA!I22*4*8.75,ASSESSORIA!I22*4*7.5),IF(ASSESSORIA!I25="Glean",ASSESSORIA!I22*4*10,ASSESSORIA!I22*4*8.75)))</f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7" t="s">
        <v>61</v>
      </c>
      <c r="B4" s="113">
        <v>5.5</v>
      </c>
      <c r="C4" s="1"/>
      <c r="D4" s="1" t="s">
        <v>82</v>
      </c>
      <c r="E4" s="268">
        <f>(E3/4)*ASSESSORIA!$L$29</f>
        <v>900</v>
      </c>
      <c r="F4" s="268">
        <f>(F3/4)*ASSESSORIA!$L$29</f>
        <v>0</v>
      </c>
      <c r="G4" s="268">
        <f>(G3/4)*ASSESSORIA!$L$29</f>
        <v>0</v>
      </c>
      <c r="H4" s="268">
        <f>(H3/4)*ASSESSORIA!$L$29</f>
        <v>0</v>
      </c>
      <c r="I4" s="268">
        <f>(I3/4)*ASSESSORIA!$L$29</f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7" t="s">
        <v>54</v>
      </c>
      <c r="B5" s="77">
        <f>ASSESSORIA!L29</f>
        <v>6</v>
      </c>
      <c r="C5" s="1"/>
      <c r="D5" s="1" t="s">
        <v>146</v>
      </c>
      <c r="E5" s="268">
        <f>IF(ASSESSORIA!E25="Glean",IF(ASSESSORIA!K59="Sim",ASSESSORIA!D78*0.1,'Dados Assessoria'!B14*0.1),IF(ASSESSORIA!E25="Gelog",'Dados Assessoria'!E4*0.15,0))</f>
        <v>0</v>
      </c>
      <c r="F5" s="268">
        <f>IF(ASSESSORIA!F25="Glean",IF(ASSESSORIA!L59="Sim",ASSESSORIA!E78*0.1,'Dados Assessoria'!C14*0.1),IF(ASSESSORIA!F25="Gelog",'Dados Assessoria'!F4*0.15,0))</f>
        <v>0</v>
      </c>
      <c r="G5" s="268">
        <f>IF(ASSESSORIA!G25="Glean",IF(ASSESSORIA!M59="Sim",ASSESSORIA!F78*0.1,'Dados Assessoria'!D14*0.1),IF(ASSESSORIA!G25="Gelog",'Dados Assessoria'!G4*0.15,0))</f>
        <v>0</v>
      </c>
      <c r="H5" s="268">
        <f>IF(ASSESSORIA!H25="Glean",IF(ASSESSORIA!N59="Sim",ASSESSORIA!G78*0.1,'Dados Assessoria'!E14*0.1),IF(ASSESSORIA!H25="Gelog",'Dados Assessoria'!H4*0.15,0))</f>
        <v>0</v>
      </c>
      <c r="I5" s="268">
        <f>IF(ASSESSORIA!I25="Glean",IF(ASSESSORIA!O59="Sim",ASSESSORIA!H78*0.1,'Dados Assessoria'!F14*0.1),IF(ASSESSORIA!I25="Gelog",'Dados Assessoria'!I4*0.15,0))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70</v>
      </c>
      <c r="B6" s="1" t="s">
        <v>163</v>
      </c>
      <c r="C6" s="1"/>
      <c r="D6" s="1" t="s">
        <v>164</v>
      </c>
      <c r="E6" s="268">
        <f>E5*F5*G5*H5*I5</f>
        <v>0</v>
      </c>
      <c r="F6" s="206"/>
      <c r="G6" s="206"/>
      <c r="H6" s="206"/>
      <c r="I6" s="20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165</v>
      </c>
      <c r="B7" s="1" t="s">
        <v>166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69" t="s">
        <v>167</v>
      </c>
      <c r="B9" s="270">
        <f>ASSESSORIA!D78</f>
        <v>2129.881</v>
      </c>
      <c r="C9" s="1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69" t="s">
        <v>88</v>
      </c>
      <c r="B10" s="270">
        <f>20*B4*B5</f>
        <v>660</v>
      </c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69" t="s">
        <v>79</v>
      </c>
      <c r="B11" s="270">
        <f>ASSESSORIA!P52</f>
        <v>80.6</v>
      </c>
      <c r="C11" s="27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69" t="s">
        <v>74</v>
      </c>
      <c r="B12" s="270">
        <f>ASSESSORIA!L14+ASSESSORIA!L38</f>
        <v>84</v>
      </c>
      <c r="C12" s="27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69" t="s">
        <v>168</v>
      </c>
      <c r="B13" s="270">
        <f>SUM(E4:I4,E5:I5)</f>
        <v>900</v>
      </c>
      <c r="C13" s="27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69" t="s">
        <v>169</v>
      </c>
      <c r="B14" s="270">
        <f>B10+B11+B12+B13</f>
        <v>1724.6</v>
      </c>
      <c r="C14" s="27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69" t="s">
        <v>170</v>
      </c>
      <c r="B15" s="270"/>
      <c r="C15" s="27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69" t="s">
        <v>171</v>
      </c>
      <c r="B16" s="270">
        <f>B14*C16</f>
        <v>517.38</v>
      </c>
      <c r="C16" s="271">
        <v>0.3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69" t="s">
        <v>172</v>
      </c>
      <c r="B17" s="272">
        <f>B14+B16</f>
        <v>2241.98</v>
      </c>
      <c r="C17" s="27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9" t="s">
        <v>84</v>
      </c>
      <c r="B18" s="270">
        <f>B17*C18</f>
        <v>112.099</v>
      </c>
      <c r="C18" s="271">
        <f>ASSESSORIA!K73</f>
        <v>0.05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69" t="s">
        <v>173</v>
      </c>
      <c r="B19" s="270">
        <f>B17-B18</f>
        <v>2129.881</v>
      </c>
      <c r="C19" s="27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outlinePr summaryBelow="0" summaryRight="0"/>
  </sheetPr>
  <sheetViews>
    <sheetView workbookViewId="0"/>
  </sheetViews>
  <sheetFormatPr customHeight="1" defaultColWidth="17.29" defaultRowHeight="15.0"/>
  <cols>
    <col customWidth="1" min="1" max="1" width="38.43"/>
    <col customWidth="1" min="2" max="2" width="38.71"/>
    <col customWidth="1" min="3" max="3" width="11.43"/>
    <col customWidth="1" min="4" max="4" width="11.14"/>
    <col customWidth="1" min="5" max="5" width="6.71"/>
    <col customWidth="1" min="6" max="6" width="23.14"/>
    <col customWidth="1" min="7" max="7" width="30.71"/>
    <col customWidth="1" min="8" max="8" width="11.43"/>
    <col customWidth="1" min="9" max="9" width="11.14"/>
    <col customWidth="1" min="10" max="26" width="8.86"/>
  </cols>
  <sheetData>
    <row r="1">
      <c r="A1" s="274" t="s">
        <v>174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7"/>
      <c r="N1" s="1"/>
    </row>
    <row r="2" ht="74.25" customHeight="1">
      <c r="A2" s="15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9"/>
      <c r="N2" s="1"/>
    </row>
    <row r="3">
      <c r="A3" s="275" t="s">
        <v>175</v>
      </c>
      <c r="B3" s="276" t="s">
        <v>176</v>
      </c>
      <c r="C3" s="277" t="s">
        <v>177</v>
      </c>
      <c r="D3" s="278" t="s">
        <v>178</v>
      </c>
      <c r="E3" s="1"/>
      <c r="F3" s="275" t="s">
        <v>36</v>
      </c>
      <c r="G3" s="276" t="s">
        <v>176</v>
      </c>
      <c r="H3" s="277" t="s">
        <v>177</v>
      </c>
      <c r="I3" s="278" t="s">
        <v>178</v>
      </c>
      <c r="J3" s="1"/>
      <c r="K3" s="1"/>
      <c r="L3" s="1"/>
      <c r="M3" s="1"/>
      <c r="N3" s="1"/>
    </row>
    <row r="4">
      <c r="A4" s="279"/>
      <c r="B4" s="280" t="s">
        <v>179</v>
      </c>
      <c r="C4" s="281">
        <v>1.0</v>
      </c>
      <c r="D4" s="282">
        <v>13.0</v>
      </c>
      <c r="E4" s="1"/>
      <c r="F4" s="279"/>
      <c r="G4" s="280" t="s">
        <v>180</v>
      </c>
      <c r="H4" s="281">
        <v>1.0</v>
      </c>
      <c r="I4" s="282">
        <v>40.0</v>
      </c>
      <c r="J4" s="1"/>
      <c r="K4" s="1"/>
      <c r="L4" s="1"/>
      <c r="M4" s="1"/>
      <c r="N4" s="1"/>
    </row>
    <row r="5">
      <c r="A5" s="279"/>
      <c r="B5" s="280" t="s">
        <v>180</v>
      </c>
      <c r="C5" s="281">
        <v>1.0</v>
      </c>
      <c r="D5" s="282">
        <v>15.0</v>
      </c>
      <c r="E5" s="1"/>
      <c r="F5" s="279"/>
      <c r="G5" s="283" t="s">
        <v>181</v>
      </c>
      <c r="H5" s="281">
        <v>1.0</v>
      </c>
      <c r="I5" s="282">
        <v>50.0</v>
      </c>
      <c r="J5" s="1"/>
      <c r="K5" s="1"/>
      <c r="L5" s="1"/>
      <c r="M5" s="1"/>
      <c r="N5" s="1"/>
    </row>
    <row r="6" ht="15.75" customHeight="1">
      <c r="A6" s="284"/>
      <c r="B6" s="285" t="s">
        <v>182</v>
      </c>
      <c r="C6" s="286">
        <v>1.0</v>
      </c>
      <c r="D6" s="287">
        <v>35.0</v>
      </c>
      <c r="E6" s="1"/>
      <c r="F6" s="284"/>
      <c r="G6" s="288" t="s">
        <v>182</v>
      </c>
      <c r="H6" s="286">
        <v>1.0</v>
      </c>
      <c r="I6" s="287">
        <v>35.0</v>
      </c>
      <c r="J6" s="1"/>
      <c r="K6" s="1"/>
      <c r="L6" s="1"/>
      <c r="M6" s="1"/>
      <c r="N6" s="1"/>
    </row>
    <row r="7">
      <c r="A7" s="289" t="s">
        <v>183</v>
      </c>
      <c r="B7" s="276" t="s">
        <v>176</v>
      </c>
      <c r="C7" s="277" t="s">
        <v>177</v>
      </c>
      <c r="D7" s="278" t="s">
        <v>178</v>
      </c>
      <c r="E7" s="1"/>
      <c r="F7" s="275" t="s">
        <v>184</v>
      </c>
      <c r="G7" s="276" t="s">
        <v>176</v>
      </c>
      <c r="H7" s="277" t="s">
        <v>177</v>
      </c>
      <c r="I7" s="278" t="s">
        <v>178</v>
      </c>
      <c r="J7" s="1"/>
      <c r="K7" s="1"/>
      <c r="L7" s="1"/>
      <c r="M7" s="1"/>
      <c r="N7" s="1"/>
    </row>
    <row r="8">
      <c r="A8" s="290"/>
      <c r="B8" s="280" t="s">
        <v>185</v>
      </c>
      <c r="C8" s="281">
        <v>1.0</v>
      </c>
      <c r="D8" s="282">
        <v>200.0</v>
      </c>
      <c r="E8" s="1"/>
      <c r="F8" s="279"/>
      <c r="G8" s="283" t="s">
        <v>186</v>
      </c>
      <c r="H8" s="281">
        <v>1.0</v>
      </c>
      <c r="I8" s="282">
        <v>10.0</v>
      </c>
      <c r="J8" s="1"/>
      <c r="K8" s="1"/>
      <c r="L8" s="1"/>
      <c r="M8" s="1"/>
      <c r="N8" s="1"/>
    </row>
    <row r="9">
      <c r="A9" s="290"/>
      <c r="B9" s="280" t="s">
        <v>187</v>
      </c>
      <c r="C9" s="281">
        <v>1.0</v>
      </c>
      <c r="D9" s="282"/>
      <c r="E9" s="1"/>
      <c r="F9" s="279"/>
      <c r="G9" s="283" t="s">
        <v>188</v>
      </c>
      <c r="H9" s="281">
        <v>1.0</v>
      </c>
      <c r="I9" s="282">
        <v>0.75</v>
      </c>
      <c r="J9" s="1"/>
      <c r="K9" s="1"/>
      <c r="L9" s="1"/>
      <c r="M9" s="1"/>
      <c r="N9" s="1"/>
    </row>
    <row r="10">
      <c r="A10" s="290"/>
      <c r="B10" s="280" t="s">
        <v>180</v>
      </c>
      <c r="C10" s="281">
        <v>1.0</v>
      </c>
      <c r="D10" s="282">
        <v>15.0</v>
      </c>
      <c r="E10" s="1"/>
      <c r="F10" s="279"/>
      <c r="G10" s="283" t="s">
        <v>180</v>
      </c>
      <c r="H10" s="281">
        <v>1.0</v>
      </c>
      <c r="I10" s="282">
        <v>30.0</v>
      </c>
      <c r="J10" s="1"/>
      <c r="K10" s="1"/>
      <c r="L10" s="1"/>
      <c r="M10" s="1"/>
      <c r="N10" s="1"/>
    </row>
    <row r="11">
      <c r="A11" s="290"/>
      <c r="B11" s="280" t="s">
        <v>182</v>
      </c>
      <c r="C11" s="281">
        <v>1.0</v>
      </c>
      <c r="D11" s="282">
        <v>60.0</v>
      </c>
      <c r="E11" s="1"/>
      <c r="F11" s="279"/>
      <c r="G11" s="283" t="s">
        <v>189</v>
      </c>
      <c r="H11" s="281">
        <v>1.0</v>
      </c>
      <c r="I11" s="282">
        <v>7.0</v>
      </c>
      <c r="J11" s="1"/>
      <c r="K11" s="1"/>
      <c r="L11" s="1"/>
      <c r="M11" s="1"/>
      <c r="N11" s="1"/>
    </row>
    <row r="12">
      <c r="A12" s="290"/>
      <c r="B12" s="280"/>
      <c r="C12" s="281"/>
      <c r="D12" s="282"/>
      <c r="E12" s="1"/>
      <c r="F12" s="279"/>
      <c r="G12" s="283" t="s">
        <v>190</v>
      </c>
      <c r="H12" s="281">
        <v>1.0</v>
      </c>
      <c r="I12" s="282">
        <v>5.0</v>
      </c>
      <c r="J12" s="1"/>
      <c r="K12" s="1"/>
      <c r="L12" s="1"/>
      <c r="M12" s="1"/>
      <c r="N12" s="1"/>
    </row>
    <row r="13">
      <c r="A13" s="290"/>
      <c r="B13" s="280"/>
      <c r="C13" s="281"/>
      <c r="D13" s="282"/>
      <c r="E13" s="1"/>
      <c r="F13" s="279"/>
      <c r="G13" s="283" t="s">
        <v>191</v>
      </c>
      <c r="H13" s="281">
        <v>1.0</v>
      </c>
      <c r="I13" s="282">
        <v>7.0</v>
      </c>
      <c r="J13" s="1"/>
      <c r="K13" s="1"/>
      <c r="L13" s="1"/>
      <c r="M13" s="1"/>
      <c r="N13" s="1"/>
    </row>
    <row r="14">
      <c r="A14" s="290"/>
      <c r="B14" s="280"/>
      <c r="C14" s="281"/>
      <c r="D14" s="282"/>
      <c r="E14" s="1"/>
      <c r="F14" s="279"/>
      <c r="G14" s="283" t="s">
        <v>192</v>
      </c>
      <c r="H14" s="281">
        <v>1.0</v>
      </c>
      <c r="I14" s="282">
        <v>50.0</v>
      </c>
      <c r="J14" s="1"/>
      <c r="K14" s="1"/>
      <c r="L14" s="1"/>
      <c r="M14" s="1"/>
      <c r="N14" s="1"/>
    </row>
    <row r="15" ht="15.75" customHeight="1">
      <c r="A15" s="291"/>
      <c r="B15" s="285"/>
      <c r="C15" s="286"/>
      <c r="D15" s="287"/>
      <c r="E15" s="1"/>
      <c r="F15" s="284"/>
      <c r="G15" s="288" t="s">
        <v>182</v>
      </c>
      <c r="H15" s="286">
        <v>1.0</v>
      </c>
      <c r="I15" s="287">
        <v>40.0</v>
      </c>
      <c r="J15" s="1"/>
      <c r="K15" s="1"/>
      <c r="L15" s="1"/>
      <c r="M15" s="1"/>
      <c r="N15" s="1"/>
    </row>
    <row r="16">
      <c r="A16" s="289" t="s">
        <v>193</v>
      </c>
      <c r="B16" s="276" t="s">
        <v>176</v>
      </c>
      <c r="C16" s="277" t="s">
        <v>177</v>
      </c>
      <c r="D16" s="278" t="s">
        <v>178</v>
      </c>
      <c r="E16" s="1"/>
      <c r="F16" s="275" t="s">
        <v>11</v>
      </c>
      <c r="G16" s="276" t="s">
        <v>176</v>
      </c>
      <c r="H16" s="277" t="s">
        <v>177</v>
      </c>
      <c r="I16" s="278" t="s">
        <v>178</v>
      </c>
      <c r="J16" s="1"/>
      <c r="K16" s="1"/>
      <c r="L16" s="1"/>
      <c r="M16" s="1"/>
      <c r="N16" s="1"/>
    </row>
    <row r="17">
      <c r="A17" s="290"/>
      <c r="B17" s="280" t="s">
        <v>194</v>
      </c>
      <c r="C17" s="281">
        <v>1.0</v>
      </c>
      <c r="D17" s="282">
        <v>10.0</v>
      </c>
      <c r="E17" s="1"/>
      <c r="F17" s="279"/>
      <c r="G17" s="283" t="s">
        <v>195</v>
      </c>
      <c r="H17" s="281">
        <v>1.0</v>
      </c>
      <c r="I17" s="282">
        <v>30.0</v>
      </c>
      <c r="J17" s="1"/>
      <c r="K17" s="1"/>
      <c r="L17" s="1"/>
      <c r="M17" s="1"/>
      <c r="N17" s="1"/>
    </row>
    <row r="18">
      <c r="A18" s="290"/>
      <c r="B18" s="280" t="s">
        <v>180</v>
      </c>
      <c r="C18" s="281">
        <v>1.0</v>
      </c>
      <c r="D18" s="282">
        <v>15.0</v>
      </c>
      <c r="E18" s="1"/>
      <c r="F18" s="279"/>
      <c r="G18" s="283" t="s">
        <v>196</v>
      </c>
      <c r="H18" s="281">
        <v>1.0</v>
      </c>
      <c r="I18" s="282">
        <v>6.0</v>
      </c>
      <c r="J18" s="1"/>
      <c r="K18" s="1"/>
      <c r="L18" s="1"/>
      <c r="M18" s="1"/>
      <c r="N18" s="1"/>
    </row>
    <row r="19" ht="15.75" customHeight="1">
      <c r="A19" s="291"/>
      <c r="B19" s="285" t="s">
        <v>182</v>
      </c>
      <c r="C19" s="286">
        <v>1.0</v>
      </c>
      <c r="D19" s="287">
        <v>35.0</v>
      </c>
      <c r="E19" s="1"/>
      <c r="F19" s="284"/>
      <c r="G19" s="288" t="s">
        <v>182</v>
      </c>
      <c r="H19" s="286">
        <v>1.0</v>
      </c>
      <c r="I19" s="287">
        <v>20.0</v>
      </c>
      <c r="J19" s="1"/>
      <c r="K19" s="1"/>
      <c r="L19" s="1"/>
      <c r="M19" s="1"/>
      <c r="N19" s="1"/>
    </row>
    <row r="20">
      <c r="A20" s="289" t="s">
        <v>197</v>
      </c>
      <c r="B20" s="276" t="s">
        <v>176</v>
      </c>
      <c r="C20" s="277" t="s">
        <v>177</v>
      </c>
      <c r="D20" s="278" t="s">
        <v>178</v>
      </c>
      <c r="E20" s="1"/>
      <c r="F20" s="275" t="s">
        <v>198</v>
      </c>
      <c r="G20" s="292" t="s">
        <v>176</v>
      </c>
      <c r="H20" s="293" t="s">
        <v>177</v>
      </c>
      <c r="I20" s="294" t="s">
        <v>178</v>
      </c>
      <c r="J20" s="1"/>
      <c r="K20" s="1"/>
      <c r="L20" s="1"/>
      <c r="M20" s="1"/>
      <c r="N20" s="1"/>
    </row>
    <row r="21">
      <c r="A21" s="290"/>
      <c r="B21" s="295" t="s">
        <v>199</v>
      </c>
      <c r="C21" s="296">
        <v>1.0</v>
      </c>
      <c r="D21" s="297">
        <v>50.0</v>
      </c>
      <c r="E21" s="1"/>
      <c r="F21" s="279"/>
      <c r="G21" s="283"/>
      <c r="H21" s="281"/>
      <c r="I21" s="282"/>
      <c r="J21" s="1"/>
      <c r="K21" s="1"/>
      <c r="L21" s="1"/>
      <c r="M21" s="1"/>
      <c r="N21" s="1"/>
    </row>
    <row r="22">
      <c r="A22" s="290"/>
      <c r="B22" s="298"/>
      <c r="C22" s="299"/>
      <c r="D22" s="300"/>
      <c r="E22" s="1"/>
      <c r="F22" s="279"/>
      <c r="G22" s="283" t="s">
        <v>200</v>
      </c>
      <c r="H22" s="301">
        <v>1.0</v>
      </c>
      <c r="I22" s="282">
        <v>30.0</v>
      </c>
      <c r="J22" s="1"/>
      <c r="K22" s="1"/>
      <c r="L22" s="1"/>
      <c r="M22" s="1"/>
      <c r="N22" s="1"/>
    </row>
    <row r="23" ht="15.75" customHeight="1">
      <c r="A23" s="291"/>
      <c r="B23" s="302"/>
      <c r="C23" s="303"/>
      <c r="D23" s="304"/>
      <c r="E23" s="1"/>
      <c r="F23" s="284"/>
      <c r="G23" s="288"/>
      <c r="H23" s="286"/>
      <c r="I23" s="287"/>
      <c r="J23" s="1"/>
      <c r="K23" s="1"/>
      <c r="L23" s="1"/>
      <c r="M23" s="1"/>
      <c r="N23" s="1"/>
    </row>
    <row r="24">
      <c r="A24" s="289" t="s">
        <v>201</v>
      </c>
      <c r="B24" s="276" t="s">
        <v>176</v>
      </c>
      <c r="C24" s="277" t="s">
        <v>177</v>
      </c>
      <c r="D24" s="278" t="s">
        <v>178</v>
      </c>
      <c r="E24" s="1"/>
      <c r="F24" s="305"/>
      <c r="G24" s="198"/>
      <c r="H24" s="198"/>
      <c r="I24" s="198"/>
      <c r="J24" s="1"/>
      <c r="K24" s="1"/>
      <c r="L24" s="1"/>
      <c r="M24" s="1"/>
      <c r="N24" s="1"/>
    </row>
    <row r="25">
      <c r="A25" s="290"/>
      <c r="B25" s="306" t="s">
        <v>202</v>
      </c>
      <c r="C25" s="301">
        <v>1.0</v>
      </c>
      <c r="D25" s="282">
        <v>280.0</v>
      </c>
      <c r="E25" s="1"/>
      <c r="F25" s="290"/>
      <c r="G25" s="1"/>
      <c r="H25" s="206"/>
      <c r="I25" s="105"/>
      <c r="J25" s="1"/>
      <c r="K25" s="1"/>
      <c r="L25" s="1"/>
      <c r="M25" s="1"/>
      <c r="N25" s="1"/>
    </row>
    <row r="26">
      <c r="A26" s="290"/>
      <c r="B26" s="280" t="s">
        <v>203</v>
      </c>
      <c r="C26" s="281">
        <v>1.0</v>
      </c>
      <c r="D26" s="282">
        <v>50.0</v>
      </c>
      <c r="E26" s="1"/>
      <c r="F26" s="290"/>
      <c r="G26" s="1"/>
      <c r="H26" s="206"/>
      <c r="I26" s="105"/>
      <c r="J26" s="1"/>
      <c r="K26" s="1"/>
      <c r="L26" s="1"/>
      <c r="M26" s="1"/>
      <c r="N26" s="1"/>
    </row>
    <row r="27" ht="15.75" customHeight="1">
      <c r="A27" s="291"/>
      <c r="B27" s="285" t="s">
        <v>182</v>
      </c>
      <c r="C27" s="286">
        <v>1.0</v>
      </c>
      <c r="D27" s="287">
        <v>50.0</v>
      </c>
      <c r="E27" s="1"/>
      <c r="F27" s="307"/>
      <c r="G27" s="1"/>
      <c r="H27" s="206"/>
      <c r="I27" s="105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51"/>
      <c r="B33" s="51"/>
      <c r="C33" s="51"/>
      <c r="D33" s="51"/>
      <c r="E33" s="51"/>
      <c r="F33" s="51"/>
      <c r="G33" s="51"/>
      <c r="H33" s="51"/>
      <c r="I33" s="51"/>
    </row>
    <row r="34">
      <c r="A34" s="51"/>
      <c r="B34" s="51"/>
      <c r="C34" s="51"/>
      <c r="D34" s="51"/>
      <c r="E34" s="51"/>
      <c r="F34" s="51"/>
      <c r="G34" s="51"/>
      <c r="H34" s="51"/>
      <c r="I34" s="51"/>
    </row>
    <row r="35">
      <c r="A35" s="51"/>
      <c r="B35" s="51"/>
      <c r="C35" s="51"/>
      <c r="D35" s="51"/>
      <c r="E35" s="51"/>
      <c r="F35" s="51"/>
      <c r="G35" s="51"/>
      <c r="H35" s="51"/>
      <c r="I35" s="51"/>
    </row>
    <row r="36">
      <c r="A36" s="51"/>
      <c r="B36" s="51"/>
      <c r="C36" s="51"/>
      <c r="D36" s="51"/>
      <c r="E36" s="51"/>
      <c r="F36" s="51"/>
      <c r="G36" s="51"/>
      <c r="H36" s="51"/>
      <c r="I36" s="51"/>
    </row>
    <row r="37">
      <c r="A37" s="51"/>
      <c r="B37" s="51"/>
      <c r="C37" s="51"/>
      <c r="D37" s="51"/>
      <c r="E37" s="51"/>
      <c r="F37" s="51"/>
      <c r="G37" s="51"/>
      <c r="H37" s="51"/>
      <c r="I37" s="51"/>
    </row>
    <row r="38">
      <c r="A38" s="51"/>
      <c r="B38" s="51"/>
      <c r="C38" s="51"/>
      <c r="D38" s="51"/>
      <c r="E38" s="51"/>
      <c r="F38" s="51"/>
      <c r="G38" s="51"/>
      <c r="H38" s="51"/>
      <c r="I38" s="51"/>
    </row>
    <row r="39">
      <c r="A39" s="51"/>
      <c r="B39" s="51"/>
      <c r="C39" s="51"/>
      <c r="D39" s="51"/>
      <c r="E39" s="51"/>
      <c r="F39" s="51"/>
      <c r="G39" s="51"/>
      <c r="H39" s="51"/>
      <c r="I39" s="51"/>
    </row>
    <row r="40">
      <c r="A40" s="51"/>
      <c r="B40" s="51"/>
      <c r="C40" s="51"/>
      <c r="D40" s="51"/>
      <c r="E40" s="51"/>
      <c r="F40" s="51"/>
      <c r="G40" s="51"/>
      <c r="H40" s="51"/>
      <c r="I40" s="51"/>
    </row>
    <row r="41">
      <c r="A41" s="51"/>
      <c r="B41" s="51"/>
      <c r="C41" s="51"/>
      <c r="D41" s="51"/>
      <c r="E41" s="51"/>
      <c r="F41" s="51"/>
      <c r="G41" s="51"/>
      <c r="H41" s="51"/>
      <c r="I41" s="51"/>
    </row>
    <row r="42">
      <c r="A42" s="51"/>
      <c r="B42" s="51"/>
      <c r="C42" s="51"/>
      <c r="D42" s="51"/>
      <c r="E42" s="51"/>
      <c r="F42" s="51"/>
      <c r="G42" s="51"/>
      <c r="H42" s="51"/>
      <c r="I42" s="51"/>
    </row>
    <row r="43">
      <c r="A43" s="51"/>
      <c r="B43" s="51"/>
      <c r="C43" s="51"/>
      <c r="D43" s="51"/>
      <c r="E43" s="51"/>
      <c r="F43" s="51"/>
      <c r="G43" s="51"/>
      <c r="H43" s="51"/>
      <c r="I43" s="51"/>
    </row>
    <row r="44">
      <c r="A44" s="51"/>
      <c r="B44" s="51"/>
      <c r="C44" s="51"/>
      <c r="D44" s="51"/>
      <c r="E44" s="51"/>
      <c r="F44" s="51"/>
      <c r="G44" s="51"/>
      <c r="H44" s="51"/>
      <c r="I44" s="51"/>
    </row>
    <row r="45">
      <c r="A45" s="51"/>
      <c r="B45" s="51"/>
      <c r="C45" s="51"/>
      <c r="D45" s="51"/>
      <c r="E45" s="51"/>
      <c r="F45" s="51"/>
      <c r="G45" s="51"/>
      <c r="H45" s="51"/>
      <c r="I45" s="51"/>
    </row>
    <row r="46">
      <c r="A46" s="51"/>
      <c r="B46" s="51"/>
      <c r="C46" s="51"/>
      <c r="D46" s="51"/>
      <c r="E46" s="51"/>
      <c r="F46" s="51"/>
      <c r="G46" s="51"/>
      <c r="H46" s="51"/>
      <c r="I46" s="51"/>
    </row>
    <row r="47">
      <c r="A47" s="51"/>
      <c r="B47" s="51"/>
      <c r="C47" s="51"/>
      <c r="D47" s="51"/>
      <c r="E47" s="51"/>
      <c r="F47" s="51"/>
      <c r="G47" s="51"/>
      <c r="H47" s="51"/>
      <c r="I47" s="51"/>
    </row>
    <row r="48">
      <c r="A48" s="51"/>
      <c r="B48" s="51"/>
      <c r="C48" s="51"/>
      <c r="D48" s="51"/>
      <c r="E48" s="51"/>
      <c r="F48" s="51"/>
      <c r="G48" s="51"/>
      <c r="H48" s="51"/>
      <c r="I48" s="51"/>
    </row>
    <row r="49">
      <c r="A49" s="51"/>
      <c r="B49" s="51"/>
      <c r="C49" s="51"/>
      <c r="D49" s="51"/>
      <c r="E49" s="51"/>
      <c r="F49" s="51"/>
      <c r="G49" s="51"/>
      <c r="H49" s="51"/>
      <c r="I49" s="51"/>
    </row>
    <row r="50">
      <c r="A50" s="51"/>
      <c r="B50" s="51"/>
      <c r="C50" s="51"/>
      <c r="D50" s="51"/>
      <c r="E50" s="51"/>
      <c r="F50" s="51"/>
      <c r="G50" s="51"/>
      <c r="H50" s="51"/>
      <c r="I50" s="51"/>
    </row>
    <row r="51">
      <c r="A51" s="51"/>
      <c r="B51" s="51"/>
      <c r="C51" s="51"/>
      <c r="D51" s="51"/>
      <c r="E51" s="51"/>
      <c r="F51" s="51"/>
      <c r="G51" s="51"/>
      <c r="H51" s="51"/>
      <c r="I51" s="51"/>
    </row>
    <row r="52">
      <c r="A52" s="51"/>
      <c r="B52" s="51"/>
      <c r="C52" s="51"/>
      <c r="D52" s="51"/>
      <c r="E52" s="51"/>
      <c r="F52" s="51"/>
      <c r="G52" s="51"/>
      <c r="H52" s="51"/>
      <c r="I52" s="51"/>
    </row>
    <row r="53">
      <c r="A53" s="51"/>
      <c r="B53" s="51"/>
      <c r="C53" s="51"/>
      <c r="D53" s="51"/>
      <c r="E53" s="51"/>
      <c r="F53" s="51"/>
      <c r="G53" s="51"/>
      <c r="H53" s="51"/>
      <c r="I53" s="51"/>
    </row>
    <row r="54">
      <c r="A54" s="51"/>
      <c r="B54" s="51"/>
      <c r="C54" s="51"/>
      <c r="D54" s="51"/>
      <c r="E54" s="51"/>
      <c r="F54" s="51"/>
      <c r="G54" s="51"/>
      <c r="H54" s="51"/>
      <c r="I54" s="51"/>
    </row>
    <row r="55">
      <c r="A55" s="51"/>
      <c r="B55" s="51"/>
      <c r="C55" s="51"/>
      <c r="D55" s="51"/>
      <c r="E55" s="51"/>
      <c r="F55" s="51"/>
      <c r="G55" s="51"/>
      <c r="H55" s="51"/>
      <c r="I55" s="51"/>
    </row>
    <row r="56">
      <c r="A56" s="51"/>
      <c r="B56" s="51"/>
      <c r="C56" s="51"/>
      <c r="D56" s="51"/>
      <c r="E56" s="51"/>
      <c r="F56" s="51"/>
      <c r="G56" s="51"/>
      <c r="H56" s="51"/>
      <c r="I56" s="51"/>
    </row>
    <row r="57">
      <c r="A57" s="51"/>
      <c r="B57" s="51"/>
      <c r="C57" s="51"/>
      <c r="D57" s="51"/>
      <c r="E57" s="51"/>
      <c r="F57" s="51"/>
      <c r="G57" s="51"/>
      <c r="H57" s="51"/>
      <c r="I57" s="51"/>
    </row>
    <row r="58">
      <c r="A58" s="51"/>
      <c r="B58" s="51"/>
      <c r="C58" s="51"/>
      <c r="D58" s="51"/>
      <c r="E58" s="51"/>
      <c r="F58" s="51"/>
      <c r="G58" s="51"/>
      <c r="H58" s="51"/>
      <c r="I58" s="51"/>
    </row>
    <row r="59">
      <c r="A59" s="51"/>
      <c r="B59" s="51"/>
      <c r="C59" s="51"/>
      <c r="D59" s="51"/>
      <c r="E59" s="51"/>
      <c r="F59" s="51"/>
      <c r="G59" s="51"/>
      <c r="H59" s="51"/>
      <c r="I59" s="51"/>
    </row>
    <row r="60">
      <c r="A60" s="51"/>
      <c r="B60" s="51"/>
      <c r="C60" s="51"/>
      <c r="D60" s="51"/>
      <c r="E60" s="51"/>
      <c r="F60" s="51"/>
      <c r="G60" s="51"/>
      <c r="H60" s="51"/>
      <c r="I60" s="51"/>
    </row>
    <row r="61">
      <c r="A61" s="51"/>
      <c r="B61" s="51"/>
      <c r="C61" s="51"/>
      <c r="D61" s="51"/>
      <c r="E61" s="51"/>
      <c r="F61" s="51"/>
      <c r="G61" s="51"/>
      <c r="H61" s="51"/>
      <c r="I61" s="51"/>
    </row>
    <row r="62">
      <c r="A62" s="51"/>
      <c r="B62" s="51"/>
      <c r="C62" s="51"/>
      <c r="D62" s="51"/>
      <c r="E62" s="51"/>
      <c r="F62" s="51"/>
      <c r="G62" s="51"/>
      <c r="H62" s="51"/>
      <c r="I62" s="51"/>
    </row>
    <row r="63">
      <c r="A63" s="51"/>
      <c r="B63" s="51"/>
      <c r="C63" s="51"/>
      <c r="D63" s="51"/>
      <c r="E63" s="51"/>
      <c r="F63" s="51"/>
      <c r="G63" s="51"/>
      <c r="H63" s="51"/>
      <c r="I63" s="51"/>
    </row>
    <row r="64">
      <c r="A64" s="51"/>
      <c r="B64" s="51"/>
      <c r="C64" s="51"/>
      <c r="D64" s="51"/>
      <c r="E64" s="51"/>
      <c r="F64" s="51"/>
      <c r="G64" s="51"/>
      <c r="H64" s="51"/>
      <c r="I64" s="51"/>
    </row>
    <row r="65">
      <c r="A65" s="51"/>
      <c r="B65" s="51"/>
      <c r="C65" s="51"/>
      <c r="D65" s="51"/>
      <c r="E65" s="51"/>
      <c r="F65" s="51"/>
      <c r="G65" s="51"/>
      <c r="H65" s="51"/>
      <c r="I65" s="51"/>
    </row>
    <row r="66">
      <c r="A66" s="51"/>
      <c r="B66" s="51"/>
      <c r="C66" s="51"/>
      <c r="D66" s="51"/>
      <c r="E66" s="51"/>
      <c r="F66" s="51"/>
      <c r="G66" s="51"/>
      <c r="H66" s="51"/>
      <c r="I66" s="51"/>
    </row>
    <row r="67">
      <c r="A67" s="51"/>
      <c r="B67" s="51"/>
      <c r="C67" s="51"/>
      <c r="D67" s="51"/>
      <c r="E67" s="51"/>
      <c r="F67" s="51"/>
      <c r="G67" s="51"/>
      <c r="H67" s="51"/>
      <c r="I67" s="51"/>
    </row>
    <row r="68">
      <c r="A68" s="51"/>
      <c r="B68" s="51"/>
      <c r="C68" s="51"/>
      <c r="D68" s="51"/>
      <c r="E68" s="51"/>
      <c r="F68" s="51"/>
      <c r="G68" s="51"/>
      <c r="H68" s="51"/>
      <c r="I68" s="51"/>
    </row>
    <row r="69">
      <c r="A69" s="51"/>
      <c r="B69" s="51"/>
      <c r="C69" s="51"/>
      <c r="D69" s="51"/>
      <c r="E69" s="51"/>
      <c r="F69" s="51"/>
      <c r="G69" s="51"/>
      <c r="H69" s="51"/>
      <c r="I69" s="51"/>
    </row>
    <row r="70">
      <c r="A70" s="51"/>
      <c r="B70" s="51"/>
      <c r="C70" s="51"/>
      <c r="D70" s="51"/>
      <c r="E70" s="51"/>
      <c r="F70" s="51"/>
      <c r="G70" s="51"/>
      <c r="H70" s="51"/>
      <c r="I70" s="51"/>
    </row>
    <row r="71">
      <c r="A71" s="51"/>
      <c r="B71" s="51"/>
      <c r="C71" s="51"/>
      <c r="D71" s="51"/>
      <c r="E71" s="51"/>
      <c r="F71" s="51"/>
      <c r="G71" s="51"/>
      <c r="H71" s="51"/>
      <c r="I71" s="51"/>
    </row>
    <row r="72">
      <c r="A72" s="51"/>
      <c r="B72" s="51"/>
      <c r="C72" s="51"/>
      <c r="D72" s="51"/>
      <c r="E72" s="51"/>
      <c r="F72" s="51"/>
      <c r="G72" s="51"/>
      <c r="H72" s="51"/>
      <c r="I72" s="51"/>
    </row>
    <row r="73">
      <c r="A73" s="51"/>
      <c r="B73" s="51"/>
      <c r="C73" s="51"/>
      <c r="D73" s="51"/>
      <c r="E73" s="51"/>
      <c r="F73" s="51"/>
      <c r="G73" s="51"/>
      <c r="H73" s="51"/>
      <c r="I73" s="51"/>
    </row>
    <row r="74">
      <c r="A74" s="51"/>
      <c r="B74" s="51"/>
      <c r="C74" s="51"/>
      <c r="D74" s="51"/>
      <c r="E74" s="51"/>
      <c r="F74" s="51"/>
      <c r="G74" s="51"/>
      <c r="H74" s="51"/>
      <c r="I74" s="51"/>
    </row>
    <row r="75">
      <c r="A75" s="51"/>
      <c r="B75" s="51"/>
      <c r="C75" s="51"/>
      <c r="D75" s="51"/>
      <c r="E75" s="51"/>
      <c r="F75" s="51"/>
      <c r="G75" s="51"/>
      <c r="H75" s="51"/>
      <c r="I75" s="51"/>
    </row>
    <row r="76">
      <c r="A76" s="51"/>
      <c r="B76" s="51"/>
      <c r="C76" s="51"/>
      <c r="D76" s="51"/>
      <c r="E76" s="51"/>
      <c r="F76" s="51"/>
      <c r="G76" s="51"/>
      <c r="H76" s="51"/>
      <c r="I76" s="51"/>
    </row>
    <row r="77">
      <c r="A77" s="51"/>
      <c r="B77" s="51"/>
      <c r="C77" s="51"/>
      <c r="D77" s="51"/>
      <c r="E77" s="51"/>
      <c r="F77" s="51"/>
      <c r="G77" s="51"/>
      <c r="H77" s="51"/>
      <c r="I77" s="51"/>
    </row>
    <row r="78">
      <c r="A78" s="51"/>
      <c r="B78" s="51"/>
      <c r="C78" s="51"/>
      <c r="D78" s="51"/>
      <c r="E78" s="51"/>
      <c r="F78" s="51"/>
      <c r="G78" s="51"/>
      <c r="H78" s="51"/>
      <c r="I78" s="51"/>
    </row>
    <row r="79">
      <c r="A79" s="51"/>
      <c r="B79" s="51"/>
      <c r="C79" s="51"/>
      <c r="D79" s="51"/>
      <c r="E79" s="51"/>
      <c r="F79" s="51"/>
      <c r="G79" s="51"/>
      <c r="H79" s="51"/>
      <c r="I79" s="51"/>
    </row>
    <row r="80">
      <c r="A80" s="51"/>
      <c r="B80" s="51"/>
      <c r="C80" s="51"/>
      <c r="D80" s="51"/>
      <c r="E80" s="51"/>
      <c r="F80" s="51"/>
      <c r="G80" s="51"/>
      <c r="H80" s="51"/>
      <c r="I80" s="51"/>
    </row>
    <row r="81">
      <c r="A81" s="51"/>
      <c r="B81" s="51"/>
      <c r="C81" s="51"/>
      <c r="D81" s="51"/>
      <c r="E81" s="51"/>
      <c r="F81" s="51"/>
      <c r="G81" s="51"/>
      <c r="H81" s="51"/>
      <c r="I81" s="51"/>
    </row>
    <row r="82">
      <c r="A82" s="51"/>
      <c r="B82" s="51"/>
      <c r="C82" s="51"/>
      <c r="D82" s="51"/>
      <c r="E82" s="51"/>
      <c r="F82" s="51"/>
      <c r="G82" s="51"/>
      <c r="H82" s="51"/>
      <c r="I82" s="51"/>
    </row>
    <row r="83">
      <c r="A83" s="51"/>
      <c r="B83" s="51"/>
      <c r="C83" s="51"/>
      <c r="D83" s="51"/>
      <c r="E83" s="51"/>
      <c r="F83" s="51"/>
      <c r="G83" s="51"/>
      <c r="H83" s="51"/>
      <c r="I83" s="51"/>
    </row>
    <row r="84">
      <c r="A84" s="51"/>
      <c r="B84" s="51"/>
      <c r="C84" s="51"/>
      <c r="D84" s="51"/>
      <c r="E84" s="51"/>
      <c r="F84" s="51"/>
      <c r="G84" s="51"/>
      <c r="H84" s="51"/>
      <c r="I84" s="51"/>
    </row>
    <row r="85">
      <c r="A85" s="51"/>
      <c r="B85" s="51"/>
      <c r="C85" s="51"/>
      <c r="D85" s="51"/>
      <c r="E85" s="51"/>
      <c r="F85" s="51"/>
      <c r="G85" s="51"/>
      <c r="H85" s="51"/>
      <c r="I85" s="51"/>
    </row>
    <row r="86">
      <c r="A86" s="51"/>
      <c r="B86" s="51"/>
      <c r="C86" s="51"/>
      <c r="D86" s="51"/>
      <c r="E86" s="51"/>
      <c r="F86" s="51"/>
      <c r="G86" s="51"/>
      <c r="H86" s="51"/>
      <c r="I86" s="51"/>
    </row>
    <row r="87">
      <c r="A87" s="51"/>
      <c r="B87" s="51"/>
      <c r="C87" s="51"/>
      <c r="D87" s="51"/>
      <c r="E87" s="51"/>
      <c r="F87" s="51"/>
      <c r="G87" s="51"/>
      <c r="H87" s="51"/>
      <c r="I87" s="51"/>
    </row>
    <row r="88">
      <c r="A88" s="51"/>
      <c r="B88" s="51"/>
      <c r="C88" s="51"/>
      <c r="D88" s="51"/>
      <c r="E88" s="51"/>
      <c r="F88" s="51"/>
      <c r="G88" s="51"/>
      <c r="H88" s="51"/>
      <c r="I88" s="51"/>
    </row>
    <row r="89">
      <c r="A89" s="51"/>
      <c r="B89" s="51"/>
      <c r="C89" s="51"/>
      <c r="D89" s="51"/>
      <c r="E89" s="51"/>
      <c r="F89" s="51"/>
      <c r="G89" s="51"/>
      <c r="H89" s="51"/>
      <c r="I89" s="51"/>
    </row>
    <row r="90">
      <c r="A90" s="51"/>
      <c r="B90" s="51"/>
      <c r="C90" s="51"/>
      <c r="D90" s="51"/>
      <c r="E90" s="51"/>
      <c r="F90" s="51"/>
      <c r="G90" s="51"/>
      <c r="H90" s="51"/>
      <c r="I90" s="51"/>
    </row>
    <row r="91">
      <c r="A91" s="51"/>
      <c r="B91" s="51"/>
      <c r="C91" s="51"/>
      <c r="D91" s="51"/>
      <c r="E91" s="51"/>
      <c r="F91" s="51"/>
      <c r="G91" s="51"/>
      <c r="H91" s="51"/>
      <c r="I91" s="51"/>
    </row>
    <row r="92">
      <c r="A92" s="51"/>
      <c r="B92" s="51"/>
      <c r="C92" s="51"/>
      <c r="D92" s="51"/>
      <c r="E92" s="51"/>
      <c r="F92" s="51"/>
      <c r="G92" s="51"/>
      <c r="H92" s="51"/>
      <c r="I92" s="51"/>
    </row>
    <row r="93">
      <c r="A93" s="51"/>
      <c r="B93" s="51"/>
      <c r="C93" s="51"/>
      <c r="D93" s="51"/>
      <c r="E93" s="51"/>
      <c r="F93" s="51"/>
      <c r="G93" s="51"/>
      <c r="H93" s="51"/>
      <c r="I93" s="51"/>
    </row>
    <row r="94">
      <c r="A94" s="51"/>
      <c r="B94" s="51"/>
      <c r="C94" s="51"/>
      <c r="D94" s="51"/>
      <c r="E94" s="51"/>
      <c r="F94" s="51"/>
      <c r="G94" s="51"/>
      <c r="H94" s="51"/>
      <c r="I94" s="51"/>
    </row>
    <row r="95">
      <c r="A95" s="51"/>
      <c r="B95" s="51"/>
      <c r="C95" s="51"/>
      <c r="D95" s="51"/>
      <c r="E95" s="51"/>
      <c r="F95" s="51"/>
      <c r="G95" s="51"/>
      <c r="H95" s="51"/>
      <c r="I95" s="51"/>
    </row>
    <row r="96">
      <c r="A96" s="51"/>
      <c r="B96" s="51"/>
      <c r="C96" s="51"/>
      <c r="D96" s="51"/>
      <c r="E96" s="51"/>
      <c r="F96" s="51"/>
      <c r="G96" s="51"/>
      <c r="H96" s="51"/>
      <c r="I96" s="51"/>
    </row>
    <row r="97">
      <c r="A97" s="51"/>
      <c r="B97" s="51"/>
      <c r="C97" s="51"/>
      <c r="D97" s="51"/>
      <c r="E97" s="51"/>
      <c r="F97" s="51"/>
      <c r="G97" s="51"/>
      <c r="H97" s="51"/>
      <c r="I97" s="51"/>
    </row>
    <row r="98">
      <c r="A98" s="51"/>
      <c r="B98" s="51"/>
      <c r="C98" s="51"/>
      <c r="D98" s="51"/>
      <c r="E98" s="51"/>
      <c r="F98" s="51"/>
      <c r="G98" s="51"/>
      <c r="H98" s="51"/>
      <c r="I98" s="51"/>
    </row>
    <row r="99">
      <c r="A99" s="51"/>
      <c r="B99" s="51"/>
      <c r="C99" s="51"/>
      <c r="D99" s="51"/>
      <c r="E99" s="51"/>
      <c r="F99" s="51"/>
      <c r="G99" s="51"/>
      <c r="H99" s="51"/>
      <c r="I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</row>
  </sheetData>
  <mergeCells count="14">
    <mergeCell ref="F16:F19"/>
    <mergeCell ref="F24:F27"/>
    <mergeCell ref="F20:F23"/>
    <mergeCell ref="F7:F15"/>
    <mergeCell ref="F3:F6"/>
    <mergeCell ref="C21:C23"/>
    <mergeCell ref="B21:B23"/>
    <mergeCell ref="A3:A6"/>
    <mergeCell ref="A7:A15"/>
    <mergeCell ref="A16:A19"/>
    <mergeCell ref="A20:A23"/>
    <mergeCell ref="D21:D23"/>
    <mergeCell ref="A1:M2"/>
    <mergeCell ref="A24:A2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0.43"/>
    <col customWidth="1" min="2" max="2" width="33.0"/>
    <col customWidth="1" min="3" max="3" width="25.0"/>
    <col customWidth="1" min="4" max="4" width="14.14"/>
    <col customWidth="1" min="5" max="5" width="9.29"/>
    <col customWidth="1" min="6" max="6" width="5.71"/>
    <col customWidth="1" min="7" max="7" width="10.43"/>
    <col customWidth="1" min="8" max="8" width="9.86"/>
    <col customWidth="1" min="9" max="9" width="7.71"/>
    <col customWidth="1" min="10" max="10" width="9.0"/>
    <col customWidth="1" min="11" max="11" width="0.71"/>
    <col customWidth="1" min="12" max="12" width="8.86"/>
    <col customWidth="1" min="13" max="13" width="14.86"/>
    <col customWidth="1" min="14" max="15" width="24.43"/>
    <col customWidth="1" min="16" max="16" width="8.86"/>
    <col customWidth="1" min="17" max="17" width="13.71"/>
    <col customWidth="1" min="18" max="26" width="8.86"/>
  </cols>
  <sheetData>
    <row r="1" ht="5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Q1" s="51"/>
    </row>
    <row r="2">
      <c r="A2" s="51"/>
      <c r="B2" s="308"/>
      <c r="C2" s="309" t="s">
        <v>81</v>
      </c>
      <c r="D2" s="309" t="s">
        <v>99</v>
      </c>
      <c r="E2" s="309" t="s">
        <v>204</v>
      </c>
      <c r="F2" s="309" t="s">
        <v>205</v>
      </c>
      <c r="G2" s="309" t="s">
        <v>206</v>
      </c>
      <c r="H2" s="309" t="s">
        <v>69</v>
      </c>
      <c r="I2" s="309" t="s">
        <v>104</v>
      </c>
      <c r="J2" s="310" t="s">
        <v>31</v>
      </c>
      <c r="K2" s="51"/>
      <c r="L2" s="311"/>
      <c r="M2" s="165"/>
      <c r="N2" s="310" t="s">
        <v>78</v>
      </c>
      <c r="O2" s="51"/>
      <c r="Q2" s="51"/>
    </row>
    <row r="3">
      <c r="A3" s="51"/>
      <c r="B3" s="52" t="s">
        <v>12</v>
      </c>
      <c r="C3" s="312" t="s">
        <v>207</v>
      </c>
      <c r="D3" s="313">
        <v>1.0</v>
      </c>
      <c r="E3" s="312">
        <v>1.2</v>
      </c>
      <c r="F3" s="313" t="s">
        <v>207</v>
      </c>
      <c r="G3" s="312">
        <v>1.0</v>
      </c>
      <c r="H3" s="313" t="s">
        <v>207</v>
      </c>
      <c r="I3" s="312" t="s">
        <v>207</v>
      </c>
      <c r="J3" s="314" t="s">
        <v>207</v>
      </c>
      <c r="K3" s="51"/>
      <c r="L3" s="315" t="s">
        <v>11</v>
      </c>
      <c r="M3" s="316"/>
      <c r="N3" s="317">
        <v>1.0</v>
      </c>
      <c r="O3" s="51"/>
      <c r="Q3" s="51"/>
      <c r="R3" s="51" t="s">
        <v>11</v>
      </c>
    </row>
    <row r="4">
      <c r="A4" s="51"/>
      <c r="B4" s="58" t="s">
        <v>15</v>
      </c>
      <c r="C4" s="318">
        <v>0.0</v>
      </c>
      <c r="D4" s="319">
        <v>0.8</v>
      </c>
      <c r="E4" s="318">
        <v>1.0</v>
      </c>
      <c r="F4" s="319" t="s">
        <v>207</v>
      </c>
      <c r="G4" s="318">
        <v>0.8</v>
      </c>
      <c r="H4" s="319" t="s">
        <v>207</v>
      </c>
      <c r="I4" s="318">
        <v>1.0</v>
      </c>
      <c r="J4" s="320" t="s">
        <v>207</v>
      </c>
      <c r="K4" s="51"/>
      <c r="L4" s="321" t="s">
        <v>14</v>
      </c>
      <c r="M4" s="53" t="s">
        <v>13</v>
      </c>
      <c r="N4" s="317">
        <v>0.8</v>
      </c>
      <c r="O4" s="51"/>
      <c r="Q4" s="51"/>
      <c r="R4" s="51" t="s">
        <v>14</v>
      </c>
    </row>
    <row r="5">
      <c r="A5" s="51"/>
      <c r="B5" s="58" t="s">
        <v>24</v>
      </c>
      <c r="C5" s="318">
        <v>0.6</v>
      </c>
      <c r="D5" s="319">
        <v>0.6</v>
      </c>
      <c r="E5" s="318">
        <v>0.6</v>
      </c>
      <c r="F5" s="319" t="s">
        <v>207</v>
      </c>
      <c r="G5" s="318">
        <v>0.6</v>
      </c>
      <c r="H5" s="319" t="s">
        <v>207</v>
      </c>
      <c r="I5" s="318">
        <v>0.6</v>
      </c>
      <c r="J5" s="320" t="s">
        <v>207</v>
      </c>
      <c r="K5" s="51"/>
      <c r="L5" s="322"/>
      <c r="M5" s="53" t="s">
        <v>16</v>
      </c>
      <c r="N5" s="317">
        <v>0.6</v>
      </c>
      <c r="O5" s="51"/>
      <c r="Q5" s="51"/>
      <c r="R5" s="51" t="s">
        <v>23</v>
      </c>
    </row>
    <row r="6">
      <c r="A6" s="51"/>
      <c r="B6" s="58" t="s">
        <v>27</v>
      </c>
      <c r="C6" s="318">
        <v>1.0</v>
      </c>
      <c r="D6" s="319">
        <v>0.0</v>
      </c>
      <c r="E6" s="318">
        <v>0.0</v>
      </c>
      <c r="F6" s="319" t="s">
        <v>207</v>
      </c>
      <c r="G6" s="318">
        <v>0.0</v>
      </c>
      <c r="H6" s="319" t="s">
        <v>207</v>
      </c>
      <c r="I6" s="318">
        <v>0.0</v>
      </c>
      <c r="J6" s="320" t="s">
        <v>207</v>
      </c>
      <c r="K6" s="51"/>
      <c r="L6" s="321" t="s">
        <v>23</v>
      </c>
      <c r="M6" s="53" t="s">
        <v>25</v>
      </c>
      <c r="N6" s="317">
        <v>0.8</v>
      </c>
      <c r="O6" s="51"/>
      <c r="Q6" s="51"/>
      <c r="R6" s="51" t="s">
        <v>26</v>
      </c>
    </row>
    <row r="7">
      <c r="A7" s="51"/>
      <c r="B7" s="58" t="s">
        <v>32</v>
      </c>
      <c r="C7" s="318" t="s">
        <v>207</v>
      </c>
      <c r="D7" s="319" t="s">
        <v>207</v>
      </c>
      <c r="E7" s="318" t="s">
        <v>207</v>
      </c>
      <c r="F7" s="319">
        <v>1.0</v>
      </c>
      <c r="G7" s="318" t="s">
        <v>207</v>
      </c>
      <c r="H7" s="319" t="s">
        <v>207</v>
      </c>
      <c r="I7" s="318" t="s">
        <v>207</v>
      </c>
      <c r="J7" s="320" t="s">
        <v>207</v>
      </c>
      <c r="K7" s="51"/>
      <c r="L7" s="322"/>
      <c r="M7" s="53" t="s">
        <v>28</v>
      </c>
      <c r="N7" s="317">
        <v>0.6</v>
      </c>
      <c r="O7" s="51"/>
      <c r="Q7" s="51"/>
      <c r="R7" s="51" t="s">
        <v>31</v>
      </c>
    </row>
    <row r="8">
      <c r="A8" s="51"/>
      <c r="B8" s="58" t="s">
        <v>37</v>
      </c>
      <c r="C8" s="318" t="s">
        <v>207</v>
      </c>
      <c r="D8" s="319" t="s">
        <v>207</v>
      </c>
      <c r="E8" s="318" t="s">
        <v>207</v>
      </c>
      <c r="F8" s="319">
        <v>0.4</v>
      </c>
      <c r="G8" s="318" t="s">
        <v>207</v>
      </c>
      <c r="H8" s="319" t="s">
        <v>207</v>
      </c>
      <c r="I8" s="318" t="s">
        <v>207</v>
      </c>
      <c r="J8" s="320" t="s">
        <v>207</v>
      </c>
      <c r="K8" s="51"/>
      <c r="L8" s="315" t="s">
        <v>26</v>
      </c>
      <c r="M8" s="316"/>
      <c r="N8" s="317">
        <v>0.6</v>
      </c>
      <c r="O8" s="51"/>
      <c r="Q8" s="51"/>
      <c r="R8" s="51" t="s">
        <v>36</v>
      </c>
    </row>
    <row r="9">
      <c r="A9" s="51"/>
      <c r="B9" s="58" t="s">
        <v>43</v>
      </c>
      <c r="C9" s="318" t="s">
        <v>207</v>
      </c>
      <c r="D9" s="319" t="s">
        <v>207</v>
      </c>
      <c r="E9" s="318" t="s">
        <v>207</v>
      </c>
      <c r="F9" s="319">
        <v>0.0</v>
      </c>
      <c r="G9" s="318" t="s">
        <v>207</v>
      </c>
      <c r="H9" s="319" t="s">
        <v>207</v>
      </c>
      <c r="I9" s="318" t="s">
        <v>207</v>
      </c>
      <c r="J9" s="320" t="s">
        <v>207</v>
      </c>
      <c r="K9" s="51"/>
      <c r="L9" s="315" t="s">
        <v>31</v>
      </c>
      <c r="M9" s="316"/>
      <c r="N9" s="317">
        <v>0.6</v>
      </c>
      <c r="O9" s="51"/>
      <c r="Q9" s="51"/>
      <c r="R9" s="51" t="s">
        <v>42</v>
      </c>
    </row>
    <row r="10">
      <c r="A10" s="51"/>
      <c r="B10" s="58" t="s">
        <v>47</v>
      </c>
      <c r="C10" s="318" t="s">
        <v>207</v>
      </c>
      <c r="D10" s="319" t="s">
        <v>207</v>
      </c>
      <c r="E10" s="318" t="s">
        <v>207</v>
      </c>
      <c r="F10" s="319" t="s">
        <v>207</v>
      </c>
      <c r="G10" s="318" t="s">
        <v>207</v>
      </c>
      <c r="H10" s="319">
        <v>1.0</v>
      </c>
      <c r="I10" s="318" t="s">
        <v>207</v>
      </c>
      <c r="J10" s="320" t="s">
        <v>207</v>
      </c>
      <c r="K10" s="51"/>
      <c r="L10" s="315" t="s">
        <v>36</v>
      </c>
      <c r="M10" s="316"/>
      <c r="N10" s="317">
        <v>0.4</v>
      </c>
      <c r="O10" s="51"/>
      <c r="Q10" s="51"/>
      <c r="R10" s="51" t="s">
        <v>46</v>
      </c>
    </row>
    <row r="11">
      <c r="A11" s="51"/>
      <c r="B11" s="58" t="s">
        <v>53</v>
      </c>
      <c r="C11" s="318" t="s">
        <v>207</v>
      </c>
      <c r="D11" s="319" t="s">
        <v>207</v>
      </c>
      <c r="E11" s="318" t="s">
        <v>207</v>
      </c>
      <c r="F11" s="319" t="s">
        <v>207</v>
      </c>
      <c r="G11" s="318" t="s">
        <v>207</v>
      </c>
      <c r="H11" s="319">
        <v>0.8</v>
      </c>
      <c r="I11" s="318" t="s">
        <v>207</v>
      </c>
      <c r="J11" s="320" t="s">
        <v>207</v>
      </c>
      <c r="K11" s="51"/>
      <c r="L11" s="321" t="s">
        <v>42</v>
      </c>
      <c r="M11" s="53" t="s">
        <v>33</v>
      </c>
      <c r="N11" s="317">
        <v>0.4</v>
      </c>
      <c r="O11" s="51"/>
      <c r="Q11" s="51"/>
      <c r="R11" s="51" t="s">
        <v>52</v>
      </c>
    </row>
    <row r="12">
      <c r="A12" s="51"/>
      <c r="B12" s="58" t="s">
        <v>58</v>
      </c>
      <c r="C12" s="318" t="s">
        <v>207</v>
      </c>
      <c r="D12" s="319" t="s">
        <v>207</v>
      </c>
      <c r="E12" s="318" t="s">
        <v>207</v>
      </c>
      <c r="F12" s="319" t="s">
        <v>207</v>
      </c>
      <c r="G12" s="318" t="s">
        <v>207</v>
      </c>
      <c r="H12" s="319">
        <v>0.6</v>
      </c>
      <c r="I12" s="318" t="s">
        <v>207</v>
      </c>
      <c r="J12" s="320" t="s">
        <v>207</v>
      </c>
      <c r="K12" s="51"/>
      <c r="L12" s="322"/>
      <c r="M12" s="53" t="s">
        <v>38</v>
      </c>
      <c r="N12" s="317">
        <v>0.3</v>
      </c>
      <c r="O12" s="51"/>
      <c r="Q12" s="51"/>
    </row>
    <row r="13">
      <c r="A13" s="51"/>
      <c r="B13" s="58" t="s">
        <v>64</v>
      </c>
      <c r="C13" s="318" t="s">
        <v>207</v>
      </c>
      <c r="D13" s="319" t="s">
        <v>207</v>
      </c>
      <c r="E13" s="318" t="s">
        <v>207</v>
      </c>
      <c r="F13" s="319" t="s">
        <v>207</v>
      </c>
      <c r="G13" s="318" t="s">
        <v>207</v>
      </c>
      <c r="H13" s="319">
        <v>0.0</v>
      </c>
      <c r="I13" s="318" t="s">
        <v>207</v>
      </c>
      <c r="J13" s="320" t="s">
        <v>207</v>
      </c>
      <c r="K13" s="51"/>
      <c r="L13" s="321" t="s">
        <v>46</v>
      </c>
      <c r="M13" s="53" t="s">
        <v>44</v>
      </c>
      <c r="N13" s="317">
        <v>0.2</v>
      </c>
      <c r="O13" s="51"/>
      <c r="Q13" s="51"/>
    </row>
    <row r="14">
      <c r="A14" s="51"/>
      <c r="B14" s="58" t="s">
        <v>66</v>
      </c>
      <c r="C14" s="318" t="s">
        <v>207</v>
      </c>
      <c r="D14" s="319" t="s">
        <v>207</v>
      </c>
      <c r="E14" s="318" t="s">
        <v>207</v>
      </c>
      <c r="F14" s="319" t="s">
        <v>207</v>
      </c>
      <c r="G14" s="318" t="s">
        <v>207</v>
      </c>
      <c r="H14" s="319" t="s">
        <v>207</v>
      </c>
      <c r="I14" s="318" t="s">
        <v>207</v>
      </c>
      <c r="J14" s="320">
        <v>0.0</v>
      </c>
      <c r="K14" s="51"/>
      <c r="L14" s="322"/>
      <c r="M14" s="53" t="s">
        <v>48</v>
      </c>
      <c r="N14" s="317">
        <v>0.0</v>
      </c>
      <c r="O14" s="51"/>
      <c r="Q14" s="51"/>
    </row>
    <row r="15" ht="15.75" customHeight="1">
      <c r="A15" s="51"/>
      <c r="B15" s="58" t="s">
        <v>71</v>
      </c>
      <c r="C15" s="318" t="s">
        <v>207</v>
      </c>
      <c r="D15" s="319" t="s">
        <v>207</v>
      </c>
      <c r="E15" s="318" t="s">
        <v>207</v>
      </c>
      <c r="F15" s="319" t="s">
        <v>207</v>
      </c>
      <c r="G15" s="318" t="s">
        <v>207</v>
      </c>
      <c r="H15" s="319" t="s">
        <v>207</v>
      </c>
      <c r="I15" s="318" t="s">
        <v>207</v>
      </c>
      <c r="J15" s="320">
        <v>0.6</v>
      </c>
      <c r="K15" s="51"/>
      <c r="L15" s="323" t="s">
        <v>52</v>
      </c>
      <c r="M15" s="324"/>
      <c r="N15" s="325">
        <v>0.2</v>
      </c>
      <c r="O15" s="51"/>
      <c r="Q15" s="51"/>
    </row>
    <row r="16" ht="15.75" customHeight="1">
      <c r="A16" s="51"/>
      <c r="B16" s="112" t="s">
        <v>73</v>
      </c>
      <c r="C16" s="326" t="s">
        <v>207</v>
      </c>
      <c r="D16" s="327" t="s">
        <v>207</v>
      </c>
      <c r="E16" s="326" t="s">
        <v>207</v>
      </c>
      <c r="F16" s="327" t="s">
        <v>207</v>
      </c>
      <c r="G16" s="326" t="s">
        <v>207</v>
      </c>
      <c r="H16" s="327" t="s">
        <v>207</v>
      </c>
      <c r="I16" s="326" t="s">
        <v>207</v>
      </c>
      <c r="J16" s="328">
        <v>1.0</v>
      </c>
      <c r="K16" s="51"/>
      <c r="L16" s="51"/>
      <c r="M16" s="51"/>
      <c r="N16" s="51"/>
      <c r="O16" s="51"/>
      <c r="Q16" s="51"/>
    </row>
    <row r="17" ht="4.5" customHeight="1">
      <c r="A17" s="51"/>
      <c r="B17" s="51"/>
      <c r="C17" s="329"/>
      <c r="D17" s="329"/>
      <c r="E17" s="329"/>
      <c r="F17" s="329"/>
      <c r="G17" s="329"/>
      <c r="H17" s="329"/>
      <c r="I17" s="329"/>
      <c r="J17" s="329"/>
      <c r="K17" s="51"/>
      <c r="L17" s="51"/>
      <c r="M17" s="51"/>
      <c r="N17" s="51"/>
      <c r="O17" s="51"/>
      <c r="Q17" s="51"/>
    </row>
    <row r="18" ht="4.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51"/>
    </row>
    <row r="19">
      <c r="A19" s="51"/>
      <c r="B19" s="330" t="s">
        <v>78</v>
      </c>
      <c r="C19" s="331" t="str">
        <f>CONSULTORIA!E32</f>
        <v>MP</v>
      </c>
      <c r="D19" s="332">
        <f>IF(AND(C19&lt;&gt;"SAG",C19&lt;&gt;"PE",C19&lt;&gt;"MP",C19&lt;&gt;"PCP"),VLOOKUP(C19,L3:N15,3,FALSE),VLOOKUP(CONSULTORIA!F32,Esconder!M4:N14,2,FALSE))</f>
        <v>0</v>
      </c>
      <c r="E19" s="333">
        <v>0.25</v>
      </c>
      <c r="F19" s="334">
        <f t="shared" ref="F19:F26" si="1">D19*E19</f>
        <v>0</v>
      </c>
      <c r="G19" s="51"/>
      <c r="H19" s="51"/>
      <c r="I19" s="51"/>
      <c r="J19" s="51"/>
      <c r="K19" s="51"/>
      <c r="L19" s="51"/>
      <c r="M19" s="51"/>
      <c r="N19" s="51"/>
      <c r="O19" s="51"/>
      <c r="Q19" s="51"/>
    </row>
    <row r="20">
      <c r="A20" s="51"/>
      <c r="B20" s="335" t="s">
        <v>81</v>
      </c>
      <c r="C20" s="336" t="str">
        <f>CONSULTORIA!E33</f>
        <v>Alto</v>
      </c>
      <c r="D20" s="337">
        <f>VLOOKUP(C20,Esconder!$B$3:$J$16,2,FALSE)</f>
        <v>0</v>
      </c>
      <c r="E20" s="338">
        <v>0.1</v>
      </c>
      <c r="F20" s="339">
        <f t="shared" si="1"/>
        <v>0</v>
      </c>
      <c r="G20" s="51"/>
      <c r="H20" s="51"/>
      <c r="I20" s="51"/>
      <c r="J20" s="51"/>
      <c r="K20" s="51"/>
      <c r="L20" s="51"/>
      <c r="M20" s="51"/>
      <c r="N20" s="51"/>
      <c r="O20" s="51"/>
      <c r="Q20" s="51"/>
    </row>
    <row r="21">
      <c r="A21" s="51"/>
      <c r="B21" s="335" t="s">
        <v>99</v>
      </c>
      <c r="C21" s="336" t="str">
        <f>CONSULTORIA!E34</f>
        <v>Alto</v>
      </c>
      <c r="D21" s="337">
        <f>VLOOKUP(C21,Esconder!$B$3:$J$16,3,FALSE)</f>
        <v>0.8</v>
      </c>
      <c r="E21" s="338">
        <v>0.18</v>
      </c>
      <c r="F21" s="339">
        <f t="shared" si="1"/>
        <v>0.144</v>
      </c>
      <c r="G21" s="51"/>
      <c r="H21" s="51"/>
      <c r="I21" s="51"/>
      <c r="J21" s="51"/>
      <c r="K21" s="51"/>
      <c r="L21" s="51"/>
      <c r="M21" s="51"/>
      <c r="N21" s="51"/>
      <c r="O21" s="51"/>
      <c r="Q21" s="51"/>
    </row>
    <row r="22">
      <c r="A22" s="51"/>
      <c r="B22" s="335" t="s">
        <v>101</v>
      </c>
      <c r="C22" s="336" t="str">
        <f>CONSULTORIA!E35</f>
        <v>Baixo</v>
      </c>
      <c r="D22" s="337">
        <f>VLOOKUP(C22,Esconder!$B$3:$J$16,4,FALSE)</f>
        <v>0</v>
      </c>
      <c r="E22" s="338">
        <v>0.15</v>
      </c>
      <c r="F22" s="339">
        <f t="shared" si="1"/>
        <v>0</v>
      </c>
      <c r="G22" s="51"/>
      <c r="H22" s="51"/>
      <c r="I22" s="51"/>
      <c r="J22" s="51"/>
      <c r="K22" s="51"/>
      <c r="L22" s="51"/>
      <c r="M22" s="51"/>
      <c r="N22" s="51"/>
      <c r="O22" s="51"/>
      <c r="Q22" s="51"/>
    </row>
    <row r="23">
      <c r="A23" s="51"/>
      <c r="B23" s="335" t="s">
        <v>102</v>
      </c>
      <c r="C23" s="336" t="str">
        <f>CONSULTORIA!E36</f>
        <v>Indústria</v>
      </c>
      <c r="D23" s="337">
        <f>VLOOKUP(C23,Esconder!$B$3:$J$16,5,FALSE)</f>
        <v>0</v>
      </c>
      <c r="E23" s="338">
        <v>0.17</v>
      </c>
      <c r="F23" s="339">
        <f t="shared" si="1"/>
        <v>0</v>
      </c>
      <c r="G23" s="51"/>
      <c r="H23" s="51"/>
      <c r="I23" s="51"/>
      <c r="J23" s="51"/>
      <c r="K23" s="51"/>
      <c r="L23" s="51"/>
      <c r="M23" s="51"/>
      <c r="N23" s="51"/>
      <c r="O23" s="51"/>
      <c r="Q23" s="51"/>
    </row>
    <row r="24">
      <c r="A24" s="51"/>
      <c r="B24" s="335" t="s">
        <v>208</v>
      </c>
      <c r="C24" s="336" t="str">
        <f>CONSULTORIA!E37</f>
        <v>Pouco Com Conhecimento</v>
      </c>
      <c r="D24" s="337">
        <f>VLOOKUP(C24,Esconder!$B$3:$J$16,7,FALSE)</f>
        <v>0.8</v>
      </c>
      <c r="E24" s="338">
        <v>0.05</v>
      </c>
      <c r="F24" s="339">
        <f t="shared" si="1"/>
        <v>0.04</v>
      </c>
      <c r="G24" s="51"/>
      <c r="H24" s="51"/>
      <c r="I24" s="51"/>
      <c r="J24" s="51"/>
      <c r="K24" s="51"/>
      <c r="L24" s="51"/>
      <c r="M24" s="51"/>
      <c r="N24" s="51"/>
      <c r="O24" s="51"/>
      <c r="Q24" s="51"/>
    </row>
    <row r="25">
      <c r="A25" s="51"/>
      <c r="B25" s="335" t="s">
        <v>104</v>
      </c>
      <c r="C25" s="336" t="str">
        <f>CONSULTORIA!E38</f>
        <v>Baixo</v>
      </c>
      <c r="D25" s="337">
        <f>VLOOKUP(C25,Esconder!$B$3:$J$16,8,FALSE)</f>
        <v>0</v>
      </c>
      <c r="E25" s="338">
        <v>0.08</v>
      </c>
      <c r="F25" s="339">
        <f t="shared" si="1"/>
        <v>0</v>
      </c>
      <c r="G25" s="51"/>
      <c r="H25" s="51"/>
      <c r="I25" s="51"/>
      <c r="J25" s="51"/>
      <c r="K25" s="51"/>
      <c r="L25" s="51"/>
      <c r="M25" s="51"/>
      <c r="N25" s="51"/>
      <c r="O25" s="51"/>
      <c r="Q25" s="51"/>
    </row>
    <row r="26" ht="15.75" customHeight="1">
      <c r="A26" s="51"/>
      <c r="B26" s="340" t="s">
        <v>31</v>
      </c>
      <c r="C26" s="341" t="str">
        <f>CONSULTORIA!E39</f>
        <v>&gt; 5 km &lt; 15 km</v>
      </c>
      <c r="D26" s="342">
        <f>VLOOKUP(C26,Esconder!$B$3:$J$16,9,FALSE)</f>
        <v>0.6</v>
      </c>
      <c r="E26" s="343">
        <v>0.02</v>
      </c>
      <c r="F26" s="344">
        <f t="shared" si="1"/>
        <v>0.012</v>
      </c>
      <c r="G26" s="51"/>
      <c r="H26" s="51"/>
      <c r="I26" s="51"/>
      <c r="J26" s="51"/>
      <c r="K26" s="51"/>
      <c r="L26" s="51"/>
      <c r="M26" s="51"/>
      <c r="N26" s="51"/>
      <c r="O26" s="51"/>
      <c r="Q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Q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Q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Q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Q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Q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Q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Q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Q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Q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Q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Q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Q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Q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Q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Q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Q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Q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Q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Q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Q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Q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Q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Q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Q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Q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Q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Q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Q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Q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Q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Q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Q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Q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Q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Q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Q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Q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Q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Q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Q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Q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Q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Q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Q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Q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Q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Q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Q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Q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Q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Q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Q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Q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Q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Q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Q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Q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Q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Q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Q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Q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Q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Q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Q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Q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Q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Q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Q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Q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Q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Q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Q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Q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Q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Q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Q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Q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Q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Q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Q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Q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Q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Q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Q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Q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Q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Q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Q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Q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Q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Q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Q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Q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Q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Q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Q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Q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Q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Q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Q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Q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Q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Q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Q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Q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Q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Q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Q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Q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Q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Q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Q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Q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Q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Q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Q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Q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Q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Q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Q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Q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Q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Q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Q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Q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Q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Q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Q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Q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Q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Q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Q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Q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Q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Q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Q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Q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Q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Q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Q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Q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Q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Q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Q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Q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Q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Q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Q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Q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Q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Q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Q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Q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Q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Q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Q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Q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Q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Q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Q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Q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Q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Q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Q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Q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Q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Q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Q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Q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Q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Q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Q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Q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Q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Q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Q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Q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Q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Q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Q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Q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Q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Q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Q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Q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Q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Q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Q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Q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Q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Q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Q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Q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Q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Q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Q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Q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Q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Q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Q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Q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Q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Q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Q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Q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Q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Q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Q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Q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Q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Q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Q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Q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Q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Q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Q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Q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Q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Q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Q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Q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Q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Q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Q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Q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Q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Q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Q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Q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Q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Q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Q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Q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Q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Q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Q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Q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Q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Q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Q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Q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Q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Q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Q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Q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Q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Q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Q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Q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Q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Q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Q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Q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Q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Q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Q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Q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Q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Q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Q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Q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Q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Q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Q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Q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Q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Q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Q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Q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Q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Q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Q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Q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Q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Q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Q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Q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Q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Q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Q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Q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Q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Q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Q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Q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Q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Q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Q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Q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Q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Q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Q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Q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Q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Q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Q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Q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Q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Q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Q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Q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Q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Q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Q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Q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Q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Q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Q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Q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Q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Q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Q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Q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Q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Q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Q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Q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Q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Q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Q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Q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Q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Q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Q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Q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Q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Q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Q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Q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Q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Q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Q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Q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Q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Q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Q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Q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Q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Q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Q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Q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Q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Q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Q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Q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Q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Q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Q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Q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Q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Q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Q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Q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Q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Q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Q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Q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Q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Q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Q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Q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Q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Q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Q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Q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Q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Q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Q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Q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Q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Q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Q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Q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Q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Q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Q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Q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Q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Q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Q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Q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Q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Q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Q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Q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Q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Q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Q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Q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Q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Q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Q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Q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Q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Q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Q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Q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Q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Q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Q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Q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Q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Q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Q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Q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Q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Q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Q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Q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Q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Q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Q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Q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Q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Q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Q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Q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Q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Q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Q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Q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Q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Q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Q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Q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Q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Q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Q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Q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Q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Q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Q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Q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Q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Q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Q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Q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Q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Q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Q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Q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Q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Q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Q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Q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Q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Q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Q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Q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Q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Q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Q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Q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Q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Q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Q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Q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Q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Q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Q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Q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Q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Q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Q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Q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Q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Q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Q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Q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Q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Q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Q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Q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Q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Q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Q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Q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Q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Q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Q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Q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Q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Q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Q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Q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Q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Q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Q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Q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Q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Q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Q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Q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Q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Q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Q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Q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Q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Q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Q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Q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Q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Q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Q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Q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Q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Q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Q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Q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Q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Q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Q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Q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Q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Q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Q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Q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Q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Q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Q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Q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Q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Q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Q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Q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Q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Q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Q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Q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Q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Q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Q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Q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Q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Q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Q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Q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Q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Q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Q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Q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Q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Q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Q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Q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Q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Q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Q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Q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Q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Q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Q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Q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Q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Q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Q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Q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Q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Q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Q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Q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Q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Q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Q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Q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Q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Q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Q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Q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Q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Q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Q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Q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Q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Q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Q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Q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Q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Q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Q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Q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Q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Q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Q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Q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Q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Q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Q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Q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Q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Q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Q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Q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Q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Q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Q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Q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Q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Q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Q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Q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Q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Q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Q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Q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Q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Q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Q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Q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Q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Q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Q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Q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Q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Q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Q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Q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Q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Q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Q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Q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Q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Q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Q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Q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Q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Q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Q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Q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Q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Q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Q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Q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Q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Q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Q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Q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Q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Q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Q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Q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Q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Q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Q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Q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Q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Q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Q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Q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Q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Q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Q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Q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Q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Q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Q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Q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Q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Q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Q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Q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Q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Q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Q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Q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Q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Q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Q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Q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Q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Q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Q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Q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Q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Q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Q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Q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Q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Q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Q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Q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Q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Q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Q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Q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Q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Q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Q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Q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Q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Q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Q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Q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Q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Q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Q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Q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Q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Q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Q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Q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Q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Q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Q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Q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Q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Q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Q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Q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Q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Q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Q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Q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Q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Q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Q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Q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Q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Q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Q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Q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Q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Q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Q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Q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Q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Q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Q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Q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Q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Q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Q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Q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Q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Q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Q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Q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Q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Q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Q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Q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Q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Q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Q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Q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Q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Q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Q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Q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Q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Q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Q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Q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Q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Q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Q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Q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Q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Q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Q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Q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Q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Q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Q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Q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Q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Q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Q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Q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Q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Q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Q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Q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Q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Q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Q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Q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Q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Q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Q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Q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Q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Q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Q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Q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Q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Q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Q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Q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Q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Q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Q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Q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Q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Q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Q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Q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Q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Q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Q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Q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Q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Q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Q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Q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Q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Q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Q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Q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Q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Q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Q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Q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Q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Q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Q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Q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Q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Q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Q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Q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Q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Q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Q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Q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Q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Q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Q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Q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Q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Q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Q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Q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Q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Q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Q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Q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Q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Q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Q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Q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Q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Q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Q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Q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Q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Q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Q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Q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Q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Q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Q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Q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Q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Q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Q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Q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Q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Q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Q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Q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Q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Q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Q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Q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Q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Q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Q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Q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Q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Q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Q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Q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Q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Q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Q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Q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Q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Q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Q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Q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Q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Q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Q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Q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Q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Q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Q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Q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Q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Q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Q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Q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Q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Q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Q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Q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Q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Q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Q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Q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Q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Q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Q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Q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Q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Q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Q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Q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Q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Q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Q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Q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Q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Q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Q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Q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Q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Q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Q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Q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Q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Q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Q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Q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Q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Q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Q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Q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Q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Q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Q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Q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Q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Q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Q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Q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Q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Q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Q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Q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Q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Q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Q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Q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Q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Q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Q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Q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Q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Q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Q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Q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Q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Q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Q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Q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Q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Q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Q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Q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Q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Q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Q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Q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Q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Q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Q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Q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Q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Q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Q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Q1000" s="51"/>
    </row>
  </sheetData>
  <mergeCells count="5">
    <mergeCell ref="L2:M2"/>
    <mergeCell ref="L4:L5"/>
    <mergeCell ref="L6:L7"/>
    <mergeCell ref="L11:L12"/>
    <mergeCell ref="L13:L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>
      <c r="A1" s="51">
        <v>1.0</v>
      </c>
    </row>
  </sheetData>
  <drawing r:id="rId1"/>
</worksheet>
</file>