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codeName="EstaPasta_de_trabalho" autoCompressPictures="0"/>
  <bookViews>
    <workbookView xWindow="360" yWindow="360" windowWidth="18480" windowHeight="12620" activeTab="1"/>
  </bookViews>
  <sheets>
    <sheet name="PRECIFICAÇÃO" sheetId="8" r:id="rId1"/>
    <sheet name="2. Dados da adm-fin" sheetId="6" r:id="rId2"/>
    <sheet name="Esconder" sheetId="9" state="hidden" r:id="rId3"/>
    <sheet name="Gastos Operacionais Padrão" sheetId="10" r:id="rId4"/>
  </sheets>
  <definedNames>
    <definedName name="_xlnm._FilterDatabase" localSheetId="0" hidden="1">PRECIFICAÇÃO!$B$43:$I$95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6" l="1"/>
  <c r="C22" i="9"/>
  <c r="D22" i="9"/>
  <c r="F22" i="9"/>
  <c r="B23" i="6"/>
  <c r="B29" i="6"/>
  <c r="B32" i="6"/>
  <c r="C20" i="9"/>
  <c r="D20" i="9"/>
  <c r="F20" i="9"/>
  <c r="C21" i="9"/>
  <c r="D21" i="9"/>
  <c r="F21" i="9"/>
  <c r="G45" i="8"/>
  <c r="H45" i="8"/>
  <c r="H54" i="8"/>
  <c r="B8" i="6"/>
  <c r="B17" i="6"/>
  <c r="B18" i="6"/>
  <c r="B95" i="8"/>
  <c r="E80" i="8"/>
  <c r="B7" i="6"/>
  <c r="B25" i="6"/>
  <c r="B26" i="6"/>
  <c r="C26" i="6"/>
  <c r="F4" i="6"/>
  <c r="K22" i="8"/>
  <c r="S18" i="8"/>
  <c r="E8" i="6"/>
  <c r="T18" i="8"/>
  <c r="U18" i="8"/>
  <c r="G8" i="6"/>
  <c r="V18" i="8"/>
  <c r="W18" i="8"/>
  <c r="R18" i="8"/>
  <c r="R19" i="8"/>
  <c r="S17" i="8"/>
  <c r="T17" i="8"/>
  <c r="U17" i="8"/>
  <c r="V17" i="8"/>
  <c r="W17" i="8"/>
  <c r="R17" i="8"/>
  <c r="T19" i="8"/>
  <c r="V19" i="8"/>
  <c r="W19" i="8"/>
  <c r="C23" i="9"/>
  <c r="D23" i="9"/>
  <c r="F23" i="9"/>
  <c r="C24" i="9"/>
  <c r="D24" i="9"/>
  <c r="F24" i="9"/>
  <c r="C25" i="9"/>
  <c r="D25" i="9"/>
  <c r="F25" i="9"/>
  <c r="C26" i="9"/>
  <c r="D26" i="9"/>
  <c r="F26" i="9"/>
  <c r="C19" i="9"/>
  <c r="D19" i="9"/>
  <c r="F19" i="9"/>
  <c r="F45" i="8"/>
  <c r="D7" i="6"/>
  <c r="E7" i="6"/>
  <c r="F7" i="6"/>
  <c r="G7" i="6"/>
  <c r="H7" i="6"/>
  <c r="I7" i="6"/>
  <c r="E78" i="8"/>
  <c r="E64" i="8"/>
  <c r="E63" i="8"/>
  <c r="E62" i="8"/>
  <c r="E65" i="8"/>
  <c r="G71" i="8"/>
  <c r="G72" i="8"/>
  <c r="B6" i="6"/>
  <c r="F12" i="8"/>
  <c r="B4" i="6"/>
  <c r="B15" i="6"/>
  <c r="B27" i="6"/>
  <c r="F8" i="6"/>
  <c r="H46" i="8"/>
  <c r="B11" i="6"/>
  <c r="H47" i="8"/>
  <c r="H48" i="8"/>
  <c r="H49" i="8"/>
  <c r="H50" i="8"/>
  <c r="H51" i="8"/>
  <c r="H52" i="8"/>
  <c r="H53" i="8"/>
  <c r="I8" i="6"/>
  <c r="H8" i="6"/>
  <c r="E93" i="8"/>
  <c r="H9" i="6"/>
  <c r="I9" i="6"/>
  <c r="F9" i="6"/>
  <c r="C19" i="6"/>
  <c r="S19" i="8"/>
  <c r="E9" i="6"/>
  <c r="U19" i="8"/>
  <c r="G9" i="6"/>
  <c r="D9" i="6"/>
  <c r="S20" i="8"/>
  <c r="B5" i="6"/>
  <c r="B16" i="6"/>
  <c r="D8" i="6"/>
  <c r="J8" i="6"/>
  <c r="D10" i="6"/>
  <c r="B24" i="6"/>
  <c r="C17" i="6"/>
  <c r="D28" i="6"/>
  <c r="C15" i="6"/>
  <c r="C16" i="6"/>
  <c r="C24" i="6"/>
  <c r="C27" i="6"/>
  <c r="C29" i="6"/>
  <c r="C25" i="6"/>
  <c r="E86" i="8"/>
  <c r="E88" i="8"/>
  <c r="X17" i="8"/>
  <c r="C23" i="6"/>
  <c r="B28" i="6"/>
  <c r="B30" i="6"/>
  <c r="C30" i="6"/>
  <c r="C28" i="6"/>
</calcChain>
</file>

<file path=xl/comments1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Pré-Proposta:</t>
        </r>
        <r>
          <rPr>
            <sz val="9"/>
            <color indexed="81"/>
            <rFont val="Tahoma"/>
            <family val="2"/>
          </rPr>
          <t xml:space="preserve">
Nesta área você deve inserir todos os gastos que você teve até a apresentação da proposta; isto é, tudo que você gastou com a 1a., 2a., apresentação da proposta e assinatura dos contratos.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Insita o nome dos consultores, a quantidade de horas/semanais, consultoria e se é de parceria. AS ABAS DE CONSULTORES NÃO PREENCHIDOS DEIXEM EM BRANCO!</t>
        </r>
      </text>
    </comment>
    <comment ref="D32" authorId="0">
      <text>
        <r>
          <rPr>
            <sz val="9"/>
            <color indexed="81"/>
            <rFont val="Tahoma"/>
            <family val="2"/>
          </rPr>
          <t xml:space="preserve">Preencher com a área de atuação do projeto. Caso não se encontre na lista, selecionar a área de atuação com o resultado esperado mais próximo e notificar um gerente de ADM-FIN
</t>
        </r>
      </text>
    </comment>
    <comment ref="F32" authorId="0">
      <text>
        <r>
          <rPr>
            <sz val="9"/>
            <color indexed="81"/>
            <rFont val="Tahoma"/>
            <family val="2"/>
          </rPr>
          <t>Apenas para CST's em:
Mapeamento de Processos
PCP
SAG
Planejamente Estratégico
Definir qual o tipo de projeto será prestado.</t>
        </r>
      </text>
    </comment>
    <comment ref="D33" authorId="0">
      <text>
        <r>
          <rPr>
            <sz val="9"/>
            <color indexed="81"/>
            <rFont val="Tahoma"/>
            <family val="2"/>
          </rPr>
          <t xml:space="preserve">Relaciona-se com o número de áreas de atuação indicadas na primeira/segunda visita.
Baixo: no máximo 1 área além da atual.
Médio: 2 ou 3 áreas além da atual
Alto: 4 ou mais áreas de atuação
</t>
        </r>
      </text>
    </comment>
    <comment ref="D34" authorId="0">
      <text>
        <r>
          <rPr>
            <sz val="9"/>
            <color indexed="81"/>
            <rFont val="Tahoma"/>
            <family val="2"/>
          </rPr>
          <t xml:space="preserve">Deve-se observar o interesse/poder de compra do cliente em contratar o serviço da EJEP (feeling do gerente).
Baixo: o cliente não demonstra interesse/não tem poder de compra.
Médio: o cliente demonstra razoável interesse/médio poder de compra.
Alto: o cliente demonstra grande interesse/alto poder de compra
Muito Alto: além de estar muito interessado, deixou claro que precisa muito do nosso serviço.
Exemplo 1: o cliente liga para a EJEP solicitando uma consultoria em PE: Oportunidade muito alta.
Exemplo 2: uma grande indústria está pouco interessada: Oportunidade média/alta, pois mesmo estando pouco interessado, ele possui um alto poder de compra.
</t>
        </r>
      </text>
    </comment>
    <comment ref="D35" authorId="0">
      <text>
        <r>
          <rPr>
            <sz val="9"/>
            <color indexed="81"/>
            <rFont val="Tahoma"/>
            <family val="2"/>
          </rPr>
          <t>Está relacionada com a duração do projeto exigida pelo empresário, levando em conta o cronograma e o escopo.
Baixo: a metodologia do projeto segue o padrão quanto ao cronograma e escopo.
Medio: a metodologia sofreu alterações quanto ao escopo.
Alto: a metodologia sofreu alterações quanto ao cronograma (duração das etapas)
Muito alto: além da alteração na duração, o empresário deixou claro que não pode existir atrasos.
Exemplo: o cronograma inicial era para 10 dias, mas teve que ser feito em 8 porque o funcionário responsável iria viajar e o projeto teria que ser cancelado: Urgência Muito alta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Avaliar o tipo de empresa e o serviço a ser prestado.
Fora do portifólio: a área de atuação não está no portifólio da EJEP.
Comércio/Serviços: empresas de comércio ou serviços.
Indústrias: indústrias em geral.</t>
        </r>
      </text>
    </comment>
    <comment ref="D37" authorId="0">
      <text>
        <r>
          <rPr>
            <sz val="9"/>
            <color indexed="81"/>
            <rFont val="Tahoma"/>
            <family val="2"/>
          </rPr>
          <t>Avaliar a quantidade e a capacitação dos consultores para o projeto.
Pouco Sem Conhecimento: há poucos consultores disponíveis, e os que estão não estão aptos a realizar o projeto.
Pouco Com Conhecimento: há poucos consultores, mas os que estão podem realizar o projeto.
Muito Sem Conhecimento: há muitos consultores disponíveis, mas não estão aptos a realizar o projeto.
Muito Com Conhecimento: há muitos consultores capacitados a realizar o projeto.</t>
        </r>
      </text>
    </comment>
    <comment ref="D38" authorId="0">
      <text>
        <r>
          <rPr>
            <sz val="9"/>
            <color indexed="81"/>
            <rFont val="Tahoma"/>
            <family val="2"/>
          </rPr>
          <t xml:space="preserve">Está relacionado ao risco para a imagem da EJEP caso ocorra algum problema com a consultoria (feeling do gerente).
Baixo: a imagem da EJEP não é prejudicada com uma possível falha.
Médio: a imagem da EJEP é prejudicada com uma possível falha.
Alto: a imagem da EJEP é muito prejudicada com uma possível falha.
Exemplo: o projeto será realizado na empresa do presidente da FIESC: Risco Alto.
</t>
        </r>
      </text>
    </comment>
    <comment ref="D39" authorId="0">
      <text>
        <r>
          <rPr>
            <sz val="9"/>
            <color indexed="81"/>
            <rFont val="Tahoma"/>
            <family val="2"/>
          </rPr>
          <t>Está relacionado ao custo de oportunidade em função da logística (pegar um engarrafamento, por exemplo).
&lt;5 km: a empresa fica a menos de 5 km da EJEP.
&gt;5 km &lt;15 km: a empresa fica entre 5 e 15 km de distânica da EJEP.
&gt;15 km: a empresa fica a mais de 15 km da EJEP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DOC Eletrônico:</t>
        </r>
        <r>
          <rPr>
            <sz val="9"/>
            <color indexed="81"/>
            <rFont val="Tahoma"/>
            <family val="2"/>
          </rPr>
          <t xml:space="preserve">
Caso o consultor não possua conta no BB, avisar ADMFIN</t>
        </r>
      </text>
    </comment>
    <comment ref="C92" authorId="0">
      <text>
        <r>
          <rPr>
            <sz val="8"/>
            <color indexed="81"/>
            <rFont val="Tahoma"/>
            <family val="2"/>
          </rPr>
          <t>Usar 5%. Dar o desconto apenas se realmente for necessário, até 10% é possível. Caso o empresário queira mais desconto falar com o diretor de ADM-FIN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6" authorId="0">
      <text>
        <r>
          <rPr>
            <b/>
            <sz val="8"/>
            <color indexed="81"/>
            <rFont val="Tahoma"/>
            <family val="2"/>
          </rPr>
          <t xml:space="preserve">Sinal Verde: </t>
        </r>
        <r>
          <rPr>
            <sz val="8"/>
            <color indexed="81"/>
            <rFont val="Tahoma"/>
            <family val="2"/>
          </rPr>
          <t>Margem boa;</t>
        </r>
        <r>
          <rPr>
            <b/>
            <sz val="8"/>
            <color indexed="81"/>
            <rFont val="Tahoma"/>
            <family val="2"/>
          </rPr>
          <t xml:space="preserve">
Sinal Amarelo: </t>
        </r>
        <r>
          <rPr>
            <sz val="8"/>
            <color indexed="81"/>
            <rFont val="Tahoma"/>
            <family val="2"/>
          </rPr>
          <t>Margem ok, mas avisar gerente de Adm-Fin;</t>
        </r>
        <r>
          <rPr>
            <b/>
            <sz val="8"/>
            <color indexed="81"/>
            <rFont val="Tahoma"/>
            <family val="2"/>
          </rPr>
          <t xml:space="preserve">
Sinal Vermelho: </t>
        </r>
        <r>
          <rPr>
            <sz val="8"/>
            <color indexed="81"/>
            <rFont val="Tahoma"/>
            <family val="2"/>
          </rPr>
          <t>Margem muito baixa, falar com gerente de Adm-Fin;</t>
        </r>
        <r>
          <rPr>
            <b/>
            <sz val="8"/>
            <color indexed="81"/>
            <rFont val="Tahoma"/>
            <family val="2"/>
          </rPr>
          <t xml:space="preserve">
Fundo Vermelho: </t>
        </r>
        <r>
          <rPr>
            <sz val="8"/>
            <color indexed="81"/>
            <rFont val="Tahoma"/>
            <family val="2"/>
          </rPr>
          <t>Margem muito alta, falar com gerente de Adm-Fin.</t>
        </r>
      </text>
    </comment>
  </commentList>
</comments>
</file>

<file path=xl/sharedStrings.xml><?xml version="1.0" encoding="utf-8"?>
<sst xmlns="http://schemas.openxmlformats.org/spreadsheetml/2006/main" count="379" uniqueCount="168">
  <si>
    <t>Transporte</t>
  </si>
  <si>
    <t>Num. Visitas</t>
  </si>
  <si>
    <t>Distância</t>
  </si>
  <si>
    <t>Consumo</t>
  </si>
  <si>
    <t>Combustível</t>
  </si>
  <si>
    <t>TOTAL</t>
  </si>
  <si>
    <t>Consultores</t>
  </si>
  <si>
    <t>R$ unid</t>
  </si>
  <si>
    <t>Qtd</t>
  </si>
  <si>
    <t>Total</t>
  </si>
  <si>
    <t>Dados Gerais</t>
  </si>
  <si>
    <t>Semanas</t>
  </si>
  <si>
    <t>Custos operacionais</t>
  </si>
  <si>
    <t>Item</t>
  </si>
  <si>
    <t>Descrição</t>
  </si>
  <si>
    <t>Parcelamento</t>
  </si>
  <si>
    <t>Núm. Parcelas</t>
  </si>
  <si>
    <t>Viabilidade</t>
  </si>
  <si>
    <t>Distância (km)</t>
  </si>
  <si>
    <t>Consumo (km/l)</t>
  </si>
  <si>
    <t>Combustível (R$/l)</t>
  </si>
  <si>
    <t>Valor da parcela</t>
  </si>
  <si>
    <t>Relatório</t>
  </si>
  <si>
    <t>Entradas</t>
  </si>
  <si>
    <t>Hora Técnica</t>
  </si>
  <si>
    <t>Consultor</t>
  </si>
  <si>
    <t>Decomposição</t>
  </si>
  <si>
    <t>Hora técnica</t>
  </si>
  <si>
    <t>Operacional</t>
  </si>
  <si>
    <t>Boleto Bancário</t>
  </si>
  <si>
    <t>Dados</t>
  </si>
  <si>
    <t>Receita bruta</t>
  </si>
  <si>
    <t>(-) bolsa</t>
  </si>
  <si>
    <t>%</t>
  </si>
  <si>
    <t>Cálculo do orçamento e relatórios</t>
  </si>
  <si>
    <t xml:space="preserve"> </t>
  </si>
  <si>
    <t>Gastos Operacionais</t>
  </si>
  <si>
    <t>(=) margem contrib</t>
  </si>
  <si>
    <t>(-) custos operacionais</t>
  </si>
  <si>
    <t xml:space="preserve">(-) custos </t>
  </si>
  <si>
    <t>Preço Final</t>
  </si>
  <si>
    <t>Sem Lucro</t>
  </si>
  <si>
    <t>Margem de Negociação</t>
  </si>
  <si>
    <t>Desconto</t>
  </si>
  <si>
    <t>(-) desconto</t>
  </si>
  <si>
    <t>(=) Lucro</t>
  </si>
  <si>
    <t>(=) Lucro Final</t>
  </si>
  <si>
    <t>N. Visitas</t>
  </si>
  <si>
    <t>Não</t>
  </si>
  <si>
    <t>Consultoria</t>
  </si>
  <si>
    <t>1º</t>
  </si>
  <si>
    <t>2º</t>
  </si>
  <si>
    <t>3º</t>
  </si>
  <si>
    <t>Consultor 5</t>
  </si>
  <si>
    <t>Consultor 6</t>
  </si>
  <si>
    <t>Horas Semanais</t>
  </si>
  <si>
    <t>Parceria?</t>
  </si>
  <si>
    <t>Total consultor</t>
  </si>
  <si>
    <t>Planilha de Precificação EJEP</t>
  </si>
  <si>
    <t>Custos de Execução</t>
  </si>
  <si>
    <t>Presente Professor</t>
  </si>
  <si>
    <t>Custo Pós-venda</t>
  </si>
  <si>
    <t>Bolsa extra consultor</t>
  </si>
  <si>
    <t>Custos de transporte até a apresentação da proposta</t>
  </si>
  <si>
    <t>Custo transporte durante a consultoria</t>
  </si>
  <si>
    <t>Custo transporte pós-venda</t>
  </si>
  <si>
    <t>Número de consultores</t>
  </si>
  <si>
    <t>Não APAGAR</t>
  </si>
  <si>
    <t>Bolsa/hora</t>
  </si>
  <si>
    <t>Bolsa extra pós venda</t>
  </si>
  <si>
    <t>Total Mensal</t>
  </si>
  <si>
    <t>Total Consultoria</t>
  </si>
  <si>
    <t>Total Consultor</t>
  </si>
  <si>
    <t>SIM</t>
  </si>
  <si>
    <t>NÃO</t>
  </si>
  <si>
    <t>Não esqueça de mostrar a precificação para o membro da ADM-FIN!</t>
  </si>
  <si>
    <t>Impressão do Relatório Final</t>
  </si>
  <si>
    <t>DOC's (análise do ADMFIN)</t>
  </si>
  <si>
    <t>Boleto Bancário Sem Registro</t>
  </si>
  <si>
    <t>Boleto Bancário Com Registro</t>
  </si>
  <si>
    <t>Depósito C/C</t>
  </si>
  <si>
    <t>Forma de Pagamento</t>
  </si>
  <si>
    <t>Margem de Lucro</t>
  </si>
  <si>
    <t>Perspectiva de Recompra</t>
  </si>
  <si>
    <t>Baixo</t>
  </si>
  <si>
    <t>Oportunidade</t>
  </si>
  <si>
    <t>Muito Alto</t>
  </si>
  <si>
    <t xml:space="preserve">Urgência </t>
  </si>
  <si>
    <t>Fora do Portifólio</t>
  </si>
  <si>
    <t>Resultado</t>
  </si>
  <si>
    <t>Dificuldade em Encontrar Consultor</t>
  </si>
  <si>
    <t>Pouco Sem Conhecimento</t>
  </si>
  <si>
    <t>Risco</t>
  </si>
  <si>
    <t>Alto</t>
  </si>
  <si>
    <t>Logística</t>
  </si>
  <si>
    <t>&gt; 15 km</t>
  </si>
  <si>
    <t>x</t>
  </si>
  <si>
    <t>&gt; 5 km &lt; 15 km</t>
  </si>
  <si>
    <t>&lt; 5 km</t>
  </si>
  <si>
    <t>Muito Com Conhecimento</t>
  </si>
  <si>
    <t>Muito Sem Conhecimento</t>
  </si>
  <si>
    <t>Pouco Com Conhecimento</t>
  </si>
  <si>
    <t>Médio</t>
  </si>
  <si>
    <t xml:space="preserve">Core </t>
  </si>
  <si>
    <t>Urgência</t>
  </si>
  <si>
    <t>Área de Atuação</t>
  </si>
  <si>
    <t>SAG</t>
  </si>
  <si>
    <t>Normal</t>
  </si>
  <si>
    <t>TRF</t>
  </si>
  <si>
    <t>PCP</t>
  </si>
  <si>
    <t>Planejamento</t>
  </si>
  <si>
    <t>Controle</t>
  </si>
  <si>
    <t>PE</t>
  </si>
  <si>
    <t>Completo</t>
  </si>
  <si>
    <t>Layout</t>
  </si>
  <si>
    <t>Revisão</t>
  </si>
  <si>
    <t>MFV</t>
  </si>
  <si>
    <t>MP</t>
  </si>
  <si>
    <t>Adaptado</t>
  </si>
  <si>
    <t>5'S</t>
  </si>
  <si>
    <t>Estado Futuro</t>
  </si>
  <si>
    <t>Estado Atual</t>
  </si>
  <si>
    <t>Com Lucro</t>
  </si>
  <si>
    <t>Tipo de Empresa</t>
  </si>
  <si>
    <t>Comércio/Serviço</t>
  </si>
  <si>
    <t>Indústria</t>
  </si>
  <si>
    <t>Nome do Consultor 1</t>
  </si>
  <si>
    <t>Nome do Consultor 2</t>
  </si>
  <si>
    <t>Nome do Consultor 3</t>
  </si>
  <si>
    <t>Nome do Consultor 4</t>
  </si>
  <si>
    <t>Gelog</t>
  </si>
  <si>
    <t>Glean 2º módulo</t>
  </si>
  <si>
    <t>Glean 3º módulo</t>
  </si>
  <si>
    <t>Glean 4º módulo</t>
  </si>
  <si>
    <t>Materias Consultorias</t>
  </si>
  <si>
    <t>LAYOUT</t>
  </si>
  <si>
    <t xml:space="preserve">Material </t>
  </si>
  <si>
    <t>Quantidade</t>
  </si>
  <si>
    <t>Preço</t>
  </si>
  <si>
    <t>Trena</t>
  </si>
  <si>
    <t>Impressão durante cons.</t>
  </si>
  <si>
    <t>Mapa Visual (MFV)</t>
  </si>
  <si>
    <t>Imp. Relatório final</t>
  </si>
  <si>
    <t>PLANEJAMENTO ESTRATÉGICO</t>
  </si>
  <si>
    <t>5S</t>
  </si>
  <si>
    <t>Canvas</t>
  </si>
  <si>
    <t>Post it (pacote com 4)</t>
  </si>
  <si>
    <t>Design</t>
  </si>
  <si>
    <t>Etiquetas (folha)</t>
  </si>
  <si>
    <t>Banner</t>
  </si>
  <si>
    <t>Painel de ferramentas impresso</t>
  </si>
  <si>
    <t>Durex</t>
  </si>
  <si>
    <t>Fita de marcação</t>
  </si>
  <si>
    <t>MAPEAMENTO DE PROCESSOS</t>
  </si>
  <si>
    <t>Por Processo (post-it, cartolina, impressão)</t>
  </si>
  <si>
    <t>Quadro Visual (TRF)</t>
  </si>
  <si>
    <t>Materiais</t>
  </si>
  <si>
    <t>SISTEMA DE AVALIAÇÕES GERENCIAIS</t>
  </si>
  <si>
    <t>ERGONOMIA</t>
  </si>
  <si>
    <t>Impressão relatório final</t>
  </si>
  <si>
    <t>Impressão. Relatório final</t>
  </si>
  <si>
    <t>PLANEJAMENTO E CONTROLE PRODUÇÃO</t>
  </si>
  <si>
    <t>impressão do quadro visual</t>
  </si>
  <si>
    <t>Quadro</t>
  </si>
  <si>
    <t>Leticia Ribeiro Martins</t>
  </si>
  <si>
    <t>Christian Siegl</t>
  </si>
  <si>
    <t>Leonardo Dalri</t>
  </si>
  <si>
    <t>Preço vendido: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</si>
</sst>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R$&quot;#,##0.00_);[Red]\(&quot;R$&quot;#,##0.00\)"/>
    <numFmt numFmtId="164" formatCode="_-* #,##0.00_-;\-* #,##0.00_-;_-* &quot;-&quot;??_-;_-@_-"/>
    <numFmt numFmtId="165" formatCode="_(&quot;R$ &quot;* #,##0.00_);_(&quot;R$ &quot;* \(#,##0.00\);_(&quot;R$ &quot;* &quot;-&quot;??_);_(@_)"/>
    <numFmt numFmtId="166" formatCode="0.0%"/>
    <numFmt numFmtId="167" formatCode="_([$R$ -416]* #,##0.00_);_([$R$ -416]* \(#,##0.00\);_([$R$ -416]* &quot;-&quot;??_);_(@_)"/>
    <numFmt numFmtId="168" formatCode="&quot;R$ 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9"/>
        <bgColor indexed="64"/>
      </patternFill>
    </fill>
    <fill>
      <patternFill patternType="solid">
        <fgColor rgb="FFF2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rgb="FFFD999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165" fontId="0" fillId="2" borderId="0" xfId="1" applyFon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165" fontId="0" fillId="2" borderId="0" xfId="0" applyNumberFormat="1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6" xfId="0" applyFont="1" applyFill="1" applyBorder="1"/>
    <xf numFmtId="165" fontId="0" fillId="2" borderId="18" xfId="0" applyNumberFormat="1" applyFill="1" applyBorder="1"/>
    <xf numFmtId="0" fontId="0" fillId="2" borderId="15" xfId="0" applyFill="1" applyBorder="1" applyAlignment="1">
      <alignment horizontal="left"/>
    </xf>
    <xf numFmtId="166" fontId="0" fillId="2" borderId="12" xfId="2" applyNumberFormat="1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6" fontId="0" fillId="2" borderId="19" xfId="2" applyNumberFormat="1" applyFont="1" applyFill="1" applyBorder="1" applyAlignment="1">
      <alignment horizontal="left"/>
    </xf>
    <xf numFmtId="166" fontId="0" fillId="2" borderId="12" xfId="0" applyNumberFormat="1" applyFill="1" applyBorder="1" applyAlignment="1">
      <alignment horizontal="left"/>
    </xf>
    <xf numFmtId="166" fontId="0" fillId="2" borderId="0" xfId="0" applyNumberFormat="1" applyFill="1"/>
    <xf numFmtId="0" fontId="0" fillId="3" borderId="15" xfId="0" applyFill="1" applyBorder="1"/>
    <xf numFmtId="165" fontId="0" fillId="3" borderId="12" xfId="0" applyNumberFormat="1" applyFill="1" applyBorder="1"/>
    <xf numFmtId="0" fontId="0" fillId="3" borderId="19" xfId="0" applyFill="1" applyBorder="1"/>
    <xf numFmtId="165" fontId="0" fillId="2" borderId="0" xfId="0" applyNumberFormat="1" applyFill="1"/>
    <xf numFmtId="165" fontId="0" fillId="2" borderId="0" xfId="1" applyFont="1" applyFill="1"/>
    <xf numFmtId="164" fontId="0" fillId="2" borderId="0" xfId="0" applyNumberFormat="1" applyFill="1"/>
    <xf numFmtId="9" fontId="0" fillId="2" borderId="0" xfId="2" applyFont="1" applyFill="1"/>
    <xf numFmtId="9" fontId="0" fillId="2" borderId="12" xfId="2" applyFont="1" applyFill="1" applyBorder="1" applyAlignment="1">
      <alignment horizontal="left" vertical="top"/>
    </xf>
    <xf numFmtId="0" fontId="0" fillId="4" borderId="13" xfId="0" applyFill="1" applyBorder="1"/>
    <xf numFmtId="165" fontId="0" fillId="4" borderId="14" xfId="1" applyFont="1" applyFill="1" applyBorder="1"/>
    <xf numFmtId="166" fontId="0" fillId="4" borderId="15" xfId="2" applyNumberFormat="1" applyFont="1" applyFill="1" applyBorder="1" applyAlignment="1">
      <alignment horizontal="left"/>
    </xf>
    <xf numFmtId="0" fontId="2" fillId="4" borderId="16" xfId="0" applyFont="1" applyFill="1" applyBorder="1" applyAlignment="1">
      <alignment horizontal="center" vertical="center"/>
    </xf>
    <xf numFmtId="167" fontId="2" fillId="4" borderId="0" xfId="0" applyNumberFormat="1" applyFont="1" applyFill="1" applyBorder="1" applyAlignment="1">
      <alignment horizontal="center" vertical="center"/>
    </xf>
    <xf numFmtId="166" fontId="0" fillId="4" borderId="12" xfId="2" applyNumberFormat="1" applyFont="1" applyFill="1" applyBorder="1" applyAlignment="1">
      <alignment horizontal="left"/>
    </xf>
    <xf numFmtId="0" fontId="2" fillId="4" borderId="17" xfId="0" applyFont="1" applyFill="1" applyBorder="1" applyAlignment="1">
      <alignment horizontal="center" vertical="center"/>
    </xf>
    <xf numFmtId="167" fontId="2" fillId="4" borderId="18" xfId="0" applyNumberFormat="1" applyFont="1" applyFill="1" applyBorder="1" applyAlignment="1">
      <alignment horizontal="center" vertical="center"/>
    </xf>
    <xf numFmtId="166" fontId="0" fillId="4" borderId="19" xfId="2" applyNumberFormat="1" applyFont="1" applyFill="1" applyBorder="1" applyAlignment="1">
      <alignment horizontal="left"/>
    </xf>
    <xf numFmtId="0" fontId="0" fillId="2" borderId="0" xfId="0" applyFill="1" applyAlignment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28" xfId="0" applyFill="1" applyBorder="1" applyAlignment="1" applyProtection="1">
      <alignment horizontal="right"/>
      <protection locked="0"/>
    </xf>
    <xf numFmtId="0" fontId="0" fillId="2" borderId="26" xfId="0" applyFill="1" applyBorder="1" applyAlignment="1" applyProtection="1">
      <alignment horizontal="right"/>
      <protection locked="0"/>
    </xf>
    <xf numFmtId="9" fontId="0" fillId="2" borderId="0" xfId="0" applyNumberFormat="1" applyFill="1" applyProtection="1">
      <protection locked="0"/>
    </xf>
    <xf numFmtId="0" fontId="0" fillId="2" borderId="25" xfId="0" applyFill="1" applyBorder="1" applyProtection="1">
      <protection locked="0"/>
    </xf>
    <xf numFmtId="165" fontId="2" fillId="2" borderId="0" xfId="1" applyFont="1" applyFill="1" applyBorder="1" applyProtection="1">
      <protection locked="0"/>
    </xf>
    <xf numFmtId="0" fontId="0" fillId="2" borderId="25" xfId="0" applyFill="1" applyBorder="1" applyProtection="1"/>
    <xf numFmtId="0" fontId="2" fillId="2" borderId="25" xfId="0" applyFont="1" applyFill="1" applyBorder="1" applyAlignment="1" applyProtection="1">
      <alignment horizontal="center"/>
      <protection locked="0"/>
    </xf>
    <xf numFmtId="165" fontId="2" fillId="2" borderId="25" xfId="1" applyFont="1" applyFill="1" applyBorder="1" applyProtection="1">
      <protection locked="0"/>
    </xf>
    <xf numFmtId="165" fontId="0" fillId="3" borderId="12" xfId="1" applyFont="1" applyFill="1" applyBorder="1"/>
    <xf numFmtId="0" fontId="0" fillId="3" borderId="12" xfId="0" applyFill="1" applyBorder="1" applyAlignment="1">
      <alignment horizontal="center"/>
    </xf>
    <xf numFmtId="0" fontId="0" fillId="2" borderId="33" xfId="0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0" fillId="2" borderId="35" xfId="0" applyFill="1" applyBorder="1" applyProtection="1">
      <protection locked="0"/>
    </xf>
    <xf numFmtId="0" fontId="0" fillId="2" borderId="30" xfId="0" applyFill="1" applyBorder="1" applyAlignment="1" applyProtection="1">
      <alignment horizontal="right"/>
      <protection locked="0"/>
    </xf>
    <xf numFmtId="0" fontId="0" fillId="2" borderId="36" xfId="0" applyFill="1" applyBorder="1" applyProtection="1">
      <protection locked="0"/>
    </xf>
    <xf numFmtId="0" fontId="0" fillId="2" borderId="37" xfId="0" applyFill="1" applyBorder="1" applyProtection="1">
      <protection locked="0"/>
    </xf>
    <xf numFmtId="0" fontId="0" fillId="2" borderId="38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5" fillId="2" borderId="5" xfId="0" applyFont="1" applyFill="1" applyBorder="1" applyAlignment="1" applyProtection="1">
      <protection locked="0"/>
    </xf>
    <xf numFmtId="0" fontId="5" fillId="2" borderId="6" xfId="0" applyFont="1" applyFill="1" applyBorder="1" applyAlignment="1" applyProtection="1">
      <protection locked="0"/>
    </xf>
    <xf numFmtId="0" fontId="5" fillId="2" borderId="7" xfId="0" applyFont="1" applyFill="1" applyBorder="1" applyAlignment="1" applyProtection="1">
      <protection locked="0"/>
    </xf>
    <xf numFmtId="0" fontId="5" fillId="2" borderId="8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Protection="1">
      <protection locked="0"/>
    </xf>
    <xf numFmtId="0" fontId="2" fillId="2" borderId="4" xfId="0" applyFont="1" applyFill="1" applyBorder="1" applyAlignment="1" applyProtection="1">
      <alignment horizontal="right"/>
      <protection locked="0"/>
    </xf>
    <xf numFmtId="165" fontId="2" fillId="2" borderId="0" xfId="0" applyNumberFormat="1" applyFont="1" applyFill="1" applyBorder="1" applyProtection="1">
      <protection locked="0"/>
    </xf>
    <xf numFmtId="165" fontId="2" fillId="2" borderId="5" xfId="0" applyNumberFormat="1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165" fontId="2" fillId="2" borderId="0" xfId="1" applyFont="1" applyFill="1" applyBorder="1" applyAlignment="1" applyProtection="1">
      <alignment horizontal="center"/>
      <protection locked="0"/>
    </xf>
    <xf numFmtId="165" fontId="0" fillId="2" borderId="35" xfId="1" applyFont="1" applyFill="1" applyBorder="1" applyProtection="1"/>
    <xf numFmtId="9" fontId="0" fillId="2" borderId="0" xfId="0" applyNumberFormat="1" applyFill="1" applyBorder="1" applyProtection="1"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165" fontId="2" fillId="2" borderId="0" xfId="1" applyFont="1" applyFill="1" applyBorder="1" applyAlignment="1" applyProtection="1">
      <alignment horizontal="center"/>
      <protection locked="0"/>
    </xf>
    <xf numFmtId="165" fontId="0" fillId="2" borderId="25" xfId="1" applyFont="1" applyFill="1" applyBorder="1" applyProtection="1">
      <protection locked="0"/>
    </xf>
    <xf numFmtId="9" fontId="0" fillId="3" borderId="19" xfId="0" applyNumberFormat="1" applyFill="1" applyBorder="1"/>
    <xf numFmtId="0" fontId="0" fillId="2" borderId="22" xfId="0" applyFill="1" applyBorder="1" applyAlignment="1">
      <alignment horizontal="center"/>
    </xf>
    <xf numFmtId="165" fontId="0" fillId="2" borderId="22" xfId="1" applyFont="1" applyFill="1" applyBorder="1" applyAlignment="1">
      <alignment horizontal="center"/>
    </xf>
    <xf numFmtId="165" fontId="0" fillId="2" borderId="32" xfId="1" applyFont="1" applyFill="1" applyBorder="1" applyAlignment="1">
      <alignment horizontal="center"/>
    </xf>
    <xf numFmtId="0" fontId="2" fillId="2" borderId="0" xfId="0" applyFont="1" applyFill="1" applyBorder="1"/>
    <xf numFmtId="165" fontId="0" fillId="2" borderId="20" xfId="1" applyFont="1" applyFill="1" applyBorder="1" applyAlignment="1">
      <alignment horizontal="center"/>
    </xf>
    <xf numFmtId="165" fontId="0" fillId="2" borderId="18" xfId="1" applyFont="1" applyFill="1" applyBorder="1" applyAlignment="1">
      <alignment horizontal="center"/>
    </xf>
    <xf numFmtId="0" fontId="0" fillId="2" borderId="22" xfId="0" applyFill="1" applyBorder="1" applyProtection="1"/>
    <xf numFmtId="165" fontId="0" fillId="2" borderId="22" xfId="1" applyFont="1" applyFill="1" applyBorder="1" applyProtection="1"/>
    <xf numFmtId="9" fontId="0" fillId="2" borderId="22" xfId="0" applyNumberFormat="1" applyFill="1" applyBorder="1" applyProtection="1"/>
    <xf numFmtId="165" fontId="2" fillId="2" borderId="31" xfId="1" applyFont="1" applyFill="1" applyBorder="1" applyProtection="1"/>
    <xf numFmtId="0" fontId="0" fillId="2" borderId="1" xfId="0" applyFill="1" applyBorder="1" applyProtection="1"/>
    <xf numFmtId="0" fontId="0" fillId="2" borderId="6" xfId="0" applyFill="1" applyBorder="1" applyProtection="1"/>
    <xf numFmtId="0" fontId="5" fillId="2" borderId="8" xfId="0" applyFont="1" applyFill="1" applyBorder="1" applyAlignment="1" applyProtection="1">
      <alignment horizontal="center"/>
    </xf>
    <xf numFmtId="167" fontId="4" fillId="2" borderId="11" xfId="1" applyNumberFormat="1" applyFont="1" applyFill="1" applyBorder="1" applyAlignment="1" applyProtection="1">
      <alignment horizontal="center"/>
    </xf>
    <xf numFmtId="0" fontId="0" fillId="2" borderId="34" xfId="0" applyFill="1" applyBorder="1" applyProtection="1"/>
    <xf numFmtId="165" fontId="0" fillId="2" borderId="26" xfId="1" applyFont="1" applyFill="1" applyBorder="1" applyProtection="1"/>
    <xf numFmtId="0" fontId="0" fillId="2" borderId="26" xfId="0" applyFill="1" applyBorder="1" applyProtection="1"/>
    <xf numFmtId="165" fontId="0" fillId="2" borderId="20" xfId="1" applyFont="1" applyFill="1" applyBorder="1" applyProtection="1"/>
    <xf numFmtId="0" fontId="0" fillId="2" borderId="20" xfId="0" applyFill="1" applyBorder="1" applyProtection="1"/>
    <xf numFmtId="0" fontId="0" fillId="2" borderId="52" xfId="0" applyFill="1" applyBorder="1" applyProtection="1">
      <protection locked="0"/>
    </xf>
    <xf numFmtId="0" fontId="2" fillId="7" borderId="22" xfId="0" applyNumberFormat="1" applyFont="1" applyFill="1" applyBorder="1" applyAlignment="1" applyProtection="1">
      <alignment horizontal="center"/>
      <protection locked="0"/>
    </xf>
    <xf numFmtId="0" fontId="2" fillId="7" borderId="27" xfId="0" applyNumberFormat="1" applyFont="1" applyFill="1" applyBorder="1" applyAlignment="1" applyProtection="1">
      <alignment horizontal="center"/>
      <protection locked="0"/>
    </xf>
    <xf numFmtId="165" fontId="2" fillId="7" borderId="22" xfId="1" applyFont="1" applyFill="1" applyBorder="1" applyAlignment="1" applyProtection="1">
      <alignment horizontal="center" vertical="top"/>
      <protection locked="0"/>
    </xf>
    <xf numFmtId="165" fontId="2" fillId="7" borderId="27" xfId="1" applyFont="1" applyFill="1" applyBorder="1" applyAlignment="1" applyProtection="1">
      <alignment horizontal="center" vertical="top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31" xfId="0" applyFont="1" applyFill="1" applyBorder="1" applyAlignment="1" applyProtection="1">
      <alignment horizontal="center"/>
      <protection locked="0"/>
    </xf>
    <xf numFmtId="0" fontId="0" fillId="2" borderId="25" xfId="0" applyFill="1" applyBorder="1" applyAlignment="1">
      <alignment horizontal="center"/>
    </xf>
    <xf numFmtId="0" fontId="0" fillId="2" borderId="25" xfId="0" applyFill="1" applyBorder="1"/>
    <xf numFmtId="0" fontId="0" fillId="2" borderId="17" xfId="0" applyFill="1" applyBorder="1" applyAlignment="1">
      <alignment horizontal="center"/>
    </xf>
    <xf numFmtId="165" fontId="0" fillId="2" borderId="18" xfId="1" applyFont="1" applyFill="1" applyBorder="1" applyAlignment="1">
      <alignment horizontal="right"/>
    </xf>
    <xf numFmtId="0" fontId="0" fillId="2" borderId="40" xfId="0" applyFill="1" applyBorder="1"/>
    <xf numFmtId="0" fontId="2" fillId="3" borderId="53" xfId="0" applyFont="1" applyFill="1" applyBorder="1"/>
    <xf numFmtId="0" fontId="0" fillId="3" borderId="4" xfId="0" applyFill="1" applyBorder="1"/>
    <xf numFmtId="0" fontId="0" fillId="2" borderId="51" xfId="0" applyFill="1" applyBorder="1"/>
    <xf numFmtId="165" fontId="0" fillId="2" borderId="27" xfId="0" applyNumberFormat="1" applyFill="1" applyBorder="1"/>
    <xf numFmtId="0" fontId="0" fillId="3" borderId="50" xfId="0" applyFill="1" applyBorder="1"/>
    <xf numFmtId="0" fontId="0" fillId="3" borderId="54" xfId="0" applyFill="1" applyBorder="1"/>
    <xf numFmtId="0" fontId="0" fillId="3" borderId="42" xfId="0" applyFill="1" applyBorder="1"/>
    <xf numFmtId="0" fontId="11" fillId="5" borderId="9" xfId="0" applyFont="1" applyFill="1" applyBorder="1" applyAlignment="1" applyProtection="1">
      <alignment horizontal="center" vertical="center"/>
      <protection locked="0"/>
    </xf>
    <xf numFmtId="0" fontId="11" fillId="5" borderId="10" xfId="0" applyFont="1" applyFill="1" applyBorder="1" applyAlignment="1" applyProtection="1">
      <alignment horizontal="center" vertical="center"/>
      <protection locked="0"/>
    </xf>
    <xf numFmtId="0" fontId="11" fillId="5" borderId="1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/>
    <xf numFmtId="167" fontId="0" fillId="2" borderId="0" xfId="0" applyNumberFormat="1" applyFill="1" applyProtection="1">
      <protection locked="0"/>
    </xf>
    <xf numFmtId="0" fontId="0" fillId="2" borderId="44" xfId="0" applyFill="1" applyBorder="1" applyAlignment="1" applyProtection="1">
      <alignment horizontal="center"/>
      <protection locked="0"/>
    </xf>
    <xf numFmtId="0" fontId="0" fillId="7" borderId="22" xfId="0" applyFill="1" applyBorder="1" applyProtection="1">
      <protection locked="0"/>
    </xf>
    <xf numFmtId="165" fontId="0" fillId="7" borderId="22" xfId="1" applyFont="1" applyFill="1" applyBorder="1" applyProtection="1">
      <protection locked="0"/>
    </xf>
    <xf numFmtId="0" fontId="2" fillId="2" borderId="54" xfId="0" applyFont="1" applyFill="1" applyBorder="1" applyAlignment="1" applyProtection="1">
      <alignment horizontal="right"/>
      <protection locked="0"/>
    </xf>
    <xf numFmtId="165" fontId="0" fillId="7" borderId="32" xfId="1" applyFont="1" applyFill="1" applyBorder="1" applyProtection="1">
      <protection locked="0"/>
    </xf>
    <xf numFmtId="0" fontId="0" fillId="7" borderId="32" xfId="0" applyFill="1" applyBorder="1" applyProtection="1">
      <protection locked="0"/>
    </xf>
    <xf numFmtId="165" fontId="2" fillId="2" borderId="46" xfId="1" applyFont="1" applyFill="1" applyBorder="1" applyProtection="1">
      <protection locked="0"/>
    </xf>
    <xf numFmtId="0" fontId="2" fillId="2" borderId="46" xfId="0" applyFont="1" applyFill="1" applyBorder="1" applyProtection="1">
      <protection locked="0"/>
    </xf>
    <xf numFmtId="165" fontId="0" fillId="2" borderId="20" xfId="0" applyNumberFormat="1" applyFill="1" applyBorder="1" applyProtection="1"/>
    <xf numFmtId="165" fontId="2" fillId="2" borderId="20" xfId="0" applyNumberFormat="1" applyFont="1" applyFill="1" applyBorder="1" applyProtection="1"/>
    <xf numFmtId="0" fontId="0" fillId="2" borderId="52" xfId="0" applyFill="1" applyBorder="1" applyAlignment="1" applyProtection="1">
      <alignment horizontal="center"/>
      <protection locked="0"/>
    </xf>
    <xf numFmtId="165" fontId="0" fillId="2" borderId="52" xfId="0" applyNumberFormat="1" applyFill="1" applyBorder="1" applyProtection="1">
      <protection locked="0"/>
    </xf>
    <xf numFmtId="165" fontId="2" fillId="2" borderId="52" xfId="0" applyNumberFormat="1" applyFont="1" applyFill="1" applyBorder="1" applyProtection="1">
      <protection locked="0"/>
    </xf>
    <xf numFmtId="0" fontId="0" fillId="10" borderId="31" xfId="0" applyFill="1" applyBorder="1" applyAlignment="1">
      <alignment horizontal="left" vertical="center"/>
    </xf>
    <xf numFmtId="9" fontId="0" fillId="11" borderId="24" xfId="2" applyFont="1" applyFill="1" applyBorder="1" applyAlignment="1">
      <alignment horizontal="left" vertical="center"/>
    </xf>
    <xf numFmtId="0" fontId="0" fillId="12" borderId="24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15" fillId="9" borderId="30" xfId="0" applyFont="1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9" fontId="0" fillId="11" borderId="22" xfId="2" applyFont="1" applyFill="1" applyBorder="1" applyAlignment="1">
      <alignment horizontal="left" vertical="center"/>
    </xf>
    <xf numFmtId="0" fontId="0" fillId="12" borderId="22" xfId="0" applyFill="1" applyBorder="1" applyAlignment="1">
      <alignment horizontal="left" vertical="center"/>
    </xf>
    <xf numFmtId="0" fontId="0" fillId="5" borderId="22" xfId="0" applyFill="1" applyBorder="1" applyAlignment="1">
      <alignment horizontal="left" vertical="center"/>
    </xf>
    <xf numFmtId="0" fontId="15" fillId="9" borderId="26" xfId="0" applyFont="1" applyFill="1" applyBorder="1" applyAlignment="1">
      <alignment horizontal="left" vertical="center"/>
    </xf>
    <xf numFmtId="0" fontId="0" fillId="10" borderId="29" xfId="0" applyFill="1" applyBorder="1" applyAlignment="1">
      <alignment horizontal="left" vertical="center"/>
    </xf>
    <xf numFmtId="9" fontId="0" fillId="11" borderId="23" xfId="2" applyFont="1" applyFill="1" applyBorder="1" applyAlignment="1">
      <alignment horizontal="left" vertical="center"/>
    </xf>
    <xf numFmtId="0" fontId="0" fillId="12" borderId="23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15" fillId="9" borderId="28" xfId="0" applyFont="1" applyFill="1" applyBorder="1" applyAlignment="1">
      <alignment horizontal="left" vertical="center"/>
    </xf>
    <xf numFmtId="9" fontId="0" fillId="0" borderId="0" xfId="2" applyFont="1"/>
    <xf numFmtId="9" fontId="0" fillId="13" borderId="31" xfId="0" applyNumberFormat="1" applyFill="1" applyBorder="1" applyAlignment="1">
      <alignment horizontal="center"/>
    </xf>
    <xf numFmtId="9" fontId="0" fillId="14" borderId="24" xfId="0" applyNumberFormat="1" applyFill="1" applyBorder="1" applyAlignment="1">
      <alignment horizontal="center"/>
    </xf>
    <xf numFmtId="9" fontId="0" fillId="13" borderId="24" xfId="0" applyNumberFormat="1" applyFill="1" applyBorder="1" applyAlignment="1">
      <alignment horizontal="center"/>
    </xf>
    <xf numFmtId="0" fontId="0" fillId="15" borderId="30" xfId="0" applyFill="1" applyBorder="1"/>
    <xf numFmtId="9" fontId="0" fillId="13" borderId="27" xfId="0" applyNumberFormat="1" applyFill="1" applyBorder="1" applyAlignment="1">
      <alignment horizontal="center"/>
    </xf>
    <xf numFmtId="9" fontId="0" fillId="14" borderId="22" xfId="0" applyNumberFormat="1" applyFill="1" applyBorder="1" applyAlignment="1">
      <alignment horizontal="center"/>
    </xf>
    <xf numFmtId="9" fontId="0" fillId="13" borderId="22" xfId="0" applyNumberFormat="1" applyFill="1" applyBorder="1" applyAlignment="1">
      <alignment horizontal="center"/>
    </xf>
    <xf numFmtId="0" fontId="0" fillId="15" borderId="26" xfId="0" applyFill="1" applyBorder="1"/>
    <xf numFmtId="9" fontId="0" fillId="13" borderId="35" xfId="0" applyNumberFormat="1" applyFill="1" applyBorder="1" applyAlignment="1">
      <alignment horizontal="center"/>
    </xf>
    <xf numFmtId="9" fontId="0" fillId="14" borderId="25" xfId="0" applyNumberFormat="1" applyFill="1" applyBorder="1" applyAlignment="1">
      <alignment horizontal="center"/>
    </xf>
    <xf numFmtId="9" fontId="0" fillId="13" borderId="25" xfId="0" applyNumberFormat="1" applyFill="1" applyBorder="1" applyAlignment="1">
      <alignment horizontal="center"/>
    </xf>
    <xf numFmtId="0" fontId="0" fillId="15" borderId="34" xfId="0" applyFill="1" applyBorder="1"/>
    <xf numFmtId="0" fontId="0" fillId="15" borderId="28" xfId="0" applyFill="1" applyBorder="1"/>
    <xf numFmtId="0" fontId="0" fillId="15" borderId="23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47" xfId="0" applyFill="1" applyBorder="1" applyAlignment="1">
      <alignment horizontal="center"/>
    </xf>
    <xf numFmtId="0" fontId="0" fillId="15" borderId="21" xfId="0" applyFill="1" applyBorder="1" applyAlignment="1"/>
    <xf numFmtId="9" fontId="0" fillId="14" borderId="27" xfId="2" applyFont="1" applyFill="1" applyBorder="1" applyAlignment="1">
      <alignment horizontal="center"/>
    </xf>
    <xf numFmtId="0" fontId="0" fillId="16" borderId="22" xfId="0" applyFill="1" applyBorder="1"/>
    <xf numFmtId="0" fontId="0" fillId="16" borderId="22" xfId="0" applyFill="1" applyBorder="1" applyAlignment="1"/>
    <xf numFmtId="0" fontId="0" fillId="15" borderId="54" xfId="0" applyFill="1" applyBorder="1" applyAlignment="1">
      <alignment horizontal="center"/>
    </xf>
    <xf numFmtId="0" fontId="0" fillId="15" borderId="42" xfId="0" applyFill="1" applyBorder="1" applyAlignment="1"/>
    <xf numFmtId="9" fontId="0" fillId="14" borderId="31" xfId="2" applyFont="1" applyFill="1" applyBorder="1" applyAlignment="1">
      <alignment horizontal="center"/>
    </xf>
    <xf numFmtId="0" fontId="3" fillId="2" borderId="0" xfId="0" applyFont="1" applyFill="1" applyBorder="1" applyAlignment="1" applyProtection="1">
      <alignment vertical="center"/>
    </xf>
    <xf numFmtId="0" fontId="10" fillId="2" borderId="0" xfId="1" applyNumberFormat="1" applyFont="1" applyFill="1" applyBorder="1" applyAlignment="1" applyProtection="1">
      <alignment horizontal="center" vertical="center"/>
    </xf>
    <xf numFmtId="0" fontId="0" fillId="2" borderId="55" xfId="0" applyFill="1" applyBorder="1" applyProtection="1"/>
    <xf numFmtId="0" fontId="0" fillId="2" borderId="3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0" fontId="0" fillId="7" borderId="29" xfId="0" applyFill="1" applyBorder="1"/>
    <xf numFmtId="0" fontId="0" fillId="7" borderId="27" xfId="0" applyFill="1" applyBorder="1"/>
    <xf numFmtId="0" fontId="0" fillId="7" borderId="56" xfId="0" applyFill="1" applyBorder="1"/>
    <xf numFmtId="0" fontId="17" fillId="17" borderId="28" xfId="0" applyFont="1" applyFill="1" applyBorder="1"/>
    <xf numFmtId="0" fontId="17" fillId="17" borderId="26" xfId="0" applyFont="1" applyFill="1" applyBorder="1"/>
    <xf numFmtId="0" fontId="17" fillId="17" borderId="55" xfId="0" applyFont="1" applyFill="1" applyBorder="1"/>
    <xf numFmtId="0" fontId="15" fillId="20" borderId="1" xfId="0" applyFont="1" applyFill="1" applyBorder="1" applyAlignment="1">
      <alignment horizontal="center"/>
    </xf>
    <xf numFmtId="0" fontId="15" fillId="20" borderId="2" xfId="0" applyFont="1" applyFill="1" applyBorder="1" applyAlignment="1">
      <alignment horizontal="center"/>
    </xf>
    <xf numFmtId="0" fontId="15" fillId="20" borderId="3" xfId="0" applyFont="1" applyFill="1" applyBorder="1" applyAlignment="1">
      <alignment horizontal="center"/>
    </xf>
    <xf numFmtId="0" fontId="0" fillId="21" borderId="57" xfId="0" applyFill="1" applyBorder="1" applyAlignment="1">
      <alignment horizontal="left"/>
    </xf>
    <xf numFmtId="0" fontId="0" fillId="21" borderId="16" xfId="0" applyFill="1" applyBorder="1" applyAlignment="1">
      <alignment horizontal="center"/>
    </xf>
    <xf numFmtId="165" fontId="0" fillId="4" borderId="52" xfId="1" applyFont="1" applyFill="1" applyBorder="1"/>
    <xf numFmtId="0" fontId="0" fillId="21" borderId="57" xfId="0" applyFill="1" applyBorder="1"/>
    <xf numFmtId="0" fontId="0" fillId="21" borderId="58" xfId="0" applyFill="1" applyBorder="1" applyAlignment="1">
      <alignment horizontal="left"/>
    </xf>
    <xf numFmtId="0" fontId="0" fillId="21" borderId="59" xfId="0" applyFill="1" applyBorder="1" applyAlignment="1">
      <alignment horizontal="center"/>
    </xf>
    <xf numFmtId="165" fontId="0" fillId="4" borderId="60" xfId="1" applyFont="1" applyFill="1" applyBorder="1"/>
    <xf numFmtId="0" fontId="0" fillId="21" borderId="58" xfId="0" applyFill="1" applyBorder="1"/>
    <xf numFmtId="0" fontId="15" fillId="22" borderId="1" xfId="0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/>
    </xf>
    <xf numFmtId="0" fontId="15" fillId="22" borderId="3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3" borderId="57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3" fillId="2" borderId="54" xfId="0" applyFont="1" applyFill="1" applyBorder="1" applyAlignment="1" applyProtection="1">
      <alignment horizontal="center" vertical="center"/>
    </xf>
    <xf numFmtId="0" fontId="3" fillId="2" borderId="4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7" fontId="3" fillId="8" borderId="9" xfId="1" applyNumberFormat="1" applyFont="1" applyFill="1" applyBorder="1" applyAlignment="1" applyProtection="1">
      <alignment horizontal="center" vertical="center"/>
      <protection locked="0"/>
    </xf>
    <xf numFmtId="167" fontId="3" fillId="8" borderId="10" xfId="1" applyNumberFormat="1" applyFont="1" applyFill="1" applyBorder="1" applyAlignment="1" applyProtection="1">
      <alignment horizontal="center" vertical="center"/>
      <protection locked="0"/>
    </xf>
    <xf numFmtId="167" fontId="3" fillId="8" borderId="11" xfId="1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50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165" fontId="2" fillId="2" borderId="24" xfId="1" applyFont="1" applyFill="1" applyBorder="1" applyAlignment="1" applyProtection="1">
      <alignment horizontal="center"/>
    </xf>
    <xf numFmtId="165" fontId="2" fillId="2" borderId="31" xfId="1" applyFont="1" applyFill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167" fontId="14" fillId="2" borderId="9" xfId="1" applyNumberFormat="1" applyFont="1" applyFill="1" applyBorder="1" applyAlignment="1" applyProtection="1">
      <alignment horizontal="center"/>
    </xf>
    <xf numFmtId="167" fontId="14" fillId="2" borderId="10" xfId="1" applyNumberFormat="1" applyFont="1" applyFill="1" applyBorder="1" applyAlignment="1" applyProtection="1">
      <alignment horizontal="center"/>
    </xf>
    <xf numFmtId="0" fontId="13" fillId="2" borderId="6" xfId="0" applyFont="1" applyFill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165" fontId="0" fillId="2" borderId="22" xfId="0" applyNumberFormat="1" applyFill="1" applyBorder="1" applyAlignment="1" applyProtection="1">
      <alignment horizontal="center"/>
    </xf>
    <xf numFmtId="0" fontId="0" fillId="7" borderId="22" xfId="0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30" xfId="0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1" fillId="2" borderId="7" xfId="0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 applyProtection="1">
      <alignment horizontal="center" vertic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2" fillId="2" borderId="30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65" fontId="0" fillId="7" borderId="20" xfId="1" applyFont="1" applyFill="1" applyBorder="1" applyAlignment="1" applyProtection="1">
      <alignment horizontal="center" vertical="center"/>
      <protection locked="0"/>
    </xf>
    <xf numFmtId="165" fontId="0" fillId="7" borderId="48" xfId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5" fillId="2" borderId="41" xfId="0" applyFont="1" applyFill="1" applyBorder="1" applyAlignment="1" applyProtection="1">
      <alignment horizontal="center"/>
      <protection locked="0"/>
    </xf>
    <xf numFmtId="0" fontId="5" fillId="2" borderId="39" xfId="0" applyFont="1" applyFill="1" applyBorder="1" applyAlignment="1" applyProtection="1">
      <alignment horizontal="center"/>
      <protection locked="0"/>
    </xf>
    <xf numFmtId="0" fontId="5" fillId="2" borderId="40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9" fontId="0" fillId="2" borderId="39" xfId="2" applyFont="1" applyFill="1" applyBorder="1" applyAlignment="1" applyProtection="1">
      <alignment horizontal="center"/>
      <protection locked="0"/>
    </xf>
    <xf numFmtId="9" fontId="0" fillId="2" borderId="45" xfId="2" applyFont="1" applyFill="1" applyBorder="1" applyAlignment="1" applyProtection="1">
      <alignment horizontal="center"/>
      <protection locked="0"/>
    </xf>
    <xf numFmtId="168" fontId="0" fillId="2" borderId="46" xfId="1" applyNumberFormat="1" applyFont="1" applyFill="1" applyBorder="1" applyAlignment="1" applyProtection="1">
      <alignment horizontal="center"/>
    </xf>
    <xf numFmtId="168" fontId="0" fillId="2" borderId="42" xfId="1" applyNumberFormat="1" applyFont="1" applyFill="1" applyBorder="1" applyAlignment="1" applyProtection="1">
      <alignment horizontal="center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7" borderId="29" xfId="0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</xf>
    <xf numFmtId="0" fontId="0" fillId="2" borderId="25" xfId="0" applyFill="1" applyBorder="1" applyAlignment="1" applyProtection="1">
      <alignment horizontal="center"/>
    </xf>
    <xf numFmtId="0" fontId="0" fillId="7" borderId="22" xfId="0" applyFill="1" applyBorder="1" applyAlignment="1" applyProtection="1">
      <alignment horizontal="center" vertical="center"/>
      <protection locked="0"/>
    </xf>
    <xf numFmtId="0" fontId="3" fillId="2" borderId="47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10" fillId="7" borderId="20" xfId="1" applyNumberFormat="1" applyFont="1" applyFill="1" applyBorder="1" applyAlignment="1" applyProtection="1">
      <alignment horizontal="center" vertical="center"/>
      <protection locked="0"/>
    </xf>
    <xf numFmtId="0" fontId="10" fillId="7" borderId="48" xfId="1" applyNumberFormat="1" applyFont="1" applyFill="1" applyBorder="1" applyAlignment="1" applyProtection="1">
      <alignment horizontal="center" vertical="center"/>
      <protection locked="0"/>
    </xf>
    <xf numFmtId="0" fontId="10" fillId="2" borderId="4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0" fillId="2" borderId="44" xfId="0" applyFill="1" applyBorder="1" applyAlignment="1" applyProtection="1">
      <alignment horizontal="center"/>
      <protection locked="0"/>
    </xf>
    <xf numFmtId="0" fontId="0" fillId="2" borderId="39" xfId="0" applyFill="1" applyBorder="1" applyAlignment="1" applyProtection="1">
      <alignment horizontal="center"/>
      <protection locked="0"/>
    </xf>
    <xf numFmtId="0" fontId="0" fillId="2" borderId="45" xfId="0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0" fillId="2" borderId="46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165" fontId="0" fillId="2" borderId="0" xfId="1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165" fontId="2" fillId="2" borderId="0" xfId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16" fillId="7" borderId="9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30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165" fontId="0" fillId="2" borderId="22" xfId="1" applyFont="1" applyFill="1" applyBorder="1" applyAlignment="1" applyProtection="1">
      <alignment horizontal="center"/>
    </xf>
    <xf numFmtId="165" fontId="0" fillId="2" borderId="27" xfId="1" applyFont="1" applyFill="1" applyBorder="1" applyAlignment="1" applyProtection="1">
      <alignment horizontal="center"/>
    </xf>
    <xf numFmtId="165" fontId="2" fillId="2" borderId="43" xfId="1" applyFont="1" applyFill="1" applyBorder="1" applyAlignment="1" applyProtection="1">
      <protection locked="0"/>
    </xf>
    <xf numFmtId="0" fontId="0" fillId="0" borderId="42" xfId="0" applyBorder="1" applyAlignment="1" applyProtection="1">
      <protection locked="0"/>
    </xf>
    <xf numFmtId="0" fontId="0" fillId="2" borderId="28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5" borderId="55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center" vertical="center" wrapText="1"/>
    </xf>
    <xf numFmtId="0" fontId="5" fillId="19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5" fillId="19" borderId="36" xfId="0" applyFont="1" applyFill="1" applyBorder="1" applyAlignment="1">
      <alignment horizontal="center" vertical="center"/>
    </xf>
    <xf numFmtId="0" fontId="5" fillId="19" borderId="37" xfId="0" applyFont="1" applyFill="1" applyBorder="1" applyAlignment="1">
      <alignment horizontal="center" vertical="center"/>
    </xf>
    <xf numFmtId="0" fontId="5" fillId="19" borderId="38" xfId="0" applyFont="1" applyFill="1" applyBorder="1" applyAlignment="1">
      <alignment horizontal="center" vertical="center"/>
    </xf>
    <xf numFmtId="0" fontId="0" fillId="21" borderId="57" xfId="0" applyFill="1" applyBorder="1" applyAlignment="1">
      <alignment horizontal="left" vertical="center"/>
    </xf>
    <xf numFmtId="0" fontId="0" fillId="21" borderId="58" xfId="0" applyFill="1" applyBorder="1" applyAlignment="1">
      <alignment horizontal="left" vertical="center"/>
    </xf>
    <xf numFmtId="0" fontId="0" fillId="21" borderId="61" xfId="0" applyFill="1" applyBorder="1" applyAlignment="1">
      <alignment horizontal="center" vertical="center"/>
    </xf>
    <xf numFmtId="0" fontId="0" fillId="21" borderId="62" xfId="0" applyFill="1" applyBorder="1" applyAlignment="1">
      <alignment horizontal="center" vertical="center"/>
    </xf>
    <xf numFmtId="165" fontId="0" fillId="4" borderId="52" xfId="1" applyFont="1" applyFill="1" applyBorder="1" applyAlignment="1">
      <alignment horizontal="center" vertical="center"/>
    </xf>
    <xf numFmtId="165" fontId="0" fillId="4" borderId="60" xfId="1" applyFont="1" applyFill="1" applyBorder="1" applyAlignment="1">
      <alignment horizontal="center" vertical="center"/>
    </xf>
    <xf numFmtId="8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theme="1"/>
      </font>
      <fill>
        <patternFill>
          <bgColor rgb="FFF6A6A0"/>
        </patternFill>
      </fill>
    </dxf>
  </dxfs>
  <tableStyles count="0" defaultTableStyle="TableStyleMedium9" defaultPivotStyle="PivotStyleLight16"/>
  <colors>
    <mruColors>
      <color rgb="FFFFFF69"/>
      <color rgb="FFF20000"/>
      <color rgb="FFF6A6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 Dados da adm-fin'!$A$15:$A$20</c:f>
              <c:strCache>
                <c:ptCount val="5"/>
                <c:pt idx="0">
                  <c:v>Hora técnica</c:v>
                </c:pt>
                <c:pt idx="1">
                  <c:v>Consultor</c:v>
                </c:pt>
                <c:pt idx="2">
                  <c:v>Operacional</c:v>
                </c:pt>
                <c:pt idx="3">
                  <c:v>Sem Lucro</c:v>
                </c:pt>
                <c:pt idx="4">
                  <c:v>Com Lucro</c:v>
                </c:pt>
              </c:strCache>
            </c:strRef>
          </c:cat>
          <c:val>
            <c:numRef>
              <c:f>'2. Dados da adm-fin'!$B$15:$B$19</c:f>
              <c:numCache>
                <c:formatCode>_("R$ "* #,##0.00_);_("R$ "* \(#,##0.00\);_("R$ "* "-"??_);_(@_)</c:formatCode>
                <c:ptCount val="5"/>
                <c:pt idx="0">
                  <c:v>512.0</c:v>
                </c:pt>
                <c:pt idx="1">
                  <c:v>2150.0</c:v>
                </c:pt>
                <c:pt idx="2">
                  <c:v>174.2</c:v>
                </c:pt>
                <c:pt idx="3">
                  <c:v>2836.2</c:v>
                </c:pt>
                <c:pt idx="4">
                  <c:v>5698.04347826087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136"/>
        <c:axId val="4337304"/>
      </c:barChart>
      <c:catAx>
        <c:axId val="433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04"/>
        <c:crosses val="autoZero"/>
        <c:auto val="1"/>
        <c:lblAlgn val="ctr"/>
        <c:lblOffset val="100"/>
        <c:noMultiLvlLbl val="0"/>
      </c:catAx>
      <c:valAx>
        <c:axId val="4337304"/>
        <c:scaling>
          <c:orientation val="minMax"/>
        </c:scaling>
        <c:delete val="0"/>
        <c:axPos val="l"/>
        <c:majorGridlines/>
        <c:numFmt formatCode="_(&quot;R$ &quot;* #,##0.00_);_(&quot;R$ &quot;* \(#,##0.00\);_(&quot;R$ &quot;* &quot;-&quot;??_);_(@_)" sourceLinked="1"/>
        <c:majorTickMark val="out"/>
        <c:minorTickMark val="none"/>
        <c:tickLblPos val="nextTo"/>
        <c:crossAx val="433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511811024" r="0.511811024" t="0.787401575" header="0.314960620000004" footer="0.31496062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 Dados da adm-fin'!$A$23:$A$28</c:f>
              <c:strCache>
                <c:ptCount val="6"/>
                <c:pt idx="0">
                  <c:v>Receita bruta</c:v>
                </c:pt>
                <c:pt idx="1">
                  <c:v>(-) bolsa</c:v>
                </c:pt>
                <c:pt idx="2">
                  <c:v>(-) custos operacionais</c:v>
                </c:pt>
                <c:pt idx="3">
                  <c:v>(=) margem contrib</c:v>
                </c:pt>
                <c:pt idx="4">
                  <c:v>(-) custos </c:v>
                </c:pt>
                <c:pt idx="5">
                  <c:v>(=) Lucro</c:v>
                </c:pt>
              </c:strCache>
            </c:strRef>
          </c:cat>
          <c:val>
            <c:numRef>
              <c:f>'2. Dados da adm-fin'!$B$23:$B$28</c:f>
              <c:numCache>
                <c:formatCode>_("R$ "* #,##0.00_);_("R$ "* \(#,##0.00\);_("R$ "* "-"??_);_(@_)</c:formatCode>
                <c:ptCount val="6"/>
                <c:pt idx="0">
                  <c:v>5698.04347826087</c:v>
                </c:pt>
                <c:pt idx="1">
                  <c:v>2150.0</c:v>
                </c:pt>
                <c:pt idx="2">
                  <c:v>174.2</c:v>
                </c:pt>
                <c:pt idx="3">
                  <c:v>3373.84347826087</c:v>
                </c:pt>
                <c:pt idx="4">
                  <c:v>512.0</c:v>
                </c:pt>
                <c:pt idx="5">
                  <c:v>2861.84347826087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7272"/>
        <c:axId val="4700344"/>
      </c:barChart>
      <c:catAx>
        <c:axId val="469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0344"/>
        <c:crosses val="autoZero"/>
        <c:auto val="1"/>
        <c:lblAlgn val="ctr"/>
        <c:lblOffset val="100"/>
        <c:noMultiLvlLbl val="0"/>
      </c:catAx>
      <c:valAx>
        <c:axId val="4700344"/>
        <c:scaling>
          <c:orientation val="minMax"/>
        </c:scaling>
        <c:delete val="0"/>
        <c:axPos val="l"/>
        <c:majorGridlines/>
        <c:numFmt formatCode="_(&quot;R$ &quot;* #,##0.00_);_(&quot;R$ &quot;* \(#,##0.00\);_(&quot;R$ &quot;* &quot;-&quot;??_);_(@_)" sourceLinked="1"/>
        <c:majorTickMark val="out"/>
        <c:minorTickMark val="none"/>
        <c:tickLblPos val="nextTo"/>
        <c:crossAx val="469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511811024" r="0.511811024" t="0.787401575" header="0.314960620000004" footer="0.31496062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390528</xdr:colOff>
      <xdr:row>5</xdr:row>
      <xdr:rowOff>266702</xdr:rowOff>
    </xdr:from>
    <xdr:to>
      <xdr:col>8</xdr:col>
      <xdr:colOff>562148</xdr:colOff>
      <xdr:row>11</xdr:row>
      <xdr:rowOff>28576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3" y="1476377"/>
          <a:ext cx="1171745" cy="1247774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323853</xdr:colOff>
      <xdr:row>5</xdr:row>
      <xdr:rowOff>219077</xdr:rowOff>
    </xdr:from>
    <xdr:to>
      <xdr:col>1</xdr:col>
      <xdr:colOff>1495598</xdr:colOff>
      <xdr:row>10</xdr:row>
      <xdr:rowOff>171451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3" y="1428752"/>
          <a:ext cx="1171745" cy="1247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11</xdr:row>
      <xdr:rowOff>180975</xdr:rowOff>
    </xdr:from>
    <xdr:to>
      <xdr:col>6</xdr:col>
      <xdr:colOff>600075</xdr:colOff>
      <xdr:row>25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180975</xdr:rowOff>
    </xdr:from>
    <xdr:to>
      <xdr:col>9</xdr:col>
      <xdr:colOff>676275</xdr:colOff>
      <xdr:row>25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 enableFormatConditionsCalculation="0">
    <tabColor rgb="FFC00000"/>
  </sheetPr>
  <dimension ref="A1:AC126"/>
  <sheetViews>
    <sheetView showGridLines="0" topLeftCell="A20" zoomScale="80" zoomScaleNormal="80" zoomScalePageLayoutView="80" workbookViewId="0">
      <selection activeCell="E35" sqref="E35"/>
    </sheetView>
  </sheetViews>
  <sheetFormatPr baseColWidth="10" defaultColWidth="8.83203125" defaultRowHeight="14" x14ac:dyDescent="0"/>
  <cols>
    <col min="1" max="1" width="8.83203125" style="40"/>
    <col min="2" max="2" width="26.6640625" style="40" customWidth="1"/>
    <col min="3" max="6" width="33.33203125" style="40" customWidth="1"/>
    <col min="7" max="8" width="15" style="40" customWidth="1"/>
    <col min="9" max="9" width="15.5" style="40" customWidth="1"/>
    <col min="10" max="17" width="8.83203125" style="40"/>
    <col min="18" max="18" width="30.6640625" style="40" bestFit="1" customWidth="1"/>
    <col min="19" max="21" width="21.6640625" style="40" bestFit="1" customWidth="1"/>
    <col min="22" max="23" width="12.1640625" style="40" bestFit="1" customWidth="1"/>
    <col min="24" max="24" width="3.5" style="40" bestFit="1" customWidth="1"/>
    <col min="25" max="27" width="8.83203125" style="40"/>
    <col min="28" max="28" width="26.5" style="40" bestFit="1" customWidth="1"/>
    <col min="29" max="29" width="15" style="40" bestFit="1" customWidth="1"/>
    <col min="30" max="16384" width="8.83203125" style="40"/>
  </cols>
  <sheetData>
    <row r="1" spans="1:29">
      <c r="B1" s="256" t="s">
        <v>58</v>
      </c>
      <c r="C1" s="257"/>
      <c r="D1" s="257"/>
      <c r="E1" s="257"/>
      <c r="F1" s="257"/>
      <c r="G1" s="257"/>
      <c r="H1" s="257"/>
      <c r="I1" s="258"/>
    </row>
    <row r="2" spans="1:29">
      <c r="B2" s="259"/>
      <c r="C2" s="260"/>
      <c r="D2" s="260"/>
      <c r="E2" s="260"/>
      <c r="F2" s="260"/>
      <c r="G2" s="260"/>
      <c r="H2" s="260"/>
      <c r="I2" s="261"/>
    </row>
    <row r="3" spans="1:29">
      <c r="B3" s="259"/>
      <c r="C3" s="260"/>
      <c r="D3" s="260"/>
      <c r="E3" s="260"/>
      <c r="F3" s="260"/>
      <c r="G3" s="260"/>
      <c r="H3" s="260"/>
      <c r="I3" s="261"/>
    </row>
    <row r="4" spans="1:29" ht="15" thickBot="1">
      <c r="B4" s="259"/>
      <c r="C4" s="262"/>
      <c r="D4" s="262"/>
      <c r="E4" s="262"/>
      <c r="F4" s="262"/>
      <c r="G4" s="262"/>
      <c r="H4" s="262"/>
      <c r="I4" s="263"/>
    </row>
    <row r="5" spans="1:29" ht="34" thickBot="1">
      <c r="B5" s="127"/>
      <c r="C5" s="128"/>
      <c r="D5" s="128"/>
      <c r="E5" s="128"/>
      <c r="F5" s="128"/>
      <c r="G5" s="128"/>
      <c r="H5" s="128"/>
      <c r="I5" s="129"/>
    </row>
    <row r="6" spans="1:29" ht="42" customHeight="1" thickBot="1">
      <c r="A6" s="41"/>
      <c r="B6" s="267" t="s">
        <v>63</v>
      </c>
      <c r="C6" s="236"/>
      <c r="D6" s="236"/>
      <c r="E6" s="236"/>
      <c r="F6" s="236"/>
      <c r="G6" s="236"/>
      <c r="H6" s="236"/>
      <c r="I6" s="237"/>
      <c r="J6" s="39"/>
      <c r="K6" s="39"/>
    </row>
    <row r="7" spans="1:29">
      <c r="B7" s="43"/>
      <c r="C7" s="250" t="s">
        <v>0</v>
      </c>
      <c r="D7" s="251"/>
      <c r="E7" s="251"/>
      <c r="F7" s="251"/>
      <c r="G7" s="264"/>
      <c r="H7" s="41"/>
      <c r="I7" s="44"/>
    </row>
    <row r="8" spans="1:29">
      <c r="B8" s="43"/>
      <c r="C8" s="252" t="s">
        <v>47</v>
      </c>
      <c r="D8" s="253"/>
      <c r="E8" s="253"/>
      <c r="F8" s="248">
        <v>2</v>
      </c>
      <c r="G8" s="268"/>
      <c r="H8" s="41"/>
      <c r="I8" s="44"/>
    </row>
    <row r="9" spans="1:29">
      <c r="B9" s="43"/>
      <c r="C9" s="252" t="s">
        <v>18</v>
      </c>
      <c r="D9" s="253"/>
      <c r="E9" s="253"/>
      <c r="F9" s="248">
        <v>8</v>
      </c>
      <c r="G9" s="268"/>
      <c r="H9" s="41"/>
      <c r="I9" s="44"/>
    </row>
    <row r="10" spans="1:29">
      <c r="B10" s="43"/>
      <c r="C10" s="252" t="s">
        <v>19</v>
      </c>
      <c r="D10" s="253"/>
      <c r="E10" s="253"/>
      <c r="F10" s="248">
        <v>10</v>
      </c>
      <c r="G10" s="268"/>
      <c r="H10" s="41"/>
      <c r="I10" s="44"/>
    </row>
    <row r="11" spans="1:29">
      <c r="B11" s="43"/>
      <c r="C11" s="252" t="s">
        <v>20</v>
      </c>
      <c r="D11" s="253"/>
      <c r="E11" s="253"/>
      <c r="F11" s="269">
        <v>3</v>
      </c>
      <c r="G11" s="270"/>
      <c r="H11" s="41"/>
      <c r="I11" s="44"/>
    </row>
    <row r="12" spans="1:29" ht="15" thickBot="1">
      <c r="B12" s="45"/>
      <c r="C12" s="265" t="s">
        <v>5</v>
      </c>
      <c r="D12" s="266"/>
      <c r="E12" s="266"/>
      <c r="F12" s="230">
        <f>F8*2*F9/F10*F11</f>
        <v>9.6000000000000014</v>
      </c>
      <c r="G12" s="231"/>
      <c r="H12" s="46"/>
      <c r="I12" s="47"/>
    </row>
    <row r="13" spans="1:29">
      <c r="B13" s="271"/>
      <c r="C13" s="272"/>
      <c r="D13" s="272"/>
      <c r="E13" s="272"/>
      <c r="F13" s="272"/>
      <c r="G13" s="272"/>
      <c r="H13" s="272"/>
      <c r="I13" s="273"/>
    </row>
    <row r="14" spans="1:29" ht="15" thickBot="1">
      <c r="B14" s="274"/>
      <c r="C14" s="275"/>
      <c r="D14" s="275"/>
      <c r="E14" s="275"/>
      <c r="F14" s="275"/>
      <c r="G14" s="275"/>
      <c r="H14" s="275"/>
      <c r="I14" s="276"/>
    </row>
    <row r="15" spans="1:29" ht="37.5" customHeight="1" thickBot="1">
      <c r="B15" s="232" t="s">
        <v>59</v>
      </c>
      <c r="C15" s="233"/>
      <c r="D15" s="233"/>
      <c r="E15" s="233"/>
      <c r="F15" s="233"/>
      <c r="G15" s="233"/>
      <c r="H15" s="233"/>
      <c r="I15" s="234"/>
      <c r="R15" s="224" t="s">
        <v>67</v>
      </c>
      <c r="S15" s="225"/>
      <c r="T15" s="225"/>
      <c r="U15" s="225"/>
      <c r="V15" s="225"/>
      <c r="W15" s="225"/>
      <c r="X15" s="226"/>
    </row>
    <row r="16" spans="1:29" ht="15" customHeight="1">
      <c r="B16" s="43"/>
      <c r="C16" s="68"/>
      <c r="D16" s="235" t="s">
        <v>6</v>
      </c>
      <c r="E16" s="236"/>
      <c r="F16" s="236"/>
      <c r="G16" s="237"/>
      <c r="H16" s="68"/>
      <c r="I16" s="69"/>
      <c r="R16" s="227"/>
      <c r="S16" s="228"/>
      <c r="T16" s="228"/>
      <c r="U16" s="228"/>
      <c r="V16" s="228"/>
      <c r="W16" s="228"/>
      <c r="X16" s="229"/>
      <c r="Z16" t="s">
        <v>108</v>
      </c>
      <c r="AB16" s="175" t="s">
        <v>86</v>
      </c>
      <c r="AC16" s="182" t="s">
        <v>110</v>
      </c>
    </row>
    <row r="17" spans="2:29" ht="15.75" customHeight="1" thickBot="1">
      <c r="B17" s="70"/>
      <c r="C17" s="71"/>
      <c r="D17" s="238"/>
      <c r="E17" s="239"/>
      <c r="F17" s="239"/>
      <c r="G17" s="240"/>
      <c r="H17" s="71"/>
      <c r="I17" s="72"/>
      <c r="R17" s="103" t="str">
        <f>C18</f>
        <v>Nome do Consultor 1</v>
      </c>
      <c r="S17" s="103" t="str">
        <f t="shared" ref="S17:W17" si="0">D18</f>
        <v>Nome do Consultor 2</v>
      </c>
      <c r="T17" s="103" t="str">
        <f t="shared" si="0"/>
        <v>Nome do Consultor 3</v>
      </c>
      <c r="U17" s="103" t="str">
        <f t="shared" si="0"/>
        <v>Nome do Consultor 4</v>
      </c>
      <c r="V17" s="103" t="str">
        <f t="shared" si="0"/>
        <v>Consultor 5</v>
      </c>
      <c r="W17" s="103" t="str">
        <f t="shared" si="0"/>
        <v>Consultor 6</v>
      </c>
      <c r="X17" s="40">
        <f>IF(E88="SIM",30,IF(E88="RISCO",20,IF(E88="NÃO",10)))</f>
        <v>30</v>
      </c>
      <c r="Z17" t="s">
        <v>109</v>
      </c>
      <c r="AB17" s="171" t="s">
        <v>93</v>
      </c>
      <c r="AC17" s="182" t="s">
        <v>111</v>
      </c>
    </row>
    <row r="18" spans="2:29">
      <c r="B18" s="58"/>
      <c r="C18" s="109" t="s">
        <v>126</v>
      </c>
      <c r="D18" s="109" t="s">
        <v>127</v>
      </c>
      <c r="E18" s="109" t="s">
        <v>128</v>
      </c>
      <c r="F18" s="109" t="s">
        <v>129</v>
      </c>
      <c r="G18" s="109" t="s">
        <v>53</v>
      </c>
      <c r="H18" s="109" t="s">
        <v>54</v>
      </c>
      <c r="I18" s="62"/>
      <c r="R18" s="104">
        <f>((IF(OR(C22="não",C22="gelog"),IF(C21="1º",500,IF(C21="2º",600,700)),IF(C22="glean 2º módulo",IF(C21="1º",600,IF(C21="2º",700,800)),IF(C22="glean 3º módulo",IF(C21="1º",700,800),IF(C22="glean 4º módulo",800,0)))))/20)*C20</f>
        <v>300</v>
      </c>
      <c r="S18" s="104">
        <f t="shared" ref="S18:W18" si="1">((IF(OR(D22="não",D22="gelog"),IF(D21="1º",500,IF(D21="2º",600,700)),IF(D22="glean 2º módulo",IF(D21="1º",600,IF(D21="2º",700,800)),IF(D22="glean 3º módulo",IF(D21="1º",700,800),IF(D22="glean 4º módulo",800,0)))))/20)*D20</f>
        <v>500</v>
      </c>
      <c r="T18" s="104">
        <f t="shared" si="1"/>
        <v>250</v>
      </c>
      <c r="U18" s="104">
        <f t="shared" si="1"/>
        <v>0</v>
      </c>
      <c r="V18" s="104">
        <f t="shared" si="1"/>
        <v>0</v>
      </c>
      <c r="W18" s="104">
        <f t="shared" si="1"/>
        <v>0</v>
      </c>
      <c r="X18" s="108"/>
      <c r="Z18" t="s">
        <v>112</v>
      </c>
      <c r="AB18" s="171" t="s">
        <v>102</v>
      </c>
      <c r="AC18" s="183" t="s">
        <v>113</v>
      </c>
    </row>
    <row r="19" spans="2:29">
      <c r="B19" s="59"/>
      <c r="C19" s="54" t="s">
        <v>164</v>
      </c>
      <c r="D19" s="54" t="s">
        <v>165</v>
      </c>
      <c r="E19" s="87" t="s">
        <v>166</v>
      </c>
      <c r="F19" s="55"/>
      <c r="G19" s="51"/>
      <c r="H19" s="60"/>
      <c r="I19" s="63"/>
      <c r="R19" s="104">
        <f>IF(R18="","",R18/4)</f>
        <v>75</v>
      </c>
      <c r="S19" s="96">
        <f>IF(S18="","",S18/4)</f>
        <v>125</v>
      </c>
      <c r="T19" s="96">
        <f t="shared" ref="T19:W19" si="2">IF(T18="","",T18/4)</f>
        <v>62.5</v>
      </c>
      <c r="U19" s="96">
        <f t="shared" si="2"/>
        <v>0</v>
      </c>
      <c r="V19" s="96">
        <f t="shared" si="2"/>
        <v>0</v>
      </c>
      <c r="W19" s="106">
        <f t="shared" si="2"/>
        <v>0</v>
      </c>
      <c r="X19" s="108"/>
      <c r="Z19" t="s">
        <v>114</v>
      </c>
      <c r="AB19" s="171" t="s">
        <v>84</v>
      </c>
      <c r="AC19" s="183" t="s">
        <v>115</v>
      </c>
    </row>
    <row r="20" spans="2:29">
      <c r="B20" s="49" t="s">
        <v>55</v>
      </c>
      <c r="C20" s="109">
        <v>10</v>
      </c>
      <c r="D20" s="109">
        <v>20</v>
      </c>
      <c r="E20" s="109">
        <v>10</v>
      </c>
      <c r="F20" s="109"/>
      <c r="G20" s="109"/>
      <c r="H20" s="110"/>
      <c r="I20" s="63"/>
      <c r="R20" s="105" t="s">
        <v>9</v>
      </c>
      <c r="S20" s="96">
        <f>SUM(R19:W19)</f>
        <v>262.5</v>
      </c>
      <c r="T20" s="96"/>
      <c r="U20" s="96"/>
      <c r="V20" s="96"/>
      <c r="W20" s="106"/>
      <c r="X20" s="108">
        <v>1</v>
      </c>
      <c r="Z20" t="s">
        <v>94</v>
      </c>
      <c r="AB20" s="171" t="s">
        <v>88</v>
      </c>
      <c r="AC20" s="182" t="s">
        <v>118</v>
      </c>
    </row>
    <row r="21" spans="2:29">
      <c r="B21" s="49" t="s">
        <v>49</v>
      </c>
      <c r="C21" s="111" t="s">
        <v>51</v>
      </c>
      <c r="D21" s="111" t="s">
        <v>50</v>
      </c>
      <c r="E21" s="111" t="s">
        <v>50</v>
      </c>
      <c r="F21" s="111"/>
      <c r="G21" s="111"/>
      <c r="H21" s="112"/>
      <c r="I21" s="63"/>
      <c r="R21" s="105"/>
      <c r="S21" s="95"/>
      <c r="T21" s="95"/>
      <c r="U21" s="95"/>
      <c r="V21" s="95"/>
      <c r="W21" s="107"/>
      <c r="X21" s="108">
        <v>2</v>
      </c>
      <c r="Z21" t="s">
        <v>116</v>
      </c>
      <c r="AB21" s="171" t="s">
        <v>124</v>
      </c>
      <c r="AC21" s="182" t="s">
        <v>107</v>
      </c>
    </row>
    <row r="22" spans="2:29" ht="15" thickBot="1">
      <c r="B22" s="61" t="s">
        <v>56</v>
      </c>
      <c r="C22" s="113" t="s">
        <v>48</v>
      </c>
      <c r="D22" s="113" t="s">
        <v>48</v>
      </c>
      <c r="E22" s="113" t="s">
        <v>48</v>
      </c>
      <c r="F22" s="113"/>
      <c r="G22" s="113"/>
      <c r="H22" s="114"/>
      <c r="I22" s="64"/>
      <c r="K22" s="40">
        <f>700/80</f>
        <v>8.75</v>
      </c>
      <c r="R22" s="105"/>
      <c r="S22" s="97">
        <v>0</v>
      </c>
      <c r="T22" s="95" t="s">
        <v>50</v>
      </c>
      <c r="U22" s="95" t="s">
        <v>49</v>
      </c>
      <c r="V22" s="95" t="s">
        <v>68</v>
      </c>
      <c r="W22" s="107">
        <v>6.25</v>
      </c>
      <c r="X22" s="108">
        <v>3</v>
      </c>
      <c r="Z22" t="s">
        <v>106</v>
      </c>
      <c r="AB22" s="171" t="s">
        <v>125</v>
      </c>
      <c r="AC22" s="182" t="s">
        <v>120</v>
      </c>
    </row>
    <row r="23" spans="2:29" ht="15" thickBot="1">
      <c r="B23" s="65"/>
      <c r="C23" s="66"/>
      <c r="D23" s="66"/>
      <c r="E23" s="66"/>
      <c r="F23" s="66"/>
      <c r="G23" s="66"/>
      <c r="H23" s="66"/>
      <c r="I23" s="67"/>
      <c r="R23" s="105"/>
      <c r="S23" s="97">
        <v>0.05</v>
      </c>
      <c r="T23" s="95" t="s">
        <v>51</v>
      </c>
      <c r="U23" s="95" t="s">
        <v>49</v>
      </c>
      <c r="V23" s="95"/>
      <c r="W23" s="107">
        <v>7.5</v>
      </c>
      <c r="X23" s="108">
        <v>4</v>
      </c>
      <c r="Z23" t="s">
        <v>117</v>
      </c>
      <c r="AB23" s="171" t="s">
        <v>91</v>
      </c>
      <c r="AC23" s="183" t="s">
        <v>121</v>
      </c>
    </row>
    <row r="24" spans="2:29" ht="18">
      <c r="B24" s="43"/>
      <c r="C24" s="41"/>
      <c r="D24" s="277" t="s">
        <v>10</v>
      </c>
      <c r="E24" s="278"/>
      <c r="F24" s="278"/>
      <c r="G24" s="279"/>
      <c r="H24" s="41"/>
      <c r="I24" s="44"/>
      <c r="R24" s="105" t="s">
        <v>78</v>
      </c>
      <c r="S24" s="97">
        <v>0.1</v>
      </c>
      <c r="T24" s="95" t="s">
        <v>52</v>
      </c>
      <c r="U24" s="95" t="s">
        <v>49</v>
      </c>
      <c r="V24" s="95"/>
      <c r="W24" s="107">
        <v>8.75</v>
      </c>
      <c r="X24" s="108">
        <v>5</v>
      </c>
      <c r="Z24" t="s">
        <v>119</v>
      </c>
      <c r="AB24" s="171" t="s">
        <v>101</v>
      </c>
    </row>
    <row r="25" spans="2:29" ht="15" customHeight="1">
      <c r="B25" s="43"/>
      <c r="C25" s="41"/>
      <c r="D25" s="296" t="s">
        <v>11</v>
      </c>
      <c r="E25" s="297"/>
      <c r="F25" s="298">
        <v>8</v>
      </c>
      <c r="G25" s="299"/>
      <c r="H25" s="41"/>
      <c r="I25" s="44"/>
      <c r="R25" s="105" t="s">
        <v>79</v>
      </c>
      <c r="S25" s="97">
        <v>0.15</v>
      </c>
      <c r="T25" s="95" t="s">
        <v>73</v>
      </c>
      <c r="U25" s="95"/>
      <c r="V25" s="95"/>
      <c r="W25" s="107"/>
      <c r="X25" s="108">
        <v>6</v>
      </c>
      <c r="AB25" s="171" t="s">
        <v>100</v>
      </c>
    </row>
    <row r="26" spans="2:29" ht="15.75" customHeight="1" thickBot="1">
      <c r="B26" s="43"/>
      <c r="C26" s="41"/>
      <c r="D26" s="217" t="s">
        <v>66</v>
      </c>
      <c r="E26" s="218"/>
      <c r="F26" s="300">
        <v>3</v>
      </c>
      <c r="G26" s="301"/>
      <c r="H26" s="41"/>
      <c r="I26" s="44"/>
      <c r="R26" s="105" t="s">
        <v>80</v>
      </c>
      <c r="S26" s="95"/>
      <c r="T26" s="95" t="s">
        <v>74</v>
      </c>
      <c r="U26" s="95"/>
      <c r="V26" s="95"/>
      <c r="W26" s="107"/>
      <c r="X26" s="108">
        <v>7</v>
      </c>
      <c r="AB26" s="171" t="s">
        <v>99</v>
      </c>
    </row>
    <row r="27" spans="2:29" ht="15.75" customHeight="1" thickBot="1">
      <c r="B27" s="43"/>
      <c r="C27" s="41"/>
      <c r="D27" s="187"/>
      <c r="E27" s="187"/>
      <c r="F27" s="188"/>
      <c r="G27" s="188"/>
      <c r="H27" s="41"/>
      <c r="I27" s="44"/>
      <c r="R27" s="189" t="s">
        <v>48</v>
      </c>
      <c r="S27" s="190"/>
      <c r="T27" s="190"/>
      <c r="U27" s="190"/>
      <c r="V27" s="190"/>
      <c r="W27" s="191"/>
      <c r="X27" s="108"/>
      <c r="AB27" s="171" t="s">
        <v>98</v>
      </c>
    </row>
    <row r="28" spans="2:29" ht="15.75" customHeight="1">
      <c r="B28" s="307"/>
      <c r="C28" s="308"/>
      <c r="D28" s="308"/>
      <c r="E28" s="308"/>
      <c r="F28" s="308"/>
      <c r="G28" s="308"/>
      <c r="H28" s="308"/>
      <c r="I28" s="309"/>
      <c r="R28" s="189" t="s">
        <v>130</v>
      </c>
      <c r="S28" s="190"/>
      <c r="T28" s="190"/>
      <c r="U28" s="190"/>
      <c r="V28" s="190"/>
      <c r="W28" s="191"/>
      <c r="X28" s="108"/>
      <c r="AB28" s="171" t="s">
        <v>97</v>
      </c>
    </row>
    <row r="29" spans="2:29" ht="15.75" customHeight="1" thickBot="1">
      <c r="B29" s="310"/>
      <c r="C29" s="311"/>
      <c r="D29" s="311"/>
      <c r="E29" s="311"/>
      <c r="F29" s="311"/>
      <c r="G29" s="311"/>
      <c r="H29" s="311"/>
      <c r="I29" s="312"/>
      <c r="R29" s="189" t="s">
        <v>131</v>
      </c>
      <c r="S29" s="190"/>
      <c r="T29" s="190"/>
      <c r="U29" s="190"/>
      <c r="V29" s="190"/>
      <c r="W29" s="191"/>
      <c r="X29" s="108"/>
      <c r="AB29" s="167" t="s">
        <v>95</v>
      </c>
    </row>
    <row r="30" spans="2:29" ht="15.75" customHeight="1">
      <c r="B30" s="235" t="s">
        <v>82</v>
      </c>
      <c r="C30" s="236"/>
      <c r="D30" s="236"/>
      <c r="E30" s="236"/>
      <c r="F30" s="236"/>
      <c r="G30" s="236"/>
      <c r="H30" s="236"/>
      <c r="I30" s="237"/>
      <c r="R30" s="189" t="s">
        <v>132</v>
      </c>
      <c r="S30" s="190"/>
      <c r="T30" s="190"/>
      <c r="U30" s="190"/>
      <c r="V30" s="190"/>
      <c r="W30" s="191"/>
      <c r="X30" s="108"/>
    </row>
    <row r="31" spans="2:29" ht="15.75" customHeight="1" thickBot="1">
      <c r="B31" s="238"/>
      <c r="C31" s="239"/>
      <c r="D31" s="245"/>
      <c r="E31" s="245"/>
      <c r="F31" s="245"/>
      <c r="G31" s="239"/>
      <c r="H31" s="239"/>
      <c r="I31" s="240"/>
      <c r="R31" s="189" t="s">
        <v>133</v>
      </c>
      <c r="S31" s="190"/>
      <c r="T31" s="190"/>
      <c r="U31" s="190"/>
      <c r="V31" s="190"/>
      <c r="W31" s="191"/>
      <c r="X31" s="108"/>
    </row>
    <row r="32" spans="2:29" ht="15.75" customHeight="1" thickBot="1">
      <c r="B32" s="219"/>
      <c r="C32" s="220"/>
      <c r="D32" s="196" t="s">
        <v>105</v>
      </c>
      <c r="E32" s="193" t="s">
        <v>109</v>
      </c>
      <c r="F32" s="319" t="s">
        <v>110</v>
      </c>
      <c r="G32" s="320"/>
      <c r="H32" s="219"/>
      <c r="I32" s="220"/>
      <c r="R32" s="189"/>
      <c r="S32" s="190"/>
      <c r="T32" s="190"/>
      <c r="U32" s="190"/>
      <c r="V32" s="190"/>
      <c r="W32" s="191"/>
      <c r="X32" s="108"/>
    </row>
    <row r="33" spans="2:24" ht="15.75" customHeight="1">
      <c r="B33" s="317"/>
      <c r="C33" s="318"/>
      <c r="D33" s="197" t="s">
        <v>83</v>
      </c>
      <c r="E33" s="194" t="s">
        <v>102</v>
      </c>
      <c r="F33" s="321"/>
      <c r="G33" s="322"/>
      <c r="H33" s="322"/>
      <c r="I33" s="323"/>
      <c r="R33" s="189"/>
      <c r="S33" s="190"/>
      <c r="T33" s="190"/>
      <c r="U33" s="190"/>
      <c r="V33" s="190"/>
      <c r="W33" s="191"/>
      <c r="X33" s="108"/>
    </row>
    <row r="34" spans="2:24" ht="15.75" customHeight="1">
      <c r="B34" s="317"/>
      <c r="C34" s="318"/>
      <c r="D34" s="197" t="s">
        <v>85</v>
      </c>
      <c r="E34" s="194" t="s">
        <v>84</v>
      </c>
      <c r="F34" s="321"/>
      <c r="G34" s="322"/>
      <c r="H34" s="322"/>
      <c r="I34" s="323"/>
      <c r="R34" s="189"/>
      <c r="S34" s="190"/>
      <c r="T34" s="190"/>
      <c r="U34" s="190"/>
      <c r="V34" s="190"/>
      <c r="W34" s="191"/>
      <c r="X34" s="108"/>
    </row>
    <row r="35" spans="2:24" ht="15.75" customHeight="1">
      <c r="B35" s="317"/>
      <c r="C35" s="318"/>
      <c r="D35" s="197" t="s">
        <v>87</v>
      </c>
      <c r="E35" s="194" t="s">
        <v>102</v>
      </c>
      <c r="F35" s="321"/>
      <c r="G35" s="322"/>
      <c r="H35" s="322"/>
      <c r="I35" s="323"/>
      <c r="R35" s="189"/>
      <c r="S35" s="190"/>
      <c r="T35" s="190"/>
      <c r="U35" s="190"/>
      <c r="V35" s="190"/>
      <c r="W35" s="191"/>
      <c r="X35" s="108"/>
    </row>
    <row r="36" spans="2:24" ht="15.75" customHeight="1">
      <c r="B36" s="317"/>
      <c r="C36" s="318"/>
      <c r="D36" s="197" t="s">
        <v>123</v>
      </c>
      <c r="E36" s="194" t="s">
        <v>125</v>
      </c>
      <c r="F36" s="321"/>
      <c r="G36" s="322"/>
      <c r="H36" s="322"/>
      <c r="I36" s="323"/>
      <c r="R36" s="189"/>
      <c r="S36" s="190"/>
      <c r="T36" s="190"/>
      <c r="U36" s="190"/>
      <c r="V36" s="190"/>
      <c r="W36" s="191"/>
      <c r="X36" s="108"/>
    </row>
    <row r="37" spans="2:24" ht="15.75" customHeight="1">
      <c r="B37" s="317"/>
      <c r="C37" s="318"/>
      <c r="D37" s="197" t="s">
        <v>25</v>
      </c>
      <c r="E37" s="194" t="s">
        <v>100</v>
      </c>
      <c r="F37" s="321"/>
      <c r="G37" s="322"/>
      <c r="H37" s="322"/>
      <c r="I37" s="323"/>
      <c r="R37" s="189"/>
      <c r="S37" s="190"/>
      <c r="T37" s="190"/>
      <c r="U37" s="190"/>
      <c r="V37" s="190"/>
      <c r="W37" s="191"/>
      <c r="X37" s="108"/>
    </row>
    <row r="38" spans="2:24" ht="15.75" customHeight="1">
      <c r="B38" s="317"/>
      <c r="C38" s="318"/>
      <c r="D38" s="197" t="s">
        <v>92</v>
      </c>
      <c r="E38" s="194" t="s">
        <v>102</v>
      </c>
      <c r="F38" s="321"/>
      <c r="G38" s="322"/>
      <c r="H38" s="322"/>
      <c r="I38" s="323"/>
      <c r="R38" s="189"/>
      <c r="S38" s="190"/>
      <c r="T38" s="190"/>
      <c r="U38" s="190"/>
      <c r="V38" s="190"/>
      <c r="W38" s="191"/>
      <c r="X38" s="108"/>
    </row>
    <row r="39" spans="2:24" ht="15.75" customHeight="1" thickBot="1">
      <c r="B39" s="317"/>
      <c r="C39" s="318"/>
      <c r="D39" s="198" t="s">
        <v>94</v>
      </c>
      <c r="E39" s="195" t="s">
        <v>95</v>
      </c>
      <c r="F39" s="321"/>
      <c r="G39" s="324"/>
      <c r="H39" s="324"/>
      <c r="I39" s="323"/>
      <c r="R39" s="189"/>
      <c r="S39" s="190"/>
      <c r="T39" s="190"/>
      <c r="U39" s="190"/>
      <c r="V39" s="190"/>
      <c r="W39" s="191"/>
      <c r="X39" s="108"/>
    </row>
    <row r="40" spans="2:24" ht="15.75" customHeight="1">
      <c r="B40" s="307"/>
      <c r="C40" s="308"/>
      <c r="D40" s="308"/>
      <c r="E40" s="308"/>
      <c r="F40" s="308"/>
      <c r="G40" s="308"/>
      <c r="H40" s="308"/>
      <c r="I40" s="309"/>
      <c r="R40" s="192"/>
      <c r="S40" s="192"/>
      <c r="T40" s="192"/>
      <c r="U40" s="192"/>
      <c r="V40" s="192"/>
      <c r="W40" s="192"/>
      <c r="X40" s="41"/>
    </row>
    <row r="41" spans="2:24" ht="15.75" customHeight="1" thickBot="1">
      <c r="B41" s="310"/>
      <c r="C41" s="311"/>
      <c r="D41" s="311"/>
      <c r="E41" s="311"/>
      <c r="F41" s="311"/>
      <c r="G41" s="311"/>
      <c r="H41" s="311"/>
      <c r="I41" s="312"/>
      <c r="R41" s="192"/>
      <c r="S41" s="192"/>
      <c r="T41" s="192"/>
      <c r="U41" s="192"/>
      <c r="V41" s="192"/>
      <c r="W41" s="192"/>
      <c r="X41" s="41"/>
    </row>
    <row r="42" spans="2:24" ht="15" customHeight="1">
      <c r="B42" s="235" t="s">
        <v>12</v>
      </c>
      <c r="C42" s="236"/>
      <c r="D42" s="236"/>
      <c r="E42" s="236"/>
      <c r="F42" s="236"/>
      <c r="G42" s="236"/>
      <c r="H42" s="236"/>
      <c r="I42" s="237"/>
    </row>
    <row r="43" spans="2:24" ht="15.75" customHeight="1" thickBot="1">
      <c r="B43" s="238"/>
      <c r="C43" s="239"/>
      <c r="D43" s="239"/>
      <c r="E43" s="239"/>
      <c r="F43" s="239"/>
      <c r="G43" s="239"/>
      <c r="H43" s="239"/>
      <c r="I43" s="305"/>
    </row>
    <row r="44" spans="2:24">
      <c r="B44" s="48" t="s">
        <v>13</v>
      </c>
      <c r="C44" s="302" t="s">
        <v>14</v>
      </c>
      <c r="D44" s="303"/>
      <c r="E44" s="304"/>
      <c r="F44" s="83" t="s">
        <v>7</v>
      </c>
      <c r="G44" s="83" t="s">
        <v>8</v>
      </c>
      <c r="H44" s="135" t="s">
        <v>9</v>
      </c>
      <c r="I44" s="145"/>
    </row>
    <row r="45" spans="2:24">
      <c r="B45" s="49">
        <v>1</v>
      </c>
      <c r="C45" s="280" t="s">
        <v>29</v>
      </c>
      <c r="D45" s="280"/>
      <c r="E45" s="280"/>
      <c r="F45" s="96">
        <f>IF(E87="Boleto Bancário Sem Registro",5.3, IF(E87="Boleto Bancário Com Registro",10.6,0))</f>
        <v>5.3</v>
      </c>
      <c r="G45" s="95">
        <f>E85</f>
        <v>2</v>
      </c>
      <c r="H45" s="143">
        <f>F45*G45</f>
        <v>10.6</v>
      </c>
      <c r="I45" s="146"/>
    </row>
    <row r="46" spans="2:24">
      <c r="B46" s="49">
        <v>2</v>
      </c>
      <c r="C46" s="280" t="s">
        <v>77</v>
      </c>
      <c r="D46" s="280"/>
      <c r="E46" s="280"/>
      <c r="F46" s="96">
        <v>7.4</v>
      </c>
      <c r="G46" s="136">
        <v>2</v>
      </c>
      <c r="H46" s="143">
        <f>F46*G46</f>
        <v>14.8</v>
      </c>
      <c r="I46" s="146"/>
    </row>
    <row r="47" spans="2:24">
      <c r="B47" s="49">
        <v>3</v>
      </c>
      <c r="C47" s="295" t="s">
        <v>76</v>
      </c>
      <c r="D47" s="295"/>
      <c r="E47" s="295"/>
      <c r="F47" s="137">
        <v>70</v>
      </c>
      <c r="G47" s="136">
        <v>1</v>
      </c>
      <c r="H47" s="143">
        <f>F47*G47</f>
        <v>70</v>
      </c>
      <c r="I47" s="146"/>
    </row>
    <row r="48" spans="2:24">
      <c r="B48" s="49">
        <v>4</v>
      </c>
      <c r="C48" s="295" t="s">
        <v>60</v>
      </c>
      <c r="D48" s="295"/>
      <c r="E48" s="295"/>
      <c r="F48" s="137">
        <v>50</v>
      </c>
      <c r="G48" s="136">
        <v>1</v>
      </c>
      <c r="H48" s="143">
        <f t="shared" ref="H48:H53" si="3">F48*G48</f>
        <v>50</v>
      </c>
      <c r="I48" s="146"/>
    </row>
    <row r="49" spans="2:15">
      <c r="B49" s="49">
        <v>5</v>
      </c>
      <c r="C49" s="295"/>
      <c r="D49" s="295"/>
      <c r="E49" s="295"/>
      <c r="F49" s="137"/>
      <c r="G49" s="136"/>
      <c r="H49" s="143">
        <f t="shared" si="3"/>
        <v>0</v>
      </c>
      <c r="I49" s="146"/>
    </row>
    <row r="50" spans="2:15">
      <c r="B50" s="49">
        <v>6</v>
      </c>
      <c r="C50" s="295"/>
      <c r="D50" s="295"/>
      <c r="E50" s="295"/>
      <c r="F50" s="137"/>
      <c r="G50" s="136"/>
      <c r="H50" s="143">
        <f t="shared" si="3"/>
        <v>0</v>
      </c>
      <c r="I50" s="146"/>
    </row>
    <row r="51" spans="2:15">
      <c r="B51" s="49">
        <v>7</v>
      </c>
      <c r="C51" s="295"/>
      <c r="D51" s="295"/>
      <c r="E51" s="295"/>
      <c r="F51" s="137"/>
      <c r="G51" s="136"/>
      <c r="H51" s="143">
        <f t="shared" si="3"/>
        <v>0</v>
      </c>
      <c r="I51" s="146"/>
      <c r="L51" s="50"/>
    </row>
    <row r="52" spans="2:15">
      <c r="B52" s="49">
        <v>8</v>
      </c>
      <c r="C52" s="295"/>
      <c r="D52" s="295"/>
      <c r="E52" s="295"/>
      <c r="F52" s="137"/>
      <c r="G52" s="136"/>
      <c r="H52" s="143">
        <f t="shared" si="3"/>
        <v>0</v>
      </c>
      <c r="I52" s="146"/>
    </row>
    <row r="53" spans="2:15">
      <c r="B53" s="49">
        <v>9</v>
      </c>
      <c r="C53" s="289"/>
      <c r="D53" s="289"/>
      <c r="E53" s="289"/>
      <c r="F53" s="139"/>
      <c r="G53" s="140"/>
      <c r="H53" s="143">
        <f t="shared" si="3"/>
        <v>0</v>
      </c>
      <c r="I53" s="146"/>
    </row>
    <row r="54" spans="2:15" ht="15" thickBot="1">
      <c r="B54" s="138" t="s">
        <v>5</v>
      </c>
      <c r="C54" s="306"/>
      <c r="D54" s="306"/>
      <c r="E54" s="306"/>
      <c r="F54" s="141"/>
      <c r="G54" s="142"/>
      <c r="H54" s="144">
        <f>SUM(H45:H53)</f>
        <v>145.4</v>
      </c>
      <c r="I54" s="147"/>
    </row>
    <row r="55" spans="2:15">
      <c r="B55" s="76"/>
      <c r="C55" s="74"/>
      <c r="D55" s="74"/>
      <c r="E55" s="74"/>
      <c r="F55" s="52"/>
      <c r="G55" s="75"/>
      <c r="H55" s="77"/>
      <c r="I55" s="78"/>
    </row>
    <row r="56" spans="2:15" ht="15" thickBot="1">
      <c r="B56" s="76"/>
      <c r="C56" s="74"/>
      <c r="D56" s="74"/>
      <c r="E56" s="74"/>
      <c r="F56" s="52"/>
      <c r="G56" s="75"/>
      <c r="H56" s="77"/>
      <c r="I56" s="78"/>
    </row>
    <row r="57" spans="2:15">
      <c r="B57" s="235" t="s">
        <v>64</v>
      </c>
      <c r="C57" s="236"/>
      <c r="D57" s="236"/>
      <c r="E57" s="236"/>
      <c r="F57" s="236"/>
      <c r="G57" s="236"/>
      <c r="H57" s="236"/>
      <c r="I57" s="237"/>
    </row>
    <row r="58" spans="2:15" ht="15" thickBot="1">
      <c r="B58" s="238"/>
      <c r="C58" s="239"/>
      <c r="D58" s="239"/>
      <c r="E58" s="239"/>
      <c r="F58" s="239"/>
      <c r="G58" s="239"/>
      <c r="H58" s="239"/>
      <c r="I58" s="240"/>
    </row>
    <row r="59" spans="2:15" ht="15" thickBot="1">
      <c r="B59" s="43"/>
      <c r="C59" s="41"/>
      <c r="D59" s="41"/>
      <c r="E59" s="41"/>
      <c r="F59" s="41"/>
      <c r="G59" s="41"/>
      <c r="H59" s="41"/>
      <c r="I59" s="44"/>
    </row>
    <row r="60" spans="2:15">
      <c r="B60" s="43"/>
      <c r="C60" s="250" t="s">
        <v>0</v>
      </c>
      <c r="D60" s="251"/>
      <c r="E60" s="251"/>
      <c r="F60" s="251"/>
      <c r="G60" s="264"/>
      <c r="H60" s="42"/>
      <c r="I60" s="44"/>
      <c r="K60" s="313"/>
      <c r="L60" s="313"/>
      <c r="M60" s="313"/>
      <c r="N60" s="313"/>
      <c r="O60" s="313"/>
    </row>
    <row r="61" spans="2:15">
      <c r="B61" s="43"/>
      <c r="C61" s="252" t="s">
        <v>1</v>
      </c>
      <c r="D61" s="253"/>
      <c r="E61" s="248">
        <v>4</v>
      </c>
      <c r="F61" s="248"/>
      <c r="G61" s="268"/>
      <c r="H61" s="41"/>
      <c r="I61" s="44"/>
      <c r="K61" s="313"/>
      <c r="L61" s="313"/>
      <c r="M61" s="313"/>
      <c r="N61" s="313"/>
      <c r="O61" s="313"/>
    </row>
    <row r="62" spans="2:15">
      <c r="B62" s="43"/>
      <c r="C62" s="252" t="s">
        <v>2</v>
      </c>
      <c r="D62" s="253"/>
      <c r="E62" s="290">
        <f>F9</f>
        <v>8</v>
      </c>
      <c r="F62" s="290"/>
      <c r="G62" s="291"/>
      <c r="H62" s="41"/>
      <c r="I62" s="44"/>
      <c r="K62" s="313"/>
      <c r="L62" s="313"/>
      <c r="M62" s="313"/>
      <c r="N62" s="313"/>
      <c r="O62" s="313"/>
    </row>
    <row r="63" spans="2:15">
      <c r="B63" s="43"/>
      <c r="C63" s="252" t="s">
        <v>3</v>
      </c>
      <c r="D63" s="253"/>
      <c r="E63" s="290">
        <f>F10</f>
        <v>10</v>
      </c>
      <c r="F63" s="290"/>
      <c r="G63" s="291"/>
      <c r="H63" s="41"/>
      <c r="I63" s="44"/>
      <c r="K63" s="313"/>
      <c r="L63" s="313"/>
      <c r="M63" s="313"/>
      <c r="N63" s="313"/>
      <c r="O63" s="313"/>
    </row>
    <row r="64" spans="2:15">
      <c r="B64" s="43"/>
      <c r="C64" s="252" t="s">
        <v>4</v>
      </c>
      <c r="D64" s="253"/>
      <c r="E64" s="247">
        <f>F11</f>
        <v>3</v>
      </c>
      <c r="F64" s="290"/>
      <c r="G64" s="291"/>
      <c r="H64" s="41"/>
      <c r="I64" s="44"/>
      <c r="K64" s="313"/>
      <c r="L64" s="313"/>
      <c r="M64" s="313"/>
      <c r="N64" s="314"/>
      <c r="O64" s="314"/>
    </row>
    <row r="65" spans="2:15" ht="15" thickBot="1">
      <c r="B65" s="43"/>
      <c r="C65" s="265" t="s">
        <v>5</v>
      </c>
      <c r="D65" s="266"/>
      <c r="E65" s="230">
        <f>E61*(E62*2)/E63*E64</f>
        <v>19.200000000000003</v>
      </c>
      <c r="F65" s="230"/>
      <c r="G65" s="231"/>
      <c r="H65" s="41"/>
      <c r="I65" s="44"/>
      <c r="K65" s="315"/>
      <c r="L65" s="315"/>
      <c r="M65" s="315"/>
      <c r="N65" s="316"/>
      <c r="O65" s="316"/>
    </row>
    <row r="66" spans="2:15" ht="15" thickBot="1">
      <c r="B66" s="43"/>
      <c r="C66" s="85"/>
      <c r="D66" s="85"/>
      <c r="E66" s="86"/>
      <c r="F66" s="86"/>
      <c r="G66" s="86"/>
      <c r="H66" s="41"/>
      <c r="I66" s="44"/>
      <c r="K66" s="79"/>
      <c r="L66" s="79"/>
      <c r="M66" s="79"/>
      <c r="N66" s="80"/>
      <c r="O66" s="80"/>
    </row>
    <row r="67" spans="2:15">
      <c r="B67" s="271"/>
      <c r="C67" s="272"/>
      <c r="D67" s="272"/>
      <c r="E67" s="272"/>
      <c r="F67" s="272"/>
      <c r="G67" s="272"/>
      <c r="H67" s="272"/>
      <c r="I67" s="273"/>
      <c r="K67" s="79"/>
      <c r="L67" s="79"/>
      <c r="M67" s="79"/>
      <c r="N67" s="80"/>
      <c r="O67" s="80"/>
    </row>
    <row r="68" spans="2:15" ht="15" thickBot="1">
      <c r="B68" s="274"/>
      <c r="C68" s="275"/>
      <c r="D68" s="275"/>
      <c r="E68" s="275"/>
      <c r="F68" s="275"/>
      <c r="G68" s="275"/>
      <c r="H68" s="275"/>
      <c r="I68" s="276"/>
      <c r="K68" s="79"/>
      <c r="L68" s="79"/>
      <c r="M68" s="79"/>
      <c r="N68" s="80"/>
      <c r="O68" s="80"/>
    </row>
    <row r="69" spans="2:15" ht="18.75" customHeight="1">
      <c r="B69" s="235" t="s">
        <v>61</v>
      </c>
      <c r="C69" s="236"/>
      <c r="D69" s="236"/>
      <c r="E69" s="236"/>
      <c r="F69" s="236"/>
      <c r="G69" s="236"/>
      <c r="H69" s="236"/>
      <c r="I69" s="237"/>
      <c r="K69" s="79"/>
      <c r="L69" s="79"/>
      <c r="M69" s="79"/>
      <c r="N69" s="80"/>
      <c r="O69" s="80"/>
    </row>
    <row r="70" spans="2:15" ht="15" thickBot="1">
      <c r="B70" s="238"/>
      <c r="C70" s="239"/>
      <c r="D70" s="239"/>
      <c r="E70" s="239"/>
      <c r="F70" s="239"/>
      <c r="G70" s="239"/>
      <c r="H70" s="239"/>
      <c r="I70" s="240"/>
      <c r="K70" s="79"/>
      <c r="L70" s="79"/>
      <c r="M70" s="79"/>
      <c r="N70" s="80"/>
      <c r="O70" s="80"/>
    </row>
    <row r="71" spans="2:15">
      <c r="B71" s="43"/>
      <c r="C71" s="293" t="s">
        <v>62</v>
      </c>
      <c r="D71" s="294"/>
      <c r="E71" s="87">
        <v>50</v>
      </c>
      <c r="F71" s="53">
        <v>1</v>
      </c>
      <c r="G71" s="81">
        <f>E71*F71</f>
        <v>50</v>
      </c>
      <c r="H71" s="41"/>
      <c r="I71" s="44"/>
      <c r="K71" s="79"/>
      <c r="L71" s="79"/>
      <c r="M71" s="79"/>
      <c r="N71" s="80"/>
      <c r="O71" s="80"/>
    </row>
    <row r="72" spans="2:15" ht="15" thickBot="1">
      <c r="B72" s="43"/>
      <c r="C72" s="325" t="s">
        <v>5</v>
      </c>
      <c r="D72" s="326"/>
      <c r="E72" s="330"/>
      <c r="F72" s="331"/>
      <c r="G72" s="98">
        <f>SUM(G71:G71)</f>
        <v>50</v>
      </c>
      <c r="H72" s="41"/>
      <c r="I72" s="44"/>
      <c r="K72" s="79"/>
      <c r="L72" s="79"/>
      <c r="M72" s="79"/>
      <c r="N72" s="80"/>
      <c r="O72" s="80"/>
    </row>
    <row r="73" spans="2:15" ht="15" thickBot="1">
      <c r="B73" s="43"/>
      <c r="C73" s="85"/>
      <c r="D73" s="42"/>
      <c r="E73" s="42"/>
      <c r="F73" s="42"/>
      <c r="G73" s="42"/>
      <c r="H73" s="41"/>
      <c r="I73" s="44"/>
      <c r="K73" s="79"/>
      <c r="L73" s="79"/>
      <c r="M73" s="79"/>
      <c r="N73" s="80"/>
      <c r="O73" s="80"/>
    </row>
    <row r="74" spans="2:15">
      <c r="B74" s="235" t="s">
        <v>65</v>
      </c>
      <c r="C74" s="236"/>
      <c r="D74" s="236"/>
      <c r="E74" s="236"/>
      <c r="F74" s="236"/>
      <c r="G74" s="236"/>
      <c r="H74" s="236"/>
      <c r="I74" s="237"/>
      <c r="K74" s="79"/>
      <c r="L74" s="79"/>
      <c r="M74" s="79"/>
      <c r="N74" s="80"/>
      <c r="O74" s="80"/>
    </row>
    <row r="75" spans="2:15" ht="15" thickBot="1">
      <c r="B75" s="238"/>
      <c r="C75" s="245"/>
      <c r="D75" s="245"/>
      <c r="E75" s="245"/>
      <c r="F75" s="245"/>
      <c r="G75" s="245"/>
      <c r="H75" s="239"/>
      <c r="I75" s="240"/>
      <c r="K75" s="79"/>
      <c r="L75" s="79"/>
      <c r="M75" s="79"/>
      <c r="N75" s="80"/>
      <c r="O75" s="80"/>
    </row>
    <row r="76" spans="2:15">
      <c r="B76" s="43"/>
      <c r="C76" s="332" t="s">
        <v>47</v>
      </c>
      <c r="D76" s="333"/>
      <c r="E76" s="246">
        <v>0</v>
      </c>
      <c r="F76" s="246"/>
      <c r="G76" s="292"/>
      <c r="H76" s="41"/>
      <c r="I76" s="44"/>
      <c r="K76" s="79"/>
      <c r="L76" s="79"/>
      <c r="M76" s="79"/>
      <c r="N76" s="80"/>
      <c r="O76" s="80"/>
    </row>
    <row r="77" spans="2:15">
      <c r="B77" s="43"/>
      <c r="C77" s="327" t="s">
        <v>18</v>
      </c>
      <c r="D77" s="290"/>
      <c r="E77" s="290">
        <v>400</v>
      </c>
      <c r="F77" s="290"/>
      <c r="G77" s="291"/>
      <c r="H77" s="41"/>
      <c r="I77" s="44"/>
      <c r="K77" s="79"/>
      <c r="L77" s="79"/>
      <c r="M77" s="79"/>
      <c r="N77" s="80"/>
      <c r="O77" s="80"/>
    </row>
    <row r="78" spans="2:15">
      <c r="B78" s="43"/>
      <c r="C78" s="327" t="s">
        <v>19</v>
      </c>
      <c r="D78" s="290"/>
      <c r="E78" s="290">
        <f>F10</f>
        <v>10</v>
      </c>
      <c r="F78" s="290"/>
      <c r="G78" s="291"/>
      <c r="H78" s="41"/>
      <c r="I78" s="44"/>
      <c r="K78" s="79"/>
      <c r="L78" s="79"/>
      <c r="M78" s="79"/>
      <c r="N78" s="80"/>
      <c r="O78" s="80"/>
    </row>
    <row r="79" spans="2:15">
      <c r="B79" s="43"/>
      <c r="C79" s="327" t="s">
        <v>20</v>
      </c>
      <c r="D79" s="290"/>
      <c r="E79" s="328">
        <v>3.5</v>
      </c>
      <c r="F79" s="328"/>
      <c r="G79" s="329"/>
      <c r="H79" s="41"/>
      <c r="I79" s="44"/>
      <c r="K79" s="79"/>
      <c r="L79" s="79"/>
      <c r="M79" s="79"/>
      <c r="N79" s="80"/>
      <c r="O79" s="80"/>
    </row>
    <row r="80" spans="2:15" ht="15" thickBot="1">
      <c r="B80" s="43"/>
      <c r="C80" s="325" t="s">
        <v>5</v>
      </c>
      <c r="D80" s="326"/>
      <c r="E80" s="230">
        <f>E76*2*E77/E78*E79</f>
        <v>0</v>
      </c>
      <c r="F80" s="230"/>
      <c r="G80" s="231"/>
      <c r="H80" s="41"/>
      <c r="I80" s="44"/>
    </row>
    <row r="81" spans="2:13">
      <c r="B81" s="307"/>
      <c r="C81" s="308"/>
      <c r="D81" s="308"/>
      <c r="E81" s="308"/>
      <c r="F81" s="308"/>
      <c r="G81" s="308"/>
      <c r="H81" s="308"/>
      <c r="I81" s="309"/>
    </row>
    <row r="82" spans="2:13" ht="15" thickBot="1">
      <c r="B82" s="310"/>
      <c r="C82" s="311"/>
      <c r="D82" s="311"/>
      <c r="E82" s="311"/>
      <c r="F82" s="311"/>
      <c r="G82" s="311"/>
      <c r="H82" s="311"/>
      <c r="I82" s="312"/>
    </row>
    <row r="83" spans="2:13">
      <c r="B83" s="235" t="s">
        <v>15</v>
      </c>
      <c r="C83" s="236"/>
      <c r="D83" s="236"/>
      <c r="E83" s="236"/>
      <c r="F83" s="236"/>
      <c r="G83" s="236"/>
      <c r="H83" s="236"/>
      <c r="I83" s="237"/>
    </row>
    <row r="84" spans="2:13" ht="15" thickBot="1">
      <c r="B84" s="238"/>
      <c r="C84" s="245"/>
      <c r="D84" s="245"/>
      <c r="E84" s="245"/>
      <c r="F84" s="245"/>
      <c r="G84" s="245"/>
      <c r="H84" s="239"/>
      <c r="I84" s="240"/>
    </row>
    <row r="85" spans="2:13">
      <c r="B85" s="43"/>
      <c r="C85" s="250" t="s">
        <v>16</v>
      </c>
      <c r="D85" s="251"/>
      <c r="E85" s="246">
        <v>2</v>
      </c>
      <c r="F85" s="246"/>
      <c r="G85" s="67"/>
      <c r="H85" s="41"/>
      <c r="I85" s="44"/>
    </row>
    <row r="86" spans="2:13">
      <c r="B86" s="43"/>
      <c r="C86" s="252" t="s">
        <v>21</v>
      </c>
      <c r="D86" s="253"/>
      <c r="E86" s="247">
        <f>B95/E85</f>
        <v>2845</v>
      </c>
      <c r="F86" s="247"/>
      <c r="G86" s="44"/>
      <c r="H86" s="41"/>
      <c r="I86" s="44"/>
    </row>
    <row r="87" spans="2:13">
      <c r="B87" s="43"/>
      <c r="C87" s="252" t="s">
        <v>81</v>
      </c>
      <c r="D87" s="253"/>
      <c r="E87" s="248" t="s">
        <v>78</v>
      </c>
      <c r="F87" s="248"/>
      <c r="G87" s="44"/>
      <c r="H87" s="41"/>
      <c r="I87" s="44"/>
    </row>
    <row r="88" spans="2:13" ht="15" thickBot="1">
      <c r="B88" s="43"/>
      <c r="C88" s="254" t="s">
        <v>17</v>
      </c>
      <c r="D88" s="255"/>
      <c r="E88" s="249" t="str">
        <f>IF(E85&lt;=((F25/4)+1),"SIM",IF(E86&gt;(F26*'2. Dados da adm-fin'!J8*1.2),"RISCO","NÃO"))</f>
        <v>SIM</v>
      </c>
      <c r="F88" s="249"/>
      <c r="G88" s="47"/>
      <c r="H88" s="41"/>
      <c r="I88" s="44"/>
    </row>
    <row r="89" spans="2:13" ht="15" thickBot="1">
      <c r="B89" s="43"/>
      <c r="C89" s="84"/>
      <c r="D89" s="84"/>
      <c r="E89" s="84"/>
      <c r="F89" s="84"/>
      <c r="G89" s="41"/>
      <c r="H89" s="41"/>
      <c r="I89" s="44"/>
    </row>
    <row r="90" spans="2:13">
      <c r="B90" s="235" t="s">
        <v>42</v>
      </c>
      <c r="C90" s="236"/>
      <c r="D90" s="236"/>
      <c r="E90" s="236"/>
      <c r="F90" s="236"/>
      <c r="G90" s="236"/>
      <c r="H90" s="236"/>
      <c r="I90" s="237"/>
      <c r="M90" s="50"/>
    </row>
    <row r="91" spans="2:13" ht="15" thickBot="1">
      <c r="B91" s="267"/>
      <c r="C91" s="245"/>
      <c r="D91" s="245"/>
      <c r="E91" s="239"/>
      <c r="F91" s="239"/>
      <c r="G91" s="239"/>
      <c r="H91" s="239"/>
      <c r="I91" s="240"/>
    </row>
    <row r="92" spans="2:13">
      <c r="B92" s="99"/>
      <c r="C92" s="281" t="s">
        <v>43</v>
      </c>
      <c r="D92" s="282"/>
      <c r="E92" s="285">
        <v>0</v>
      </c>
      <c r="F92" s="286"/>
      <c r="G92" s="66"/>
      <c r="H92" s="66"/>
      <c r="I92" s="67"/>
    </row>
    <row r="93" spans="2:13" ht="15" thickBot="1">
      <c r="B93" s="100"/>
      <c r="C93" s="283"/>
      <c r="D93" s="284"/>
      <c r="E93" s="287">
        <f>IF(E92=0,0,IF(E92=0.05,-'2. Dados da adm-fin'!B23*0.05,IF(E92=0.1,-'2. Dados da adm-fin'!B23*0.1,IF(E92=0.15,-'2. Dados da adm-fin'!B23*0.15,""))))</f>
        <v>0</v>
      </c>
      <c r="F93" s="288"/>
      <c r="G93" s="46"/>
      <c r="H93" s="46"/>
      <c r="I93" s="47"/>
    </row>
    <row r="94" spans="2:13" ht="26" thickBot="1">
      <c r="B94" s="243" t="s">
        <v>5</v>
      </c>
      <c r="C94" s="244"/>
      <c r="D94" s="101"/>
      <c r="E94" s="130"/>
      <c r="F94" s="131"/>
      <c r="G94" s="131"/>
      <c r="H94" s="131"/>
      <c r="I94" s="132"/>
    </row>
    <row r="95" spans="2:13" ht="29" thickBot="1">
      <c r="B95" s="241">
        <f>ROUNDDOWN('2. Dados da adm-fin'!B32,-1)</f>
        <v>5690</v>
      </c>
      <c r="C95" s="242"/>
      <c r="D95" s="102"/>
      <c r="E95" s="221" t="s">
        <v>75</v>
      </c>
      <c r="F95" s="222"/>
      <c r="G95" s="222"/>
      <c r="H95" s="222"/>
      <c r="I95" s="223"/>
    </row>
    <row r="108" spans="4:4">
      <c r="D108" s="134"/>
    </row>
    <row r="114" spans="1:5">
      <c r="A114" s="41"/>
      <c r="B114" s="41"/>
      <c r="C114" s="41"/>
      <c r="D114" s="41"/>
      <c r="E114" s="41"/>
    </row>
    <row r="115" spans="1:5">
      <c r="A115" s="41"/>
      <c r="B115" s="41"/>
      <c r="C115" s="41"/>
      <c r="D115" s="41"/>
      <c r="E115" s="41"/>
    </row>
    <row r="116" spans="1:5">
      <c r="A116" s="41"/>
      <c r="B116" s="73"/>
      <c r="C116" s="73"/>
      <c r="D116" s="41"/>
      <c r="E116" s="41"/>
    </row>
    <row r="117" spans="1:5">
      <c r="A117" s="41"/>
      <c r="B117" s="41"/>
      <c r="C117" s="41"/>
      <c r="D117" s="41"/>
      <c r="E117" s="41"/>
    </row>
    <row r="118" spans="1:5">
      <c r="A118" s="41"/>
      <c r="B118" s="41"/>
      <c r="C118" s="41"/>
      <c r="D118" s="41"/>
      <c r="E118" s="41"/>
    </row>
    <row r="119" spans="1:5">
      <c r="A119" s="41"/>
      <c r="B119" s="41"/>
      <c r="C119" s="41"/>
      <c r="D119" s="41"/>
      <c r="E119" s="41"/>
    </row>
    <row r="120" spans="1:5">
      <c r="A120" s="41"/>
      <c r="B120" s="82"/>
      <c r="C120" s="41"/>
      <c r="D120" s="41"/>
      <c r="E120" s="41"/>
    </row>
    <row r="121" spans="1:5">
      <c r="A121" s="41"/>
      <c r="B121" s="82"/>
      <c r="C121" s="41"/>
      <c r="D121" s="41"/>
      <c r="E121" s="41"/>
    </row>
    <row r="122" spans="1:5">
      <c r="A122" s="41"/>
      <c r="B122" s="82"/>
      <c r="C122" s="41"/>
      <c r="D122" s="41"/>
      <c r="E122" s="41"/>
    </row>
    <row r="123" spans="1:5">
      <c r="A123" s="41"/>
      <c r="B123" s="41"/>
      <c r="C123" s="41"/>
      <c r="D123" s="41"/>
      <c r="E123" s="41"/>
    </row>
    <row r="124" spans="1:5">
      <c r="A124" s="41"/>
      <c r="B124" s="41"/>
      <c r="C124" s="41"/>
      <c r="D124" s="41"/>
      <c r="E124" s="41"/>
    </row>
    <row r="125" spans="1:5">
      <c r="A125" s="41"/>
      <c r="B125" s="41"/>
      <c r="C125" s="41"/>
      <c r="D125" s="41"/>
      <c r="E125" s="41"/>
    </row>
    <row r="126" spans="1:5">
      <c r="A126" s="41"/>
      <c r="B126" s="41"/>
      <c r="C126" s="41"/>
      <c r="D126" s="41"/>
      <c r="E126" s="41"/>
    </row>
  </sheetData>
  <sheetProtection formatCells="0" formatColumns="0" formatRows="0" insertColumns="0" insertRows="0" insertHyperlinks="0" deleteColumns="0" deleteRows="0" sort="0" pivotTables="0"/>
  <mergeCells count="97">
    <mergeCell ref="B32:C39"/>
    <mergeCell ref="F32:G32"/>
    <mergeCell ref="F33:I39"/>
    <mergeCell ref="B40:I41"/>
    <mergeCell ref="B81:I82"/>
    <mergeCell ref="C80:D80"/>
    <mergeCell ref="C77:D77"/>
    <mergeCell ref="C78:D78"/>
    <mergeCell ref="C79:D79"/>
    <mergeCell ref="E78:G78"/>
    <mergeCell ref="E77:G77"/>
    <mergeCell ref="E79:G79"/>
    <mergeCell ref="E80:G80"/>
    <mergeCell ref="C72:D72"/>
    <mergeCell ref="E72:F72"/>
    <mergeCell ref="C76:D76"/>
    <mergeCell ref="K64:M64"/>
    <mergeCell ref="N64:O64"/>
    <mergeCell ref="K65:M65"/>
    <mergeCell ref="N65:O65"/>
    <mergeCell ref="K63:M63"/>
    <mergeCell ref="N63:O63"/>
    <mergeCell ref="K60:O60"/>
    <mergeCell ref="K61:M61"/>
    <mergeCell ref="N61:O61"/>
    <mergeCell ref="K62:M62"/>
    <mergeCell ref="N62:O62"/>
    <mergeCell ref="D25:E25"/>
    <mergeCell ref="F25:G25"/>
    <mergeCell ref="F26:G26"/>
    <mergeCell ref="B69:I70"/>
    <mergeCell ref="C44:E44"/>
    <mergeCell ref="B42:I43"/>
    <mergeCell ref="C49:E49"/>
    <mergeCell ref="C50:E50"/>
    <mergeCell ref="C51:E51"/>
    <mergeCell ref="C52:E52"/>
    <mergeCell ref="C62:D62"/>
    <mergeCell ref="C63:D63"/>
    <mergeCell ref="C54:E54"/>
    <mergeCell ref="B57:I58"/>
    <mergeCell ref="B28:I29"/>
    <mergeCell ref="B30:I31"/>
    <mergeCell ref="C71:D71"/>
    <mergeCell ref="C46:E46"/>
    <mergeCell ref="C47:E47"/>
    <mergeCell ref="C48:E48"/>
    <mergeCell ref="C60:G60"/>
    <mergeCell ref="C61:D61"/>
    <mergeCell ref="C45:E45"/>
    <mergeCell ref="C92:D93"/>
    <mergeCell ref="B90:I91"/>
    <mergeCell ref="E92:F92"/>
    <mergeCell ref="E93:F93"/>
    <mergeCell ref="C53:E53"/>
    <mergeCell ref="B67:I68"/>
    <mergeCell ref="B74:I75"/>
    <mergeCell ref="C64:D64"/>
    <mergeCell ref="C65:D65"/>
    <mergeCell ref="E61:G61"/>
    <mergeCell ref="E62:G62"/>
    <mergeCell ref="E63:G63"/>
    <mergeCell ref="E64:G64"/>
    <mergeCell ref="E65:G65"/>
    <mergeCell ref="E76:G76"/>
    <mergeCell ref="C87:D87"/>
    <mergeCell ref="C88:D88"/>
    <mergeCell ref="B1:I4"/>
    <mergeCell ref="C7:G7"/>
    <mergeCell ref="C12:E12"/>
    <mergeCell ref="C8:E8"/>
    <mergeCell ref="C9:E9"/>
    <mergeCell ref="C10:E10"/>
    <mergeCell ref="B6:I6"/>
    <mergeCell ref="C11:E11"/>
    <mergeCell ref="F8:G8"/>
    <mergeCell ref="F9:G9"/>
    <mergeCell ref="F10:G10"/>
    <mergeCell ref="F11:G11"/>
    <mergeCell ref="B13:I14"/>
    <mergeCell ref="D24:G24"/>
    <mergeCell ref="D26:E26"/>
    <mergeCell ref="H32:I32"/>
    <mergeCell ref="E95:I95"/>
    <mergeCell ref="R15:X16"/>
    <mergeCell ref="F12:G12"/>
    <mergeCell ref="B15:I15"/>
    <mergeCell ref="D16:G17"/>
    <mergeCell ref="B95:C95"/>
    <mergeCell ref="B94:C94"/>
    <mergeCell ref="B83:I84"/>
    <mergeCell ref="E85:F85"/>
    <mergeCell ref="E86:F86"/>
    <mergeCell ref="E87:F87"/>
    <mergeCell ref="E88:F88"/>
    <mergeCell ref="C85:D85"/>
    <mergeCell ref="C86:D86"/>
  </mergeCells>
  <conditionalFormatting sqref="E88">
    <cfRule type="colorScale" priority="18">
      <colorScale>
        <cfvo type="formula" val="$E$88=&quot;NÃO&quot;"/>
        <cfvo type="formula" val="$E$88=&quot;RISCO&quot;"/>
        <cfvo type="formula" val="$E$88=&quot;SIM&quot;"/>
        <color rgb="FFFF0000"/>
        <color rgb="FFFFFF00"/>
        <color rgb="FF00B050"/>
      </colorScale>
    </cfRule>
  </conditionalFormatting>
  <conditionalFormatting sqref="X17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85">
    <cfRule type="colorScale" priority="8">
      <colorScale>
        <cfvo type="percent" val="$K$85=Sim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92">
    <cfRule type="colorScale" priority="2">
      <colorScale>
        <cfvo type="num" val="$S$23"/>
        <cfvo type="num" val="$S$23"/>
        <cfvo type="num" val="$S$25"/>
        <color rgb="FF00B050"/>
        <color rgb="FFFFFF00"/>
        <color rgb="FFFF0000"/>
      </colorScale>
    </cfRule>
  </conditionalFormatting>
  <conditionalFormatting sqref="N26:N41">
    <cfRule type="colorScale" priority="20">
      <colorScale>
        <cfvo type="formula" val="#REF!=&quot;SIM&quot;"/>
        <cfvo type="percentile" val="50"/>
        <cfvo type="max"/>
        <color rgb="FFF8696B"/>
        <color rgb="FFFFEB84"/>
        <color rgb="FF63BE7B"/>
      </colorScale>
    </cfRule>
  </conditionalFormatting>
  <dataValidations count="13">
    <dataValidation type="list" allowBlank="1" showInputMessage="1" showErrorMessage="1" sqref="S22">
      <formula1>$B$122:$B$124</formula1>
    </dataValidation>
    <dataValidation type="list" allowBlank="1" showInputMessage="1" showErrorMessage="1" sqref="C22:H22">
      <formula1>$R$27:$R$31</formula1>
    </dataValidation>
    <dataValidation type="list" allowBlank="1" showInputMessage="1" showErrorMessage="1" sqref="C21:H21">
      <formula1>$T$22:$T$24</formula1>
    </dataValidation>
    <dataValidation type="list" allowBlank="1" showInputMessage="1" showErrorMessage="1" sqref="E92">
      <formula1>$S$22:$S$25</formula1>
    </dataValidation>
    <dataValidation type="list" allowBlank="1" showInputMessage="1" showErrorMessage="1" sqref="E85:F85">
      <formula1>$X$20:$X$39</formula1>
    </dataValidation>
    <dataValidation type="list" allowBlank="1" showInputMessage="1" showErrorMessage="1" sqref="E87:F87">
      <formula1>$R$24:$R$39</formula1>
    </dataValidation>
    <dataValidation type="list" allowBlank="1" showInputMessage="1" showErrorMessage="1" sqref="E32">
      <formula1>$Z$16:$Z$24</formula1>
    </dataValidation>
    <dataValidation type="list" allowBlank="1" showInputMessage="1" showErrorMessage="1" sqref="E33 E38">
      <formula1>$AB$17:$AB$19</formula1>
    </dataValidation>
    <dataValidation type="list" allowBlank="1" showInputMessage="1" showErrorMessage="1" sqref="E34:E35">
      <formula1>$AB$16:$AB$19</formula1>
    </dataValidation>
    <dataValidation type="list" allowBlank="1" showInputMessage="1" showErrorMessage="1" sqref="E36">
      <formula1>$AB$20:$AB$22</formula1>
    </dataValidation>
    <dataValidation type="list" allowBlank="1" showInputMessage="1" showErrorMessage="1" sqref="E37">
      <formula1>$AB$23:$AB$26</formula1>
    </dataValidation>
    <dataValidation type="list" allowBlank="1" showInputMessage="1" showErrorMessage="1" sqref="E39">
      <formula1>$AB$27:$AB$29</formula1>
    </dataValidation>
    <dataValidation type="list" allowBlank="1" showInputMessage="1" showErrorMessage="1" sqref="F32:G32">
      <formula1>IF(AND($E$32&lt;&gt;"SAG",$E$32&lt;&gt;"PCP",$E$32&lt;&gt;"PE",$E$32&lt;&gt;"MP"),$ZZ$20,IF($E$32="PCP",$AC$16:$AC$17,IF($E$32="MP",$AC$22:$AC$23,IF($E$32="PE",$AC$18:$AC$19,$AC$20:$AC$21))))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Esconder!$B$4:$B$6</xm:f>
          </x14:formula1>
          <xm:sqref>E33 E38</xm:sqref>
        </x14:dataValidation>
        <x14:dataValidation type="list" allowBlank="1" showInputMessage="1" showErrorMessage="1">
          <x14:formula1>
            <xm:f>Esconder!$B$3:$B$6</xm:f>
          </x14:formula1>
          <xm:sqref>E34:E35</xm:sqref>
        </x14:dataValidation>
        <x14:dataValidation type="list" showInputMessage="1" showErrorMessage="1">
          <x14:formula1>
            <xm:f>Esconder!$R$3:$R$11</xm:f>
          </x14:formula1>
          <xm:sqref>E32</xm:sqref>
        </x14:dataValidation>
        <x14:dataValidation type="list" allowBlank="1" showInputMessage="1" showErrorMessage="1">
          <x14:formula1>
            <xm:f>Esconder!$B$14:$B$16</xm:f>
          </x14:formula1>
          <xm:sqref>E39</xm:sqref>
        </x14:dataValidation>
        <x14:dataValidation type="list" allowBlank="1" showInputMessage="1" showErrorMessage="1">
          <x14:formula1>
            <xm:f>Esconder!$B$10:$B$13</xm:f>
          </x14:formula1>
          <xm:sqref>E37</xm:sqref>
        </x14:dataValidation>
        <x14:dataValidation type="list" allowBlank="1" showInputMessage="1" showErrorMessage="1">
          <x14:formula1>
            <xm:f>Esconder!$B$7:$B$9</xm:f>
          </x14:formula1>
          <xm:sqref>E36</xm:sqref>
        </x14:dataValidation>
        <x14:dataValidation type="list" allowBlank="1" showInputMessage="1" showErrorMessage="1">
          <x14:formula1>
            <xm:f>IF(AND($E$32&lt;&gt;"SAG",$E$32&lt;&gt;"PCP",$E$32&lt;&gt;"PE",$E$32&lt;&gt;"MP"),Esconder!$O$20,IF($E$32="PCP",Esconder!$M$4:$M$5,IF($E$32="MP",Esconder!$M$13:$M$14,IF($E$32="PE",Esconder!$M$6:$M$7,Esconder!$M$11:$M$12))))</xm:f>
          </x14:formula1>
          <xm:sqref>F32:G32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 enableFormatConditionsCalculation="0">
    <tabColor theme="9" tint="-0.249977111117893"/>
  </sheetPr>
  <dimension ref="A1:M35"/>
  <sheetViews>
    <sheetView tabSelected="1" topLeftCell="A9" workbookViewId="0">
      <selection activeCell="B35" sqref="B35"/>
    </sheetView>
  </sheetViews>
  <sheetFormatPr baseColWidth="10" defaultColWidth="8.83203125" defaultRowHeight="14" x14ac:dyDescent="0"/>
  <cols>
    <col min="1" max="1" width="20.5" style="6" customWidth="1"/>
    <col min="2" max="2" width="15.5" style="6" customWidth="1"/>
    <col min="3" max="3" width="16.6640625" style="6" customWidth="1"/>
    <col min="4" max="8" width="16.5" style="6" customWidth="1"/>
    <col min="9" max="9" width="16.1640625" style="6" customWidth="1"/>
    <col min="10" max="10" width="12.1640625" style="6" bestFit="1" customWidth="1"/>
    <col min="11" max="11" width="8.83203125" style="6"/>
    <col min="12" max="12" width="10.5" style="6" bestFit="1" customWidth="1"/>
    <col min="13" max="16384" width="8.83203125" style="6"/>
  </cols>
  <sheetData>
    <row r="1" spans="1:13" ht="15" thickBot="1"/>
    <row r="2" spans="1:13" ht="18">
      <c r="A2" s="337" t="s">
        <v>30</v>
      </c>
      <c r="B2" s="338"/>
      <c r="C2" s="338"/>
      <c r="D2" s="338"/>
      <c r="E2" s="338"/>
      <c r="F2" s="338"/>
      <c r="G2" s="338"/>
      <c r="H2" s="338"/>
      <c r="I2" s="338"/>
      <c r="J2" s="119"/>
    </row>
    <row r="3" spans="1:13">
      <c r="A3" s="120" t="s">
        <v>23</v>
      </c>
      <c r="B3" s="22"/>
      <c r="C3" s="8"/>
      <c r="D3" s="14" t="s">
        <v>24</v>
      </c>
      <c r="E3" s="8"/>
      <c r="F3" s="8"/>
      <c r="G3" s="92"/>
      <c r="H3" s="8"/>
      <c r="I3" s="8"/>
      <c r="J3" s="1"/>
    </row>
    <row r="4" spans="1:13">
      <c r="A4" s="121" t="s">
        <v>11</v>
      </c>
      <c r="B4" s="57">
        <f>PRECIFICAÇÃO!F25</f>
        <v>8</v>
      </c>
      <c r="C4" s="8"/>
      <c r="D4" s="9" t="s">
        <v>24</v>
      </c>
      <c r="E4" s="4">
        <v>3.2</v>
      </c>
      <c r="F4" s="4">
        <f>E4*20</f>
        <v>64</v>
      </c>
      <c r="G4" s="8"/>
      <c r="H4" s="4"/>
      <c r="I4" s="7"/>
      <c r="J4" s="1"/>
      <c r="L4" s="25"/>
    </row>
    <row r="5" spans="1:13">
      <c r="A5" s="121" t="s">
        <v>57</v>
      </c>
      <c r="B5" s="56">
        <f>PRECIFICAÇÃO!S20*B4</f>
        <v>2100</v>
      </c>
      <c r="C5" s="8"/>
      <c r="D5" s="9"/>
      <c r="E5" s="4"/>
      <c r="F5" s="4"/>
      <c r="G5" s="8"/>
      <c r="H5" s="4"/>
      <c r="I5" s="7"/>
      <c r="J5" s="1"/>
      <c r="M5" s="6" t="s">
        <v>35</v>
      </c>
    </row>
    <row r="6" spans="1:13">
      <c r="A6" s="121" t="s">
        <v>69</v>
      </c>
      <c r="B6" s="56">
        <f>PRECIFICAÇÃO!G72</f>
        <v>50</v>
      </c>
      <c r="C6" s="8"/>
      <c r="D6" s="133" t="s">
        <v>25</v>
      </c>
      <c r="E6" s="11"/>
      <c r="F6" s="11"/>
      <c r="G6" s="11"/>
      <c r="H6" s="11"/>
      <c r="I6" s="11"/>
      <c r="J6" s="122"/>
    </row>
    <row r="7" spans="1:13">
      <c r="A7" s="121" t="s">
        <v>4</v>
      </c>
      <c r="B7" s="23">
        <f>PRECIFICAÇÃO!F12+PRECIFICAÇÃO!E65+PRECIFICAÇÃO!E80</f>
        <v>28.800000000000004</v>
      </c>
      <c r="C7" s="8"/>
      <c r="D7" s="89" t="str">
        <f>PRECIFICAÇÃO!C18</f>
        <v>Nome do Consultor 1</v>
      </c>
      <c r="E7" s="115" t="str">
        <f>PRECIFICAÇÃO!D18</f>
        <v>Nome do Consultor 2</v>
      </c>
      <c r="F7" s="115" t="str">
        <f>PRECIFICAÇÃO!E18</f>
        <v>Nome do Consultor 3</v>
      </c>
      <c r="G7" s="115" t="str">
        <f>PRECIFICAÇÃO!F18</f>
        <v>Nome do Consultor 4</v>
      </c>
      <c r="H7" s="117" t="str">
        <f>PRECIFICAÇÃO!G18</f>
        <v>Consultor 5</v>
      </c>
      <c r="I7" s="115" t="str">
        <f>PRECIFICAÇÃO!H18</f>
        <v>Consultor 6</v>
      </c>
      <c r="J7" s="1" t="s">
        <v>9</v>
      </c>
    </row>
    <row r="8" spans="1:13">
      <c r="A8" s="121" t="s">
        <v>36</v>
      </c>
      <c r="B8" s="56">
        <f>PRECIFICAÇÃO!H54</f>
        <v>145.4</v>
      </c>
      <c r="C8" s="5" t="s">
        <v>70</v>
      </c>
      <c r="D8" s="90">
        <f>PRECIFICAÇÃO!R18</f>
        <v>300</v>
      </c>
      <c r="E8" s="90">
        <f>PRECIFICAÇÃO!S18</f>
        <v>500</v>
      </c>
      <c r="F8" s="90">
        <f>PRECIFICAÇÃO!T18</f>
        <v>250</v>
      </c>
      <c r="G8" s="90">
        <f>PRECIFICAÇÃO!U18</f>
        <v>0</v>
      </c>
      <c r="H8" s="93">
        <f>PRECIFICAÇÃO!V18</f>
        <v>0</v>
      </c>
      <c r="I8" s="90">
        <f>PRECIFICAÇÃO!W18</f>
        <v>0</v>
      </c>
      <c r="J8" s="123">
        <f>SUM(D8:I8)</f>
        <v>1050</v>
      </c>
      <c r="L8" s="21"/>
    </row>
    <row r="9" spans="1:13">
      <c r="A9" s="121"/>
      <c r="B9" s="23"/>
      <c r="C9" s="5" t="s">
        <v>71</v>
      </c>
      <c r="D9" s="91">
        <f>IF(PRECIFICAÇÃO!R19="","",PRECIFICAÇÃO!R19*$B$4)</f>
        <v>600</v>
      </c>
      <c r="E9" s="90">
        <f>IF(PRECIFICAÇÃO!S19="","",PRECIFICAÇÃO!S19*$B$4)</f>
        <v>1000</v>
      </c>
      <c r="F9" s="90">
        <f>IF(PRECIFICAÇÃO!T19="","",PRECIFICAÇÃO!T19*$B$4)</f>
        <v>500</v>
      </c>
      <c r="G9" s="90">
        <f>IF(PRECIFICAÇÃO!U19="","",PRECIFICAÇÃO!U19*$B$4)</f>
        <v>0</v>
      </c>
      <c r="H9" s="93">
        <f>IF(PRECIFICAÇÃO!V19="","",PRECIFICAÇÃO!V19*$B$4)</f>
        <v>0</v>
      </c>
      <c r="I9" s="90">
        <f>IF(PRECIFICAÇÃO!W19="","",PRECIFICAÇÃO!W19*$B$4)</f>
        <v>0</v>
      </c>
      <c r="J9" s="1"/>
    </row>
    <row r="10" spans="1:13">
      <c r="A10" s="124"/>
      <c r="B10" s="24"/>
      <c r="C10" s="118" t="s">
        <v>72</v>
      </c>
      <c r="D10" s="90">
        <f>SUM(D9:I9)</f>
        <v>2100</v>
      </c>
      <c r="E10" s="94"/>
      <c r="F10" s="94"/>
      <c r="G10" s="94"/>
      <c r="H10" s="94"/>
      <c r="I10" s="116"/>
      <c r="J10" s="122"/>
    </row>
    <row r="11" spans="1:13">
      <c r="A11" s="124" t="s">
        <v>43</v>
      </c>
      <c r="B11" s="88">
        <f>PRECIFICAÇÃO!E92</f>
        <v>0</v>
      </c>
      <c r="C11" s="9"/>
      <c r="D11" s="7"/>
      <c r="E11" s="7"/>
      <c r="F11" s="8"/>
      <c r="G11" s="8"/>
      <c r="H11" s="8"/>
      <c r="I11" s="8"/>
      <c r="J11" s="1"/>
    </row>
    <row r="12" spans="1:13" ht="15" thickBot="1">
      <c r="A12" s="125"/>
      <c r="B12" s="126"/>
      <c r="C12" s="2"/>
      <c r="D12" s="2"/>
      <c r="E12" s="2"/>
      <c r="F12" s="2"/>
      <c r="G12" s="2"/>
      <c r="H12" s="2"/>
      <c r="I12" s="2"/>
      <c r="J12" s="3"/>
    </row>
    <row r="13" spans="1:13" ht="18">
      <c r="A13" s="334" t="s">
        <v>34</v>
      </c>
      <c r="B13" s="335"/>
      <c r="C13" s="336"/>
      <c r="D13" s="8"/>
      <c r="E13" s="8"/>
      <c r="F13" s="8"/>
      <c r="G13" s="8"/>
      <c r="H13" s="8"/>
    </row>
    <row r="14" spans="1:13">
      <c r="A14" s="12" t="s">
        <v>26</v>
      </c>
      <c r="B14" s="13"/>
      <c r="C14" s="16" t="s">
        <v>33</v>
      </c>
    </row>
    <row r="15" spans="1:13">
      <c r="A15" s="9" t="s">
        <v>27</v>
      </c>
      <c r="B15" s="4">
        <f>20*B4*E4</f>
        <v>512</v>
      </c>
      <c r="C15" s="17">
        <f>B15/$B$19</f>
        <v>8.9855404219602461E-2</v>
      </c>
    </row>
    <row r="16" spans="1:13">
      <c r="A16" s="9" t="s">
        <v>25</v>
      </c>
      <c r="B16" s="7">
        <f>B5+B6</f>
        <v>2150</v>
      </c>
      <c r="C16" s="17">
        <f>B16/$B$19</f>
        <v>0.37732249818778379</v>
      </c>
    </row>
    <row r="17" spans="1:8">
      <c r="A17" s="9" t="s">
        <v>28</v>
      </c>
      <c r="B17" s="7">
        <f>B8+B7</f>
        <v>174.20000000000002</v>
      </c>
      <c r="C17" s="17">
        <f>B17/$B$19</f>
        <v>3.0571897295028811E-2</v>
      </c>
    </row>
    <row r="18" spans="1:8">
      <c r="A18" s="6" t="s">
        <v>41</v>
      </c>
      <c r="B18" s="26">
        <f>SUM(B15:B17)</f>
        <v>2836.2</v>
      </c>
      <c r="C18" s="29">
        <v>1</v>
      </c>
    </row>
    <row r="19" spans="1:8">
      <c r="A19" s="9" t="s">
        <v>122</v>
      </c>
      <c r="B19" s="4">
        <f>IF((SUM(Esconder!F19:F26))&gt;0.25,B18/(1-SUM(Esconder!F19:F26)),B18/(1-0.25))+560</f>
        <v>5698.0434782608691</v>
      </c>
      <c r="C19" s="17">
        <f>SUM(Esconder!F19:F26)</f>
        <v>0.44800000000000001</v>
      </c>
    </row>
    <row r="20" spans="1:8">
      <c r="A20" s="9"/>
      <c r="C20" s="17"/>
    </row>
    <row r="21" spans="1:8">
      <c r="A21" s="9"/>
      <c r="B21" s="8"/>
      <c r="C21" s="20"/>
    </row>
    <row r="22" spans="1:8">
      <c r="A22" s="14" t="s">
        <v>22</v>
      </c>
      <c r="B22" s="8"/>
      <c r="C22" s="18" t="s">
        <v>33</v>
      </c>
    </row>
    <row r="23" spans="1:8">
      <c r="A23" s="9" t="s">
        <v>31</v>
      </c>
      <c r="B23" s="7">
        <f>B19</f>
        <v>5698.0434782608691</v>
      </c>
      <c r="C23" s="17">
        <f>B23/$B$23</f>
        <v>1</v>
      </c>
    </row>
    <row r="24" spans="1:8">
      <c r="A24" s="9" t="s">
        <v>32</v>
      </c>
      <c r="B24" s="7">
        <f>B16</f>
        <v>2150</v>
      </c>
      <c r="C24" s="17">
        <f>B24/$B$23</f>
        <v>0.37732249818778379</v>
      </c>
    </row>
    <row r="25" spans="1:8">
      <c r="A25" s="9" t="s">
        <v>38</v>
      </c>
      <c r="B25" s="7">
        <f>B17</f>
        <v>174.20000000000002</v>
      </c>
      <c r="C25" s="17">
        <f>B25/$B$23</f>
        <v>3.0571897295028811E-2</v>
      </c>
    </row>
    <row r="26" spans="1:8">
      <c r="A26" s="9" t="s">
        <v>37</v>
      </c>
      <c r="B26" s="7">
        <f>B23-B24-B25</f>
        <v>3373.8434782608692</v>
      </c>
      <c r="C26" s="17">
        <f>B26/$B$23</f>
        <v>0.59210560451718741</v>
      </c>
    </row>
    <row r="27" spans="1:8">
      <c r="A27" s="9" t="s">
        <v>39</v>
      </c>
      <c r="B27" s="7">
        <f>B15</f>
        <v>512</v>
      </c>
      <c r="C27" s="17">
        <f>B27/$B$23</f>
        <v>8.9855404219602461E-2</v>
      </c>
    </row>
    <row r="28" spans="1:8">
      <c r="A28" s="10" t="s">
        <v>45</v>
      </c>
      <c r="B28" s="15">
        <f>B26-B27</f>
        <v>2861.8434782608692</v>
      </c>
      <c r="C28" s="19">
        <f>B28/B19</f>
        <v>0.50225020029758494</v>
      </c>
      <c r="D28" s="6">
        <f>B18/0.7</f>
        <v>4051.7142857142858</v>
      </c>
      <c r="F28" s="28"/>
      <c r="G28" s="28"/>
      <c r="H28" s="25"/>
    </row>
    <row r="29" spans="1:8">
      <c r="A29" s="9" t="s">
        <v>44</v>
      </c>
      <c r="B29" s="4">
        <f>IF(B11=5%,B23*B11,IF(B11=10%,B23*B11,IF(B11=15%,B23*B11,0)))</f>
        <v>0</v>
      </c>
      <c r="C29" s="17">
        <f>B29/B23</f>
        <v>0</v>
      </c>
      <c r="F29" s="28"/>
      <c r="G29" s="28"/>
      <c r="H29" s="25"/>
    </row>
    <row r="30" spans="1:8">
      <c r="A30" s="9" t="s">
        <v>46</v>
      </c>
      <c r="B30" s="4">
        <f>B28-B29</f>
        <v>2861.8434782608692</v>
      </c>
      <c r="C30" s="17">
        <f>B30/B19</f>
        <v>0.50225020029758494</v>
      </c>
      <c r="F30" s="28"/>
      <c r="G30" s="28"/>
      <c r="H30" s="25"/>
    </row>
    <row r="31" spans="1:8">
      <c r="A31" s="30"/>
      <c r="B31" s="31"/>
      <c r="C31" s="32"/>
      <c r="F31" s="28"/>
      <c r="G31" s="28"/>
      <c r="H31" s="25"/>
    </row>
    <row r="32" spans="1:8">
      <c r="A32" s="33" t="s">
        <v>40</v>
      </c>
      <c r="B32" s="34">
        <f>B23-B29</f>
        <v>5698.0434782608691</v>
      </c>
      <c r="C32" s="35"/>
      <c r="D32" s="25"/>
      <c r="E32" s="25"/>
      <c r="F32" s="25"/>
      <c r="G32" s="25"/>
      <c r="H32" s="25"/>
    </row>
    <row r="33" spans="1:8">
      <c r="A33" s="36"/>
      <c r="B33" s="37"/>
      <c r="C33" s="38"/>
      <c r="F33" s="27"/>
      <c r="G33" s="25"/>
      <c r="H33" s="25"/>
    </row>
    <row r="34" spans="1:8">
      <c r="B34" s="6" t="s">
        <v>167</v>
      </c>
    </row>
    <row r="35" spans="1:8">
      <c r="B35" s="359">
        <v>5220</v>
      </c>
    </row>
  </sheetData>
  <mergeCells count="2">
    <mergeCell ref="A13:C13"/>
    <mergeCell ref="A2:I2"/>
  </mergeCells>
  <conditionalFormatting sqref="C26">
    <cfRule type="expression" dxfId="0" priority="1">
      <formula>$C$26&gt;0.55</formula>
    </cfRule>
    <cfRule type="iconSet" priority="2">
      <iconSet iconSet="3Symbols">
        <cfvo type="percent" val="0"/>
        <cfvo type="num" val="0.35"/>
        <cfvo type="num" val="0.4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showGridLines="0" workbookViewId="0">
      <selection sqref="A1:XFD1048576"/>
    </sheetView>
  </sheetViews>
  <sheetFormatPr baseColWidth="10" defaultColWidth="8.83203125" defaultRowHeight="14" x14ac:dyDescent="0"/>
  <cols>
    <col min="1" max="1" width="0.5" customWidth="1"/>
    <col min="2" max="2" width="33" bestFit="1" customWidth="1"/>
    <col min="3" max="3" width="25" bestFit="1" customWidth="1"/>
    <col min="4" max="4" width="14.1640625" bestFit="1" customWidth="1"/>
    <col min="5" max="5" width="9.33203125" bestFit="1" customWidth="1"/>
    <col min="6" max="6" width="5.6640625" bestFit="1" customWidth="1"/>
    <col min="7" max="7" width="10.5" bestFit="1" customWidth="1"/>
    <col min="8" max="8" width="9.83203125" bestFit="1" customWidth="1"/>
    <col min="9" max="9" width="7.6640625" customWidth="1"/>
    <col min="10" max="10" width="9" bestFit="1" customWidth="1"/>
    <col min="11" max="11" width="0.6640625" customWidth="1"/>
    <col min="12" max="12" width="8.83203125" customWidth="1"/>
    <col min="13" max="13" width="14.83203125" customWidth="1"/>
    <col min="14" max="15" width="24.5" bestFit="1" customWidth="1"/>
    <col min="17" max="17" width="13.6640625" bestFit="1" customWidth="1"/>
  </cols>
  <sheetData>
    <row r="1" spans="2:18" ht="5.25" customHeight="1" thickBot="1"/>
    <row r="2" spans="2:18">
      <c r="B2" s="176"/>
      <c r="C2" s="177" t="s">
        <v>83</v>
      </c>
      <c r="D2" s="177" t="s">
        <v>85</v>
      </c>
      <c r="E2" s="177" t="s">
        <v>104</v>
      </c>
      <c r="F2" s="177" t="s">
        <v>103</v>
      </c>
      <c r="G2" s="177" t="s">
        <v>89</v>
      </c>
      <c r="H2" s="177" t="s">
        <v>25</v>
      </c>
      <c r="I2" s="177" t="s">
        <v>92</v>
      </c>
      <c r="J2" s="178" t="s">
        <v>94</v>
      </c>
      <c r="L2" s="339"/>
      <c r="M2" s="340"/>
      <c r="N2" s="178" t="s">
        <v>105</v>
      </c>
    </row>
    <row r="3" spans="2:18">
      <c r="B3" s="175" t="s">
        <v>86</v>
      </c>
      <c r="C3" s="173" t="s">
        <v>96</v>
      </c>
      <c r="D3" s="174">
        <v>1</v>
      </c>
      <c r="E3" s="173">
        <v>1.2</v>
      </c>
      <c r="F3" s="174" t="s">
        <v>96</v>
      </c>
      <c r="G3" s="173">
        <v>1</v>
      </c>
      <c r="H3" s="174" t="s">
        <v>96</v>
      </c>
      <c r="I3" s="173" t="s">
        <v>96</v>
      </c>
      <c r="J3" s="172" t="s">
        <v>96</v>
      </c>
      <c r="L3" s="179" t="s">
        <v>108</v>
      </c>
      <c r="M3" s="180"/>
      <c r="N3" s="181">
        <v>1</v>
      </c>
      <c r="R3" t="s">
        <v>108</v>
      </c>
    </row>
    <row r="4" spans="2:18">
      <c r="B4" s="171" t="s">
        <v>93</v>
      </c>
      <c r="C4" s="169">
        <v>0</v>
      </c>
      <c r="D4" s="170">
        <v>0.8</v>
      </c>
      <c r="E4" s="169">
        <v>1</v>
      </c>
      <c r="F4" s="170" t="s">
        <v>96</v>
      </c>
      <c r="G4" s="169">
        <v>0.8</v>
      </c>
      <c r="H4" s="170" t="s">
        <v>96</v>
      </c>
      <c r="I4" s="169">
        <v>1</v>
      </c>
      <c r="J4" s="168" t="s">
        <v>96</v>
      </c>
      <c r="L4" s="341" t="s">
        <v>109</v>
      </c>
      <c r="M4" s="182" t="s">
        <v>110</v>
      </c>
      <c r="N4" s="181">
        <v>0.8</v>
      </c>
      <c r="R4" t="s">
        <v>109</v>
      </c>
    </row>
    <row r="5" spans="2:18">
      <c r="B5" s="171" t="s">
        <v>102</v>
      </c>
      <c r="C5" s="169">
        <v>0.6</v>
      </c>
      <c r="D5" s="170">
        <v>0.6</v>
      </c>
      <c r="E5" s="169">
        <v>0.6</v>
      </c>
      <c r="F5" s="170" t="s">
        <v>96</v>
      </c>
      <c r="G5" s="169">
        <v>0.6</v>
      </c>
      <c r="H5" s="170" t="s">
        <v>96</v>
      </c>
      <c r="I5" s="169">
        <v>0.6</v>
      </c>
      <c r="J5" s="168" t="s">
        <v>96</v>
      </c>
      <c r="L5" s="342"/>
      <c r="M5" s="182" t="s">
        <v>111</v>
      </c>
      <c r="N5" s="181">
        <v>0.6</v>
      </c>
      <c r="R5" t="s">
        <v>112</v>
      </c>
    </row>
    <row r="6" spans="2:18">
      <c r="B6" s="171" t="s">
        <v>84</v>
      </c>
      <c r="C6" s="169">
        <v>1</v>
      </c>
      <c r="D6" s="170">
        <v>0</v>
      </c>
      <c r="E6" s="169">
        <v>0</v>
      </c>
      <c r="F6" s="170" t="s">
        <v>96</v>
      </c>
      <c r="G6" s="169">
        <v>0</v>
      </c>
      <c r="H6" s="170" t="s">
        <v>96</v>
      </c>
      <c r="I6" s="169">
        <v>0</v>
      </c>
      <c r="J6" s="168" t="s">
        <v>96</v>
      </c>
      <c r="L6" s="343" t="s">
        <v>112</v>
      </c>
      <c r="M6" s="183" t="s">
        <v>113</v>
      </c>
      <c r="N6" s="181">
        <v>0.8</v>
      </c>
      <c r="R6" t="s">
        <v>114</v>
      </c>
    </row>
    <row r="7" spans="2:18">
      <c r="B7" s="171" t="s">
        <v>88</v>
      </c>
      <c r="C7" s="169" t="s">
        <v>96</v>
      </c>
      <c r="D7" s="170" t="s">
        <v>96</v>
      </c>
      <c r="E7" s="169" t="s">
        <v>96</v>
      </c>
      <c r="F7" s="170">
        <v>1</v>
      </c>
      <c r="G7" s="169" t="s">
        <v>96</v>
      </c>
      <c r="H7" s="170" t="s">
        <v>96</v>
      </c>
      <c r="I7" s="169" t="s">
        <v>96</v>
      </c>
      <c r="J7" s="168" t="s">
        <v>96</v>
      </c>
      <c r="L7" s="343"/>
      <c r="M7" s="183" t="s">
        <v>115</v>
      </c>
      <c r="N7" s="181">
        <v>0.6</v>
      </c>
      <c r="R7" t="s">
        <v>94</v>
      </c>
    </row>
    <row r="8" spans="2:18">
      <c r="B8" s="171" t="s">
        <v>124</v>
      </c>
      <c r="C8" s="169" t="s">
        <v>96</v>
      </c>
      <c r="D8" s="170" t="s">
        <v>96</v>
      </c>
      <c r="E8" s="169" t="s">
        <v>96</v>
      </c>
      <c r="F8" s="170">
        <v>0.4</v>
      </c>
      <c r="G8" s="169" t="s">
        <v>96</v>
      </c>
      <c r="H8" s="170" t="s">
        <v>96</v>
      </c>
      <c r="I8" s="169" t="s">
        <v>96</v>
      </c>
      <c r="J8" s="168" t="s">
        <v>96</v>
      </c>
      <c r="L8" s="179" t="s">
        <v>114</v>
      </c>
      <c r="M8" s="180"/>
      <c r="N8" s="181">
        <v>0.6</v>
      </c>
      <c r="R8" t="s">
        <v>116</v>
      </c>
    </row>
    <row r="9" spans="2:18">
      <c r="B9" s="171" t="s">
        <v>125</v>
      </c>
      <c r="C9" s="169" t="s">
        <v>96</v>
      </c>
      <c r="D9" s="170" t="s">
        <v>96</v>
      </c>
      <c r="E9" s="169" t="s">
        <v>96</v>
      </c>
      <c r="F9" s="170">
        <v>0</v>
      </c>
      <c r="G9" s="169" t="s">
        <v>96</v>
      </c>
      <c r="H9" s="170" t="s">
        <v>96</v>
      </c>
      <c r="I9" s="169" t="s">
        <v>96</v>
      </c>
      <c r="J9" s="168" t="s">
        <v>96</v>
      </c>
      <c r="L9" s="179" t="s">
        <v>94</v>
      </c>
      <c r="M9" s="180"/>
      <c r="N9" s="181">
        <v>0.6</v>
      </c>
      <c r="R9" t="s">
        <v>106</v>
      </c>
    </row>
    <row r="10" spans="2:18">
      <c r="B10" s="171" t="s">
        <v>91</v>
      </c>
      <c r="C10" s="169" t="s">
        <v>96</v>
      </c>
      <c r="D10" s="170" t="s">
        <v>96</v>
      </c>
      <c r="E10" s="169" t="s">
        <v>96</v>
      </c>
      <c r="F10" s="170" t="s">
        <v>96</v>
      </c>
      <c r="G10" s="169" t="s">
        <v>96</v>
      </c>
      <c r="H10" s="170">
        <v>1</v>
      </c>
      <c r="I10" s="169" t="s">
        <v>96</v>
      </c>
      <c r="J10" s="168" t="s">
        <v>96</v>
      </c>
      <c r="L10" s="179" t="s">
        <v>116</v>
      </c>
      <c r="M10" s="180"/>
      <c r="N10" s="181">
        <v>0.4</v>
      </c>
      <c r="R10" t="s">
        <v>117</v>
      </c>
    </row>
    <row r="11" spans="2:18">
      <c r="B11" s="171" t="s">
        <v>101</v>
      </c>
      <c r="C11" s="169" t="s">
        <v>96</v>
      </c>
      <c r="D11" s="170" t="s">
        <v>96</v>
      </c>
      <c r="E11" s="169" t="s">
        <v>96</v>
      </c>
      <c r="F11" s="170" t="s">
        <v>96</v>
      </c>
      <c r="G11" s="169" t="s">
        <v>96</v>
      </c>
      <c r="H11" s="170">
        <v>0.8</v>
      </c>
      <c r="I11" s="169" t="s">
        <v>96</v>
      </c>
      <c r="J11" s="168" t="s">
        <v>96</v>
      </c>
      <c r="L11" s="341" t="s">
        <v>106</v>
      </c>
      <c r="M11" s="182" t="s">
        <v>118</v>
      </c>
      <c r="N11" s="181">
        <v>0.4</v>
      </c>
      <c r="R11" t="s">
        <v>119</v>
      </c>
    </row>
    <row r="12" spans="2:18">
      <c r="B12" s="171" t="s">
        <v>100</v>
      </c>
      <c r="C12" s="169" t="s">
        <v>96</v>
      </c>
      <c r="D12" s="170" t="s">
        <v>96</v>
      </c>
      <c r="E12" s="169" t="s">
        <v>96</v>
      </c>
      <c r="F12" s="170" t="s">
        <v>96</v>
      </c>
      <c r="G12" s="169" t="s">
        <v>96</v>
      </c>
      <c r="H12" s="170">
        <v>0.6</v>
      </c>
      <c r="I12" s="169" t="s">
        <v>96</v>
      </c>
      <c r="J12" s="168" t="s">
        <v>96</v>
      </c>
      <c r="L12" s="342"/>
      <c r="M12" s="182" t="s">
        <v>107</v>
      </c>
      <c r="N12" s="181">
        <v>0.3</v>
      </c>
    </row>
    <row r="13" spans="2:18">
      <c r="B13" s="171" t="s">
        <v>99</v>
      </c>
      <c r="C13" s="169" t="s">
        <v>96</v>
      </c>
      <c r="D13" s="170" t="s">
        <v>96</v>
      </c>
      <c r="E13" s="169" t="s">
        <v>96</v>
      </c>
      <c r="F13" s="170" t="s">
        <v>96</v>
      </c>
      <c r="G13" s="169" t="s">
        <v>96</v>
      </c>
      <c r="H13" s="170">
        <v>0</v>
      </c>
      <c r="I13" s="169" t="s">
        <v>96</v>
      </c>
      <c r="J13" s="168" t="s">
        <v>96</v>
      </c>
      <c r="L13" s="341" t="s">
        <v>117</v>
      </c>
      <c r="M13" s="182" t="s">
        <v>120</v>
      </c>
      <c r="N13" s="181">
        <v>0.2</v>
      </c>
    </row>
    <row r="14" spans="2:18">
      <c r="B14" s="171" t="s">
        <v>98</v>
      </c>
      <c r="C14" s="169" t="s">
        <v>96</v>
      </c>
      <c r="D14" s="170" t="s">
        <v>96</v>
      </c>
      <c r="E14" s="169" t="s">
        <v>96</v>
      </c>
      <c r="F14" s="170" t="s">
        <v>96</v>
      </c>
      <c r="G14" s="169" t="s">
        <v>96</v>
      </c>
      <c r="H14" s="170" t="s">
        <v>96</v>
      </c>
      <c r="I14" s="169" t="s">
        <v>96</v>
      </c>
      <c r="J14" s="168">
        <v>0</v>
      </c>
      <c r="L14" s="342"/>
      <c r="M14" s="183" t="s">
        <v>121</v>
      </c>
      <c r="N14" s="181">
        <v>0</v>
      </c>
    </row>
    <row r="15" spans="2:18" ht="15" thickBot="1">
      <c r="B15" s="171" t="s">
        <v>97</v>
      </c>
      <c r="C15" s="169" t="s">
        <v>96</v>
      </c>
      <c r="D15" s="170" t="s">
        <v>96</v>
      </c>
      <c r="E15" s="169" t="s">
        <v>96</v>
      </c>
      <c r="F15" s="170" t="s">
        <v>96</v>
      </c>
      <c r="G15" s="169" t="s">
        <v>96</v>
      </c>
      <c r="H15" s="170" t="s">
        <v>96</v>
      </c>
      <c r="I15" s="169" t="s">
        <v>96</v>
      </c>
      <c r="J15" s="168">
        <v>0.6</v>
      </c>
      <c r="L15" s="184" t="s">
        <v>119</v>
      </c>
      <c r="M15" s="185"/>
      <c r="N15" s="186">
        <v>0.2</v>
      </c>
    </row>
    <row r="16" spans="2:18" ht="15" thickBot="1">
      <c r="B16" s="167" t="s">
        <v>95</v>
      </c>
      <c r="C16" s="165" t="s">
        <v>96</v>
      </c>
      <c r="D16" s="166" t="s">
        <v>96</v>
      </c>
      <c r="E16" s="165" t="s">
        <v>96</v>
      </c>
      <c r="F16" s="166" t="s">
        <v>96</v>
      </c>
      <c r="G16" s="165" t="s">
        <v>96</v>
      </c>
      <c r="H16" s="166" t="s">
        <v>96</v>
      </c>
      <c r="I16" s="165" t="s">
        <v>96</v>
      </c>
      <c r="J16" s="164">
        <v>1</v>
      </c>
    </row>
    <row r="17" spans="2:10" ht="4.5" customHeight="1">
      <c r="C17" s="163"/>
      <c r="D17" s="163"/>
      <c r="E17" s="163"/>
      <c r="F17" s="163"/>
      <c r="G17" s="163"/>
      <c r="H17" s="163"/>
      <c r="I17" s="163"/>
      <c r="J17" s="163"/>
    </row>
    <row r="18" spans="2:10" ht="4.5" customHeight="1" thickBot="1"/>
    <row r="19" spans="2:10" ht="15" customHeight="1">
      <c r="B19" s="162" t="s">
        <v>105</v>
      </c>
      <c r="C19" s="161" t="str">
        <f>PRECIFICAÇÃO!E32</f>
        <v>PCP</v>
      </c>
      <c r="D19" s="160">
        <f>IF(AND(C19&lt;&gt;"SAG",C19&lt;&gt;"PE",C19&lt;&gt;"MP",C19&lt;&gt;"PCP"),VLOOKUP(C19,L3:N15,3,FALSE),VLOOKUP(PRECIFICAÇÃO!F32,Esconder!M4:N14,2,FALSE))</f>
        <v>0.8</v>
      </c>
      <c r="E19" s="159">
        <v>0.25</v>
      </c>
      <c r="F19" s="158">
        <f t="shared" ref="F19:F26" si="0">D19*E19</f>
        <v>0.2</v>
      </c>
    </row>
    <row r="20" spans="2:10">
      <c r="B20" s="157" t="s">
        <v>83</v>
      </c>
      <c r="C20" s="156" t="str">
        <f>PRECIFICAÇÃO!E33</f>
        <v>Médio</v>
      </c>
      <c r="D20" s="155">
        <f>VLOOKUP(C20,Esconder!$B$3:$J$16,2,FALSE)</f>
        <v>0.6</v>
      </c>
      <c r="E20" s="154">
        <v>0.1</v>
      </c>
      <c r="F20" s="153">
        <f t="shared" si="0"/>
        <v>0.06</v>
      </c>
    </row>
    <row r="21" spans="2:10">
      <c r="B21" s="157" t="s">
        <v>85</v>
      </c>
      <c r="C21" s="156" t="str">
        <f>PRECIFICAÇÃO!E34</f>
        <v>Baixo</v>
      </c>
      <c r="D21" s="155">
        <f>VLOOKUP(C21,Esconder!$B$3:$J$16,3,FALSE)</f>
        <v>0</v>
      </c>
      <c r="E21" s="154">
        <v>0.18</v>
      </c>
      <c r="F21" s="153">
        <f t="shared" si="0"/>
        <v>0</v>
      </c>
    </row>
    <row r="22" spans="2:10">
      <c r="B22" s="157" t="s">
        <v>87</v>
      </c>
      <c r="C22" s="156" t="str">
        <f>PRECIFICAÇÃO!E35</f>
        <v>Médio</v>
      </c>
      <c r="D22" s="155">
        <f>VLOOKUP(C22,Esconder!$B$3:$J$16,4,FALSE)</f>
        <v>0.6</v>
      </c>
      <c r="E22" s="154">
        <v>0.15</v>
      </c>
      <c r="F22" s="153">
        <f t="shared" si="0"/>
        <v>0.09</v>
      </c>
    </row>
    <row r="23" spans="2:10">
      <c r="B23" s="157" t="s">
        <v>123</v>
      </c>
      <c r="C23" s="156" t="str">
        <f>PRECIFICAÇÃO!E36</f>
        <v>Indústria</v>
      </c>
      <c r="D23" s="155">
        <f>VLOOKUP(C23,Esconder!$B$3:$J$16,5,FALSE)</f>
        <v>0</v>
      </c>
      <c r="E23" s="154">
        <v>0.17</v>
      </c>
      <c r="F23" s="153">
        <f t="shared" si="0"/>
        <v>0</v>
      </c>
    </row>
    <row r="24" spans="2:10">
      <c r="B24" s="157" t="s">
        <v>90</v>
      </c>
      <c r="C24" s="156" t="str">
        <f>PRECIFICAÇÃO!E37</f>
        <v>Muito Sem Conhecimento</v>
      </c>
      <c r="D24" s="155">
        <f>VLOOKUP(C24,Esconder!$B$3:$J$16,7,FALSE)</f>
        <v>0.6</v>
      </c>
      <c r="E24" s="154">
        <v>0.05</v>
      </c>
      <c r="F24" s="153">
        <f t="shared" si="0"/>
        <v>0.03</v>
      </c>
    </row>
    <row r="25" spans="2:10">
      <c r="B25" s="157" t="s">
        <v>92</v>
      </c>
      <c r="C25" s="156" t="str">
        <f>PRECIFICAÇÃO!E38</f>
        <v>Médio</v>
      </c>
      <c r="D25" s="155">
        <f>VLOOKUP(C25,Esconder!$B$3:$J$16,8,FALSE)</f>
        <v>0.6</v>
      </c>
      <c r="E25" s="154">
        <v>0.08</v>
      </c>
      <c r="F25" s="153">
        <f t="shared" si="0"/>
        <v>4.8000000000000001E-2</v>
      </c>
    </row>
    <row r="26" spans="2:10" ht="15" thickBot="1">
      <c r="B26" s="152" t="s">
        <v>94</v>
      </c>
      <c r="C26" s="151" t="str">
        <f>PRECIFICAÇÃO!E39</f>
        <v>&gt; 15 km</v>
      </c>
      <c r="D26" s="150">
        <f>VLOOKUP(C26,Esconder!$B$3:$J$16,9,FALSE)</f>
        <v>1</v>
      </c>
      <c r="E26" s="149">
        <v>0.02</v>
      </c>
      <c r="F26" s="148">
        <f t="shared" si="0"/>
        <v>0.02</v>
      </c>
    </row>
  </sheetData>
  <sheetProtection password="CAA7" sheet="1" objects="1" scenarios="1" selectLockedCells="1" selectUnlockedCells="1"/>
  <mergeCells count="5">
    <mergeCell ref="L2:M2"/>
    <mergeCell ref="L4:L5"/>
    <mergeCell ref="L6:L7"/>
    <mergeCell ref="L11:L12"/>
    <mergeCell ref="L13:L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CN78"/>
  <sheetViews>
    <sheetView topLeftCell="E1" workbookViewId="0">
      <selection activeCell="E18" sqref="E18"/>
    </sheetView>
  </sheetViews>
  <sheetFormatPr baseColWidth="10" defaultColWidth="8.83203125" defaultRowHeight="14" x14ac:dyDescent="0"/>
  <cols>
    <col min="1" max="1" width="38.5" bestFit="1" customWidth="1"/>
    <col min="2" max="2" width="38.6640625" customWidth="1"/>
    <col min="3" max="3" width="11.5" bestFit="1" customWidth="1"/>
    <col min="4" max="4" width="11.1640625" bestFit="1" customWidth="1"/>
    <col min="5" max="5" width="17.6640625" customWidth="1"/>
    <col min="6" max="6" width="23.1640625" customWidth="1"/>
    <col min="7" max="7" width="30.6640625" customWidth="1"/>
    <col min="8" max="8" width="11.5" bestFit="1" customWidth="1"/>
    <col min="9" max="9" width="11.1640625" bestFit="1" customWidth="1"/>
  </cols>
  <sheetData>
    <row r="1" spans="1:92">
      <c r="A1" s="348" t="s">
        <v>134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spans="1:92" ht="27" customHeight="1" thickBo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92">
      <c r="A3" s="350" t="s">
        <v>135</v>
      </c>
      <c r="B3" s="199" t="s">
        <v>136</v>
      </c>
      <c r="C3" s="200" t="s">
        <v>137</v>
      </c>
      <c r="D3" s="201" t="s">
        <v>138</v>
      </c>
      <c r="E3" s="6"/>
      <c r="F3" s="350" t="s">
        <v>116</v>
      </c>
      <c r="G3" s="199" t="s">
        <v>136</v>
      </c>
      <c r="H3" s="200" t="s">
        <v>137</v>
      </c>
      <c r="I3" s="201" t="s">
        <v>138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92">
      <c r="A4" s="351"/>
      <c r="B4" s="202" t="s">
        <v>139</v>
      </c>
      <c r="C4" s="203">
        <v>1</v>
      </c>
      <c r="D4" s="204">
        <v>13</v>
      </c>
      <c r="E4" s="6"/>
      <c r="F4" s="351"/>
      <c r="G4" s="202" t="s">
        <v>140</v>
      </c>
      <c r="H4" s="203">
        <v>1</v>
      </c>
      <c r="I4" s="204">
        <v>40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92">
      <c r="A5" s="351"/>
      <c r="B5" s="202" t="s">
        <v>140</v>
      </c>
      <c r="C5" s="203">
        <v>1</v>
      </c>
      <c r="D5" s="204">
        <v>15</v>
      </c>
      <c r="E5" s="6"/>
      <c r="F5" s="351"/>
      <c r="G5" s="205" t="s">
        <v>141</v>
      </c>
      <c r="H5" s="203">
        <v>1</v>
      </c>
      <c r="I5" s="204">
        <v>50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</row>
    <row r="6" spans="1:92" ht="15" thickBot="1">
      <c r="A6" s="352"/>
      <c r="B6" s="206" t="s">
        <v>142</v>
      </c>
      <c r="C6" s="207">
        <v>1</v>
      </c>
      <c r="D6" s="208">
        <v>35</v>
      </c>
      <c r="E6" s="6"/>
      <c r="F6" s="352"/>
      <c r="G6" s="209" t="s">
        <v>142</v>
      </c>
      <c r="H6" s="207">
        <v>1</v>
      </c>
      <c r="I6" s="208">
        <v>35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</row>
    <row r="7" spans="1:92">
      <c r="A7" s="344" t="s">
        <v>143</v>
      </c>
      <c r="B7" s="199" t="s">
        <v>136</v>
      </c>
      <c r="C7" s="200" t="s">
        <v>137</v>
      </c>
      <c r="D7" s="201" t="s">
        <v>138</v>
      </c>
      <c r="E7" s="6"/>
      <c r="F7" s="350" t="s">
        <v>144</v>
      </c>
      <c r="G7" s="199" t="s">
        <v>136</v>
      </c>
      <c r="H7" s="200" t="s">
        <v>137</v>
      </c>
      <c r="I7" s="201" t="s">
        <v>138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</row>
    <row r="8" spans="1:92">
      <c r="A8" s="345"/>
      <c r="B8" s="202" t="s">
        <v>145</v>
      </c>
      <c r="C8" s="203">
        <v>1</v>
      </c>
      <c r="D8" s="204">
        <v>200</v>
      </c>
      <c r="E8" s="6"/>
      <c r="F8" s="351"/>
      <c r="G8" s="205" t="s">
        <v>146</v>
      </c>
      <c r="H8" s="203">
        <v>1</v>
      </c>
      <c r="I8" s="204">
        <v>10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</row>
    <row r="9" spans="1:92">
      <c r="A9" s="345"/>
      <c r="B9" s="202" t="s">
        <v>147</v>
      </c>
      <c r="C9" s="203">
        <v>1</v>
      </c>
      <c r="D9" s="204"/>
      <c r="E9" s="6"/>
      <c r="F9" s="351"/>
      <c r="G9" s="205" t="s">
        <v>148</v>
      </c>
      <c r="H9" s="203">
        <v>1</v>
      </c>
      <c r="I9" s="204">
        <v>0.75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</row>
    <row r="10" spans="1:92">
      <c r="A10" s="345"/>
      <c r="B10" s="202" t="s">
        <v>140</v>
      </c>
      <c r="C10" s="203">
        <v>1</v>
      </c>
      <c r="D10" s="204">
        <v>15</v>
      </c>
      <c r="E10" s="6"/>
      <c r="F10" s="351"/>
      <c r="G10" s="205" t="s">
        <v>140</v>
      </c>
      <c r="H10" s="203">
        <v>1</v>
      </c>
      <c r="I10" s="204">
        <v>30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</row>
    <row r="11" spans="1:92">
      <c r="A11" s="345"/>
      <c r="B11" s="202" t="s">
        <v>142</v>
      </c>
      <c r="C11" s="203">
        <v>1</v>
      </c>
      <c r="D11" s="204">
        <v>60</v>
      </c>
      <c r="E11" s="6"/>
      <c r="F11" s="351"/>
      <c r="G11" s="205" t="s">
        <v>149</v>
      </c>
      <c r="H11" s="203">
        <v>1</v>
      </c>
      <c r="I11" s="204">
        <v>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</row>
    <row r="12" spans="1:92">
      <c r="A12" s="345"/>
      <c r="B12" s="202"/>
      <c r="C12" s="203"/>
      <c r="D12" s="204"/>
      <c r="E12" s="6"/>
      <c r="F12" s="351"/>
      <c r="G12" s="205" t="s">
        <v>150</v>
      </c>
      <c r="H12" s="203">
        <v>1</v>
      </c>
      <c r="I12" s="204">
        <v>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</row>
    <row r="13" spans="1:92">
      <c r="A13" s="345"/>
      <c r="B13" s="202"/>
      <c r="C13" s="203"/>
      <c r="D13" s="204"/>
      <c r="E13" s="6"/>
      <c r="F13" s="351"/>
      <c r="G13" s="205" t="s">
        <v>151</v>
      </c>
      <c r="H13" s="203">
        <v>1</v>
      </c>
      <c r="I13" s="204">
        <v>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</row>
    <row r="14" spans="1:92">
      <c r="A14" s="345"/>
      <c r="B14" s="202"/>
      <c r="C14" s="203"/>
      <c r="D14" s="204"/>
      <c r="E14" s="6"/>
      <c r="F14" s="351"/>
      <c r="G14" s="205" t="s">
        <v>152</v>
      </c>
      <c r="H14" s="203">
        <v>1</v>
      </c>
      <c r="I14" s="204">
        <v>50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</row>
    <row r="15" spans="1:92" ht="15" thickBot="1">
      <c r="A15" s="346"/>
      <c r="B15" s="206"/>
      <c r="C15" s="207"/>
      <c r="D15" s="208"/>
      <c r="E15" s="6"/>
      <c r="F15" s="352"/>
      <c r="G15" s="209" t="s">
        <v>142</v>
      </c>
      <c r="H15" s="207">
        <v>1</v>
      </c>
      <c r="I15" s="208">
        <v>40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</row>
    <row r="16" spans="1:92">
      <c r="A16" s="344" t="s">
        <v>153</v>
      </c>
      <c r="B16" s="199" t="s">
        <v>136</v>
      </c>
      <c r="C16" s="200" t="s">
        <v>137</v>
      </c>
      <c r="D16" s="201" t="s">
        <v>138</v>
      </c>
      <c r="E16" s="6"/>
      <c r="F16" s="350" t="s">
        <v>108</v>
      </c>
      <c r="G16" s="199" t="s">
        <v>136</v>
      </c>
      <c r="H16" s="200" t="s">
        <v>137</v>
      </c>
      <c r="I16" s="201" t="s">
        <v>138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</row>
    <row r="17" spans="1:92">
      <c r="A17" s="345"/>
      <c r="B17" s="202" t="s">
        <v>154</v>
      </c>
      <c r="C17" s="203">
        <v>1</v>
      </c>
      <c r="D17" s="204">
        <v>10</v>
      </c>
      <c r="E17" s="6"/>
      <c r="F17" s="351"/>
      <c r="G17" s="205" t="s">
        <v>155</v>
      </c>
      <c r="H17" s="203">
        <v>1</v>
      </c>
      <c r="I17" s="204">
        <v>30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</row>
    <row r="18" spans="1:92">
      <c r="A18" s="345"/>
      <c r="B18" s="202" t="s">
        <v>140</v>
      </c>
      <c r="C18" s="203">
        <v>1</v>
      </c>
      <c r="D18" s="204">
        <v>15</v>
      </c>
      <c r="E18" s="6"/>
      <c r="F18" s="351"/>
      <c r="G18" s="205" t="s">
        <v>156</v>
      </c>
      <c r="H18" s="203">
        <v>1</v>
      </c>
      <c r="I18" s="204">
        <v>6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</row>
    <row r="19" spans="1:92" ht="15" thickBot="1">
      <c r="A19" s="346"/>
      <c r="B19" s="206" t="s">
        <v>142</v>
      </c>
      <c r="C19" s="207">
        <v>1</v>
      </c>
      <c r="D19" s="208">
        <v>35</v>
      </c>
      <c r="E19" s="6"/>
      <c r="F19" s="352"/>
      <c r="G19" s="209" t="s">
        <v>142</v>
      </c>
      <c r="H19" s="207">
        <v>1</v>
      </c>
      <c r="I19" s="208">
        <v>20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</row>
    <row r="20" spans="1:92">
      <c r="A20" s="344" t="s">
        <v>157</v>
      </c>
      <c r="B20" s="199" t="s">
        <v>136</v>
      </c>
      <c r="C20" s="200" t="s">
        <v>137</v>
      </c>
      <c r="D20" s="201" t="s">
        <v>138</v>
      </c>
      <c r="E20" s="6"/>
      <c r="F20" s="350" t="s">
        <v>158</v>
      </c>
      <c r="G20" s="210" t="s">
        <v>136</v>
      </c>
      <c r="H20" s="211" t="s">
        <v>137</v>
      </c>
      <c r="I20" s="212" t="s">
        <v>138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</row>
    <row r="21" spans="1:92">
      <c r="A21" s="345"/>
      <c r="B21" s="353" t="s">
        <v>159</v>
      </c>
      <c r="C21" s="355">
        <v>1</v>
      </c>
      <c r="D21" s="357">
        <v>50</v>
      </c>
      <c r="E21" s="6"/>
      <c r="F21" s="351"/>
      <c r="G21" s="205"/>
      <c r="H21" s="203"/>
      <c r="I21" s="20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</row>
    <row r="22" spans="1:92">
      <c r="A22" s="345"/>
      <c r="B22" s="353"/>
      <c r="C22" s="355"/>
      <c r="D22" s="357"/>
      <c r="E22" s="6"/>
      <c r="F22" s="351"/>
      <c r="G22" s="205" t="s">
        <v>160</v>
      </c>
      <c r="H22" s="213">
        <v>1</v>
      </c>
      <c r="I22" s="204">
        <v>30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</row>
    <row r="23" spans="1:92" ht="15" thickBot="1">
      <c r="A23" s="346"/>
      <c r="B23" s="354"/>
      <c r="C23" s="356"/>
      <c r="D23" s="358"/>
      <c r="E23" s="6"/>
      <c r="F23" s="352"/>
      <c r="G23" s="209"/>
      <c r="H23" s="207"/>
      <c r="I23" s="20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</row>
    <row r="24" spans="1:92">
      <c r="A24" s="344" t="s">
        <v>161</v>
      </c>
      <c r="B24" s="199" t="s">
        <v>136</v>
      </c>
      <c r="C24" s="200" t="s">
        <v>137</v>
      </c>
      <c r="D24" s="201" t="s">
        <v>138</v>
      </c>
      <c r="E24" s="6"/>
      <c r="F24" s="347"/>
      <c r="G24" s="214"/>
      <c r="H24" s="214"/>
      <c r="I24" s="2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</row>
    <row r="25" spans="1:92">
      <c r="A25" s="345"/>
      <c r="B25" s="215" t="s">
        <v>162</v>
      </c>
      <c r="C25" s="213">
        <v>1</v>
      </c>
      <c r="D25" s="204">
        <v>280</v>
      </c>
      <c r="E25" s="6"/>
      <c r="F25" s="347"/>
      <c r="G25" s="8"/>
      <c r="H25" s="216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</row>
    <row r="26" spans="1:92">
      <c r="A26" s="345"/>
      <c r="B26" s="202" t="s">
        <v>163</v>
      </c>
      <c r="C26" s="203">
        <v>1</v>
      </c>
      <c r="D26" s="204">
        <v>50</v>
      </c>
      <c r="E26" s="6"/>
      <c r="F26" s="347"/>
      <c r="G26" s="8"/>
      <c r="H26" s="216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</row>
    <row r="27" spans="1:92" ht="15" thickBot="1">
      <c r="A27" s="346"/>
      <c r="B27" s="206" t="s">
        <v>142</v>
      </c>
      <c r="C27" s="207">
        <v>1</v>
      </c>
      <c r="D27" s="208">
        <v>50</v>
      </c>
      <c r="E27" s="6"/>
      <c r="F27" s="347"/>
      <c r="G27" s="8"/>
      <c r="H27" s="216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</row>
    <row r="28" spans="1:92">
      <c r="A28" s="6"/>
      <c r="B28" s="6"/>
      <c r="C28" s="6"/>
      <c r="D28" s="6"/>
      <c r="E28" s="6"/>
      <c r="F28" s="8"/>
      <c r="G28" s="8"/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</row>
    <row r="29" spans="1:9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</row>
    <row r="30" spans="1:9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</row>
    <row r="31" spans="1:9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</row>
    <row r="32" spans="1:9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</sheetData>
  <mergeCells count="14">
    <mergeCell ref="A24:A27"/>
    <mergeCell ref="F24:F27"/>
    <mergeCell ref="A1:M2"/>
    <mergeCell ref="A3:A6"/>
    <mergeCell ref="F3:F6"/>
    <mergeCell ref="A7:A15"/>
    <mergeCell ref="F7:F15"/>
    <mergeCell ref="A16:A19"/>
    <mergeCell ref="F16:F19"/>
    <mergeCell ref="A20:A23"/>
    <mergeCell ref="F20:F23"/>
    <mergeCell ref="B21:B23"/>
    <mergeCell ref="C21:C23"/>
    <mergeCell ref="D21:D23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PRECIFICAÇÃO</vt:lpstr>
      <vt:lpstr>2. Dados da adm-fin</vt:lpstr>
      <vt:lpstr>Esconder</vt:lpstr>
      <vt:lpstr>Gastos Operacionais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2015-11-10T18:41:33Z</dcterms:modified>
</cp:coreProperties>
</file>