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drawings/drawing24.xml" ContentType="application/vnd.openxmlformats-officedocument.drawing+xml"/>
  <Override PartName="/xl/drawings/drawing25.xml" ContentType="application/vnd.openxmlformats-officedocument.drawing+xml"/>
  <Override PartName="/xl/drawings/drawing23.xml" ContentType="application/vnd.openxmlformats-officedocument.drawing+xml"/>
  <Override PartName="/xl/drawings/drawing22.xml" ContentType="application/vnd.openxmlformats-officedocument.drawing+xml"/>
  <Override PartName="/xl/worksheets/sheet1.xml" ContentType="application/vnd.openxmlformats-officedocument.spreadsheetml.worksheet+xml"/>
  <Override PartName="/xl/drawings/drawing21.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drawings/drawing20.xml" ContentType="application/vnd.openxmlformats-officedocument.drawing+xml"/>
  <Override PartName="/xl/worksheets/sheet5.xml" ContentType="application/vnd.openxmlformats-officedocument.spreadsheetml.worksheet+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drawings/drawing5.xml" ContentType="application/vnd.openxmlformats-officedocument.drawing+xml"/>
  <Override PartName="/xl/drawings/drawing4.xml" ContentType="application/vnd.openxmlformats-officedocument.drawing+xml"/>
  <Override PartName="/xl/styles.xml" ContentType="application/vnd.openxmlformats-officedocument.spreadsheetml.styles+xml"/>
  <Override PartName="/xl/theme/theme1.xml" ContentType="application/vnd.openxmlformats-officedocument.theme+xml"/>
  <Override PartName="/xl/worksheets/sheet28.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drawings/drawing6.xml" ContentType="application/vnd.openxmlformats-officedocument.drawing+xml"/>
  <Override PartName="/xl/drawings/drawing12.xml" ContentType="application/vnd.openxmlformats-officedocument.drawing+xml"/>
  <Override PartName="/xl/drawings/drawing17.xml" ContentType="application/vnd.openxmlformats-officedocument.drawing+xml"/>
  <Override PartName="/xl/drawings/drawing15.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6.xml" ContentType="application/vnd.openxmlformats-officedocument.drawing+xml"/>
  <Override PartName="/xl/drawings/drawing11.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10.xml" ContentType="application/vnd.openxmlformats-officedocument.drawing+xml"/>
  <Override PartName="/xl/drawings/drawing19.xml" ContentType="application/vnd.openxmlformats-officedocument.drawing+xml"/>
  <Override PartName="/xl/drawings/drawing18.xml" ContentType="application/vnd.openxmlformats-officedocument.drawing+xml"/>
  <Override PartName="/xl/drawings/drawing9.xml" ContentType="application/vnd.openxmlformats-officedocument.drawing+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trlProps/ctrlProp1.xml" ContentType="application/vnd.ms-excel.control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codeName="EsteLivro"/>
  <mc:AlternateContent xmlns:mc="http://schemas.openxmlformats.org/markup-compatibility/2006">
    <mc:Choice Requires="x15">
      <x15ac:absPath xmlns:x15ac="http://schemas.microsoft.com/office/spreadsheetml/2010/11/ac" url="C:\Users\catarina.cacador\Desktop\Publicações\Internet\SEO\2022\agosto\"/>
    </mc:Choice>
  </mc:AlternateContent>
  <xr:revisionPtr revIDLastSave="0" documentId="8_{AE93A1E1-2908-4276-9AC6-FAA24360557F}" xr6:coauthVersionLast="36" xr6:coauthVersionMax="36" xr10:uidLastSave="{00000000-0000-0000-0000-000000000000}"/>
  <bookViews>
    <workbookView xWindow="0" yWindow="0" windowWidth="28800" windowHeight="10560" tabRatio="874" xr2:uid="{00000000-000D-0000-FFFF-FFFF00000000}"/>
  </bookViews>
  <sheets>
    <sheet name="Capa PT" sheetId="3" r:id="rId1"/>
    <sheet name="Indice_index" sheetId="4" r:id="rId2"/>
    <sheet name="1 - Saldo Global Rec Desp" sheetId="34" r:id="rId3"/>
    <sheet name="2 - Conta Consol AP" sheetId="6" r:id="rId4"/>
    <sheet name="2.A Conta Consol AP - texto" sheetId="25" state="hidden" r:id="rId5"/>
    <sheet name="Síntese Global" sheetId="24" state="hidden" r:id="rId6"/>
    <sheet name="3 - Medidas COVID-19 AP" sheetId="35" r:id="rId7"/>
    <sheet name="4 - Medidas COVID-19 Subsetores" sheetId="33" r:id="rId8"/>
    <sheet name="5 - Conta AC + SS" sheetId="7" r:id="rId9"/>
    <sheet name="6 - Conta AC" sheetId="8" r:id="rId10"/>
    <sheet name="7 - Estado" sheetId="9" r:id="rId11"/>
    <sheet name="8 - R_Est" sheetId="10" r:id="rId12"/>
    <sheet name="9 - SFA" sheetId="11" r:id="rId13"/>
    <sheet name="10 - EPR" sheetId="12" r:id="rId14"/>
    <sheet name="11 - CGA" sheetId="13" r:id="rId15"/>
    <sheet name="12 - SS" sheetId="14" r:id="rId16"/>
    <sheet name="13 - SS Eco" sheetId="15" r:id="rId17"/>
    <sheet name="14 - Adm R" sheetId="31" r:id="rId18"/>
    <sheet name="15 - Adm Loc" sheetId="17" r:id="rId19"/>
    <sheet name="16 - Despesa Ativos " sheetId="18" r:id="rId20"/>
    <sheet name="17 - SNS exec fin" sheetId="19" r:id="rId21"/>
    <sheet name="18 - Dív não Fin" sheetId="20" r:id="rId22"/>
    <sheet name="19 - CGA Ind" sheetId="27" r:id="rId23"/>
    <sheet name="20 - Ef Temp AC+SS" sheetId="28" r:id="rId24"/>
    <sheet name="21 - Estimativas" sheetId="30" r:id="rId25"/>
    <sheet name="22 - Util. Cond. Dot. Orç" sheetId="32" r:id="rId26"/>
    <sheet name="23 - Util. Cond. Dot. Orç" sheetId="37" r:id="rId27"/>
    <sheet name="24 - Lista Entidades AC 2022" sheetId="36" r:id="rId28"/>
  </sheets>
  <externalReferences>
    <externalReference r:id="rId29"/>
  </externalReferences>
  <definedNames>
    <definedName name="_FilterDatabase" localSheetId="21" hidden="1">'18 - Dív não Fin'!$D$40:$R$53</definedName>
    <definedName name="_FilterDatabase" localSheetId="23" hidden="1">'20 - Ef Temp AC+SS'!$C$55:$E$85</definedName>
    <definedName name="_FilterDatabase" localSheetId="25" hidden="1">'22 - Util. Cond. Dot. Orç'!$I$7:$M$184</definedName>
    <definedName name="_FilterDatabase" localSheetId="27" hidden="1">'24 - Lista Entidades AC 2022'!$C$4:$C$500</definedName>
    <definedName name="_FilterDatabase" localSheetId="5" hidden="1">'Síntese Global'!#REF!</definedName>
    <definedName name="_xlnm.Print_Area" localSheetId="2">'1 - Saldo Global Rec Desp'!$A$1:$P$20</definedName>
    <definedName name="_xlnm.Print_Area" localSheetId="13">'10 - EPR'!$A$1:$K$89</definedName>
    <definedName name="_xlnm.Print_Area" localSheetId="14">'11 - CGA'!$A$1:$K$56</definedName>
    <definedName name="_xlnm.Print_Area" localSheetId="15">'12 - SS'!$A$1:$J$83</definedName>
    <definedName name="_xlnm.Print_Area" localSheetId="16">'13 - SS Eco'!$A$1:$J$77</definedName>
    <definedName name="_xlnm.Print_Area" localSheetId="17">'14 - Adm R'!$A$1:$N$75</definedName>
    <definedName name="_xlnm.Print_Area" localSheetId="18">'15 - Adm Loc'!$A$1:$H$92</definedName>
    <definedName name="_xlnm.Print_Area" localSheetId="19">'16 - Despesa Ativos '!$A$1:$L$33</definedName>
    <definedName name="_xlnm.Print_Area" localSheetId="20">'17 - SNS exec fin'!$A$1:$J$43</definedName>
    <definedName name="_xlnm.Print_Area" localSheetId="21">'18 - Dív não Fin'!$A$1:$S$62</definedName>
    <definedName name="_xlnm.Print_Area" localSheetId="22">'19 - CGA Ind'!$A$1:$Q$598</definedName>
    <definedName name="_xlnm.Print_Area" localSheetId="3">'2 - Conta Consol AP'!$A$1:$S$117</definedName>
    <definedName name="_xlnm.Print_Area" localSheetId="4">'2.A Conta Consol AP - texto'!$A$1:$K$48</definedName>
    <definedName name="_xlnm.Print_Area" localSheetId="23">'20 - Ef Temp AC+SS'!$A$1:$AI$94</definedName>
    <definedName name="_xlnm.Print_Area" localSheetId="24">'21 - Estimativas'!$A$1:$K$52</definedName>
    <definedName name="_xlnm.Print_Area" localSheetId="25">'22 - Util. Cond. Dot. Orç'!$A$1:$G$223</definedName>
    <definedName name="_xlnm.Print_Area" localSheetId="26">'23 - Util. Cond. Dot. Orç'!$A$1:$F$173</definedName>
    <definedName name="_xlnm.Print_Area" localSheetId="27">'24 - Lista Entidades AC 2022'!$A$1:$D$552</definedName>
    <definedName name="_xlnm.Print_Area" localSheetId="6">'3 - Medidas COVID-19 AP'!$A$1:$F$74</definedName>
    <definedName name="_xlnm.Print_Area" localSheetId="7">'4 - Medidas COVID-19 Subsetores'!$A$1:$J$95</definedName>
    <definedName name="_xlnm.Print_Area" localSheetId="8">'5 - Conta AC + SS'!$A$1:$K$66</definedName>
    <definedName name="_xlnm.Print_Area" localSheetId="9">'6 - Conta AC'!$A$1:$K$63</definedName>
    <definedName name="_xlnm.Print_Area" localSheetId="10">'7 - Estado'!$A$1:$K$78</definedName>
    <definedName name="_xlnm.Print_Area" localSheetId="11">'8 - R_Est'!$A$1:$K$74</definedName>
    <definedName name="_xlnm.Print_Area" localSheetId="12">'9 - SFA'!$A$1:$K$89</definedName>
    <definedName name="_xlnm.Print_Area" localSheetId="1">Indice_index!$A$1:$G$30</definedName>
    <definedName name="_xlnm.Print_Area" localSheetId="5">'Síntese Global'!$A$1:$O$24</definedName>
    <definedName name="EPMWorkbookOptions_2" hidden="1">"OME3C+yiRqx5aARGYkV20diAuLd9TwHYeFtoRV1pPoBzCFYA5VuCFgJEDPTxfKb/NRfEe5rSH5KgrW0+2c9096ZPURTpGx658JbkD/1BUXRBEhUJXSIMvmtbphHCQN9Xhu2D/V+ODLEckPGeZ1tLI8NiYYRpDjxLxpwMfIAhOgIQ03ZgskGebbqzTBM4Q2sDHD+Ce971ANXHfJCXsnZ3+xyCa7twEMAt4MichtdCo1HkRJ6MLglEJATgORgb"</definedName>
    <definedName name="EPMWorkbookOptions_3" hidden="1">"Ty60AoQrmo84+KTtKP7Oelzb6BMowEbyAuadBaABl2vrkOdVnwJ4xhb0g8yA8tuPEu1HfZ7wol5ZP82xfm1BxCQvCJImqhyZ1/hajngG0YbRoWimT2cS5M1tFCtBE8ABxZHxRW5237ONlzl0PQCDlwHd6XZWYLFqdrom22Tbqy/NfgeAJmWANmsuemxvwYQ941E5iaeGv5+4Gdgs0BaY44aLPNcBucTxGZoeEhJ/tB7mvDwS1TsaXfI0g3aD"</definedName>
    <definedName name="EPMWorkbookOptions_4" hidden="1">"E+czSVM1vRxcG2i7vXEs+5YIVUMcLcfX57VYLEf+brjvygdb84Hx0a75yPJB0TUfmD6ung+OLLLvZkrHnytz2nCiqjI/mZavdBTFon8Lixc6uoKFbk8jrlVVUvlprdZcmCXUKvDq6G9J/l5aqwzT6bAsW1yr7eppNSURyRO9JVngZ0iu1y/T9+FjzqvyZCaJk+sn5OOsW6SviVp+1XZ7NNXv94qvWqZ6qzamEK8uI51Cr2uX6bsyEtuunJGP"</definedName>
    <definedName name="EPMWorkbookOptions_5" hidden="1">"s3CFKa8o+kiQxMstXrb44s3l90+Xzz0luPSGtepyYZZQ3Xgq3f+f25Ful2HecD/SqV61CBnE5TmOntPr/D+aotZKzYVZQqkTUR3JgnTBp8Td6ok1IRHXa2qspZoHs8ymqonDC+q097GreMgGLjiR10Njrbh8mCUUJ89VQZMRwUL5W7+3C69fvQ0yQ2T8kGKkybVMc2GWkKkiSPPRBQX6pXoCjSg82U5ja63TPJgldKpOZpeUKV3B8wghhbhM"</definedName>
    <definedName name="EPMWorkbookOptions_6" hidden="1">"2xTdb9W/0ryrUGcjXtHkkXJJsVbwN8WUxrjkf1frB0xvcsLQnHXCfNyNh4CdOejHkXmHDTFrmht1fXoeM2s8PcPJyWAFgb+WHMkDTnIcDrdFboINDBjmlBzFeALpIbxjc+SbnlVFAwsiylPv0wbcf2cmI+cm/jcDWsbCBjMAHw8ZTuyfPx3SJmdjB/8BpKhLmFYrAAA="</definedName>
    <definedName name="euro">200.482</definedName>
    <definedName name="FBX">[1]MapaSub_2008!$B$35:$B$36</definedName>
    <definedName name="NomeTabela">"Dummy"</definedName>
    <definedName name="Print_Area" localSheetId="2">'1 - Saldo Global Rec Desp'!$B$2:$O$20</definedName>
    <definedName name="Print_Area" localSheetId="13">'10 - EPR'!$B$2:$K$88</definedName>
    <definedName name="Print_Area" localSheetId="14">'11 - CGA'!$B$2:$J$56</definedName>
    <definedName name="Print_Area" localSheetId="15">'12 - SS'!$B$2:$I$82</definedName>
    <definedName name="Print_Area" localSheetId="16">'13 - SS Eco'!$B$2:$I$75</definedName>
    <definedName name="Print_Area" localSheetId="17">'14 - Adm R'!$B$2:$M$74</definedName>
    <definedName name="Print_Area" localSheetId="18">'15 - Adm Loc'!$B$2:$G$91</definedName>
    <definedName name="Print_Area" localSheetId="19">'16 - Despesa Ativos '!$B$2:$J$32</definedName>
    <definedName name="Print_Area" localSheetId="20">'17 - SNS exec fin'!$B$2:$I$42</definedName>
    <definedName name="Print_Area" localSheetId="21">'18 - Dív não Fin'!$B$2:$R$58</definedName>
    <definedName name="Print_Area" localSheetId="22">'19 - CGA Ind'!$B$2:$P$598</definedName>
    <definedName name="Print_Area" localSheetId="3">'2 - Conta Consol AP'!$B$2:$Q$116</definedName>
    <definedName name="Print_Area" localSheetId="4">'2.A Conta Consol AP - texto'!$B$2:$J$47</definedName>
    <definedName name="Print_Area" localSheetId="23">'20 - Ef Temp AC+SS'!$B$2:$AH$94</definedName>
    <definedName name="Print_Area" localSheetId="24">'21 - Estimativas'!$B$2:$J$52</definedName>
    <definedName name="Print_Area" localSheetId="25">'22 - Util. Cond. Dot. Orç'!$B$2:$G$227</definedName>
    <definedName name="Print_Area" localSheetId="27">'24 - Lista Entidades AC 2022'!$A$1:$D$508</definedName>
    <definedName name="Print_Area" localSheetId="6">'3 - Medidas COVID-19 AP'!$A$2:$E$74</definedName>
    <definedName name="Print_Area" localSheetId="7">'4 - Medidas COVID-19 Subsetores'!$B$2:$I$94</definedName>
    <definedName name="Print_Area" localSheetId="8">'5 - Conta AC + SS'!$B$2:$J$66</definedName>
    <definedName name="Print_Area" localSheetId="9">'6 - Conta AC'!$B$2:$J$61</definedName>
    <definedName name="Print_Area" localSheetId="10">'7 - Estado'!$B$2:$J$78</definedName>
    <definedName name="Print_Area" localSheetId="11">'8 - R_Est'!$B$2:$J$74</definedName>
    <definedName name="Print_Area" localSheetId="12">'9 - SFA'!$B$2:$K$88</definedName>
    <definedName name="Print_Area" localSheetId="0">'Capa PT'!$A$1:$L$55,'Capa PT'!$A$57:$L$111</definedName>
    <definedName name="Print_Area" localSheetId="1">Indice_index!$B$3:$G$27</definedName>
    <definedName name="Print_Area" localSheetId="5">'Síntese Global'!$B$2:$O$23</definedName>
    <definedName name="Print_Titles" localSheetId="14">'11 - CGA'!$3:$5</definedName>
    <definedName name="Print_Titles" localSheetId="22">'19 - CGA Ind'!$2:$3</definedName>
    <definedName name="Print_Titles" localSheetId="3">'2 - Conta Consol AP'!$2:$3</definedName>
    <definedName name="Print_Titles" localSheetId="23">'20 - Ef Temp AC+SS'!$2:$3</definedName>
    <definedName name="Print_Titles" localSheetId="24">'21 - Estimativas'!$B:$C,'21 - Estimativas'!$2:$3</definedName>
    <definedName name="Print_Titles" localSheetId="25">'22 - Util. Cond. Dot. Orç'!$2:$7</definedName>
    <definedName name="Print_Titles" localSheetId="27">'24 - Lista Entidades AC 2022'!$1:$3</definedName>
    <definedName name="Print_Titles" localSheetId="9">'6 - Conta AC'!$5:$6</definedName>
    <definedName name="_xlnm.Print_Titles" localSheetId="2">'1 - Saldo Global Rec Desp'!$2:$3</definedName>
    <definedName name="_xlnm.Print_Titles" localSheetId="13">'10 - EPR'!$2:$3</definedName>
    <definedName name="_xlnm.Print_Titles" localSheetId="14">'11 - CGA'!$2:$3</definedName>
    <definedName name="_xlnm.Print_Titles" localSheetId="15">'12 - SS'!$2:$3</definedName>
    <definedName name="_xlnm.Print_Titles" localSheetId="16">'13 - SS Eco'!$2:$3</definedName>
    <definedName name="_xlnm.Print_Titles" localSheetId="17">'14 - Adm R'!$2:$3</definedName>
    <definedName name="_xlnm.Print_Titles" localSheetId="18">'15 - Adm Loc'!$2:$3</definedName>
    <definedName name="_xlnm.Print_Titles" localSheetId="19">'16 - Despesa Ativos '!$2:$3</definedName>
    <definedName name="_xlnm.Print_Titles" localSheetId="20">'17 - SNS exec fin'!$2:$3</definedName>
    <definedName name="_xlnm.Print_Titles" localSheetId="21">'18 - Dív não Fin'!$2:$3</definedName>
    <definedName name="_xlnm.Print_Titles" localSheetId="22">'19 - CGA Ind'!$2:$3</definedName>
    <definedName name="_xlnm.Print_Titles" localSheetId="3">'2 - Conta Consol AP'!$2:$3</definedName>
    <definedName name="_xlnm.Print_Titles" localSheetId="23">'20 - Ef Temp AC+SS'!$2:$3</definedName>
    <definedName name="_xlnm.Print_Titles" localSheetId="24">'21 - Estimativas'!$2:$3</definedName>
    <definedName name="_xlnm.Print_Titles" localSheetId="25">'22 - Util. Cond. Dot. Orç'!$2:$7</definedName>
    <definedName name="_xlnm.Print_Titles" localSheetId="26">'23 - Util. Cond. Dot. Orç'!$2:$7</definedName>
    <definedName name="_xlnm.Print_Titles" localSheetId="27">'24 - Lista Entidades AC 2022'!$2:$3</definedName>
    <definedName name="_xlnm.Print_Titles" localSheetId="6">'3 - Medidas COVID-19 AP'!$2:$3</definedName>
    <definedName name="_xlnm.Print_Titles" localSheetId="7">'4 - Medidas COVID-19 Subsetores'!$2:$3</definedName>
    <definedName name="_xlnm.Print_Titles" localSheetId="8">'5 - Conta AC + SS'!$2:$3</definedName>
    <definedName name="_xlnm.Print_Titles" localSheetId="9">'6 - Conta AC'!$2:$3</definedName>
    <definedName name="_xlnm.Print_Titles" localSheetId="10">'7 - Estado'!$2:$3</definedName>
    <definedName name="_xlnm.Print_Titles" localSheetId="11">'8 - R_Est'!$2:$3</definedName>
    <definedName name="_xlnm.Print_Titles" localSheetId="12">'9 - SFA'!$2:$3</definedName>
    <definedName name="Z_0011D0C0_6BC7_4DE9_8F83_86F2D0A38DF4_.wvu.Cols" localSheetId="13" hidden="1">'10 - EPR'!#REF!</definedName>
    <definedName name="Z_0011D0C0_6BC7_4DE9_8F83_86F2D0A38DF4_.wvu.Cols" localSheetId="15" hidden="1">'12 - SS'!#REF!</definedName>
    <definedName name="Z_0011D0C0_6BC7_4DE9_8F83_86F2D0A38DF4_.wvu.Cols" localSheetId="21" hidden="1">'18 - Dív não Fin'!$AB:$AD</definedName>
    <definedName name="Z_0011D0C0_6BC7_4DE9_8F83_86F2D0A38DF4_.wvu.Cols" localSheetId="10" hidden="1">'7 - Estado'!#REF!</definedName>
    <definedName name="Z_0011D0C0_6BC7_4DE9_8F83_86F2D0A38DF4_.wvu.Cols" localSheetId="11" hidden="1">'8 - R_Est'!#REF!</definedName>
    <definedName name="Z_0011D0C0_6BC7_4DE9_8F83_86F2D0A38DF4_.wvu.Cols" localSheetId="12" hidden="1">'9 - SFA'!#REF!</definedName>
    <definedName name="Z_0011D0C0_6BC7_4DE9_8F83_86F2D0A38DF4_.wvu.Cols" localSheetId="1" hidden="1">Indice_index!$X:$Z</definedName>
    <definedName name="Z_0011D0C0_6BC7_4DE9_8F83_86F2D0A38DF4_.wvu.FilterData" localSheetId="5" hidden="1">'Síntese Global'!#REF!</definedName>
    <definedName name="Z_0011D0C0_6BC7_4DE9_8F83_86F2D0A38DF4_.wvu.PrintArea" localSheetId="13" hidden="1">'10 - EPR'!$C$2:$J$88</definedName>
    <definedName name="Z_0011D0C0_6BC7_4DE9_8F83_86F2D0A38DF4_.wvu.PrintArea" localSheetId="14" hidden="1">'11 - CGA'!$B$2:$J$52</definedName>
    <definedName name="Z_0011D0C0_6BC7_4DE9_8F83_86F2D0A38DF4_.wvu.PrintArea" localSheetId="15" hidden="1">'12 - SS'!$B$2:$G$75</definedName>
    <definedName name="Z_0011D0C0_6BC7_4DE9_8F83_86F2D0A38DF4_.wvu.PrintArea" localSheetId="17" hidden="1">'14 - Adm R'!#REF!</definedName>
    <definedName name="Z_0011D0C0_6BC7_4DE9_8F83_86F2D0A38DF4_.wvu.PrintArea" localSheetId="18" hidden="1">'15 - Adm Loc'!#REF!</definedName>
    <definedName name="Z_0011D0C0_6BC7_4DE9_8F83_86F2D0A38DF4_.wvu.PrintArea" localSheetId="20" hidden="1">'17 - SNS exec fin'!$B$2:$F$46</definedName>
    <definedName name="Z_0011D0C0_6BC7_4DE9_8F83_86F2D0A38DF4_.wvu.PrintArea" localSheetId="21" hidden="1">'18 - Dív não Fin'!$B$2:$R$32</definedName>
    <definedName name="Z_0011D0C0_6BC7_4DE9_8F83_86F2D0A38DF4_.wvu.PrintArea" localSheetId="22" hidden="1">'19 - CGA Ind'!$B$2:$O$451</definedName>
    <definedName name="Z_0011D0C0_6BC7_4DE9_8F83_86F2D0A38DF4_.wvu.PrintArea" localSheetId="24" hidden="1">'21 - Estimativas'!$B$2:$C$43</definedName>
    <definedName name="Z_0011D0C0_6BC7_4DE9_8F83_86F2D0A38DF4_.wvu.PrintArea" localSheetId="8" hidden="1">'5 - Conta AC + SS'!$B$1:$J$66</definedName>
    <definedName name="Z_0011D0C0_6BC7_4DE9_8F83_86F2D0A38DF4_.wvu.PrintArea" localSheetId="10" hidden="1">'7 - Estado'!$C$2:$C$73</definedName>
    <definedName name="Z_0011D0C0_6BC7_4DE9_8F83_86F2D0A38DF4_.wvu.PrintArea" localSheetId="11" hidden="1">'8 - R_Est'!$B$2:$J$74</definedName>
    <definedName name="Z_0011D0C0_6BC7_4DE9_8F83_86F2D0A38DF4_.wvu.PrintArea" localSheetId="12" hidden="1">'9 - SFA'!$C$2:$J$87</definedName>
    <definedName name="Z_0011D0C0_6BC7_4DE9_8F83_86F2D0A38DF4_.wvu.PrintArea" localSheetId="1" hidden="1">Indice_index!$B$3:$C$16</definedName>
    <definedName name="Z_0011D0C0_6BC7_4DE9_8F83_86F2D0A38DF4_.wvu.PrintArea" localSheetId="5" hidden="1">'Síntese Global'!$B$2:$N$4</definedName>
    <definedName name="Z_0011D0C0_6BC7_4DE9_8F83_86F2D0A38DF4_.wvu.PrintTitles" localSheetId="14" hidden="1">'11 - CGA'!$3:$5</definedName>
    <definedName name="Z_0011D0C0_6BC7_4DE9_8F83_86F2D0A38DF4_.wvu.Rows" localSheetId="5" hidden="1">'Síntese Global'!#REF!</definedName>
    <definedName name="Z_002C86D7_DEB9_4214_9360_3C52A2952F89_.wvu.FilterData" localSheetId="5" hidden="1">'Síntese Global'!#REF!</definedName>
    <definedName name="Z_050A4FBA_FDB7_4B92_B642_91A7335D3C37_.wvu.FilterData" localSheetId="5" hidden="1">'Síntese Global'!#REF!</definedName>
    <definedName name="Z_09518DF4_73EF_411B_9CE0_0471F93930DC_.wvu.FilterData" localSheetId="5" hidden="1">'Síntese Global'!#REF!</definedName>
    <definedName name="Z_0C0AE94C_28F1_4FD2_A8FE_F417DD17C0C4_.wvu.Cols" localSheetId="13" hidden="1">'10 - EPR'!#REF!,'10 - EPR'!#REF!</definedName>
    <definedName name="Z_0C0AE94C_28F1_4FD2_A8FE_F417DD17C0C4_.wvu.Cols" localSheetId="15" hidden="1">'12 - SS'!#REF!</definedName>
    <definedName name="Z_0C0AE94C_28F1_4FD2_A8FE_F417DD17C0C4_.wvu.Cols" localSheetId="21" hidden="1">'18 - Dív não Fin'!$AB:$AD</definedName>
    <definedName name="Z_0C0AE94C_28F1_4FD2_A8FE_F417DD17C0C4_.wvu.Cols" localSheetId="10" hidden="1">'7 - Estado'!#REF!,'7 - Estado'!#REF!</definedName>
    <definedName name="Z_0C0AE94C_28F1_4FD2_A8FE_F417DD17C0C4_.wvu.Cols" localSheetId="11" hidden="1">'8 - R_Est'!#REF!</definedName>
    <definedName name="Z_0C0AE94C_28F1_4FD2_A8FE_F417DD17C0C4_.wvu.Cols" localSheetId="12" hidden="1">'9 - SFA'!#REF!,'9 - SFA'!#REF!</definedName>
    <definedName name="Z_0C0AE94C_28F1_4FD2_A8FE_F417DD17C0C4_.wvu.Cols" localSheetId="1" hidden="1">Indice_index!$X:$Z</definedName>
    <definedName name="Z_0C0AE94C_28F1_4FD2_A8FE_F417DD17C0C4_.wvu.FilterData" localSheetId="5" hidden="1">'Síntese Global'!#REF!</definedName>
    <definedName name="Z_0C0AE94C_28F1_4FD2_A8FE_F417DD17C0C4_.wvu.PrintArea" localSheetId="2" hidden="1">'1 - Saldo Global Rec Desp'!$B$2:$O$3</definedName>
    <definedName name="Z_0C0AE94C_28F1_4FD2_A8FE_F417DD17C0C4_.wvu.PrintArea" localSheetId="13" hidden="1">'10 - EPR'!$B$2:$J$88</definedName>
    <definedName name="Z_0C0AE94C_28F1_4FD2_A8FE_F417DD17C0C4_.wvu.PrintArea" localSheetId="14" hidden="1">'11 - CGA'!$B$2:$J$52</definedName>
    <definedName name="Z_0C0AE94C_28F1_4FD2_A8FE_F417DD17C0C4_.wvu.PrintArea" localSheetId="15" hidden="1">'12 - SS'!$B$2:$G$75</definedName>
    <definedName name="Z_0C0AE94C_28F1_4FD2_A8FE_F417DD17C0C4_.wvu.PrintArea" localSheetId="17" hidden="1">'14 - Adm R'!#REF!</definedName>
    <definedName name="Z_0C0AE94C_28F1_4FD2_A8FE_F417DD17C0C4_.wvu.PrintArea" localSheetId="18" hidden="1">'15 - Adm Loc'!#REF!</definedName>
    <definedName name="Z_0C0AE94C_28F1_4FD2_A8FE_F417DD17C0C4_.wvu.PrintArea" localSheetId="20" hidden="1">'17 - SNS exec fin'!$B$2:$F$46</definedName>
    <definedName name="Z_0C0AE94C_28F1_4FD2_A8FE_F417DD17C0C4_.wvu.PrintArea" localSheetId="21" hidden="1">'18 - Dív não Fin'!$B$2:$R$57</definedName>
    <definedName name="Z_0C0AE94C_28F1_4FD2_A8FE_F417DD17C0C4_.wvu.PrintArea" localSheetId="22" hidden="1">'19 - CGA Ind'!$B$2:$O$451</definedName>
    <definedName name="Z_0C0AE94C_28F1_4FD2_A8FE_F417DD17C0C4_.wvu.PrintArea" localSheetId="24" hidden="1">'21 - Estimativas'!$B$2:$C$43</definedName>
    <definedName name="Z_0C0AE94C_28F1_4FD2_A8FE_F417DD17C0C4_.wvu.PrintArea" localSheetId="8" hidden="1">'5 - Conta AC + SS'!$B$2:$J$66</definedName>
    <definedName name="Z_0C0AE94C_28F1_4FD2_A8FE_F417DD17C0C4_.wvu.PrintArea" localSheetId="10" hidden="1">'7 - Estado'!$B$2:$C$73</definedName>
    <definedName name="Z_0C0AE94C_28F1_4FD2_A8FE_F417DD17C0C4_.wvu.PrintArea" localSheetId="11" hidden="1">'8 - R_Est'!$B$2:$J$74</definedName>
    <definedName name="Z_0C0AE94C_28F1_4FD2_A8FE_F417DD17C0C4_.wvu.PrintArea" localSheetId="12" hidden="1">'9 - SFA'!$B$2:$J$95</definedName>
    <definedName name="Z_0C0AE94C_28F1_4FD2_A8FE_F417DD17C0C4_.wvu.PrintArea" localSheetId="1" hidden="1">Indice_index!$B$3:$C$16,Indice_index!$B$17:$C$33</definedName>
    <definedName name="Z_0C0AE94C_28F1_4FD2_A8FE_F417DD17C0C4_.wvu.PrintArea" localSheetId="5" hidden="1">'Síntese Global'!$B$2:$N$4</definedName>
    <definedName name="Z_0C0AE94C_28F1_4FD2_A8FE_F417DD17C0C4_.wvu.PrintTitles" localSheetId="14" hidden="1">'11 - CGA'!$3:$5</definedName>
    <definedName name="Z_0C0AE94C_28F1_4FD2_A8FE_F417DD17C0C4_.wvu.Rows" localSheetId="1" hidden="1">Indice_index!#REF!</definedName>
    <definedName name="Z_10FD759A_8A85_4017_A8F8_793D381065B1_.wvu.Cols" localSheetId="9" hidden="1">'6 - Conta AC'!#REF!</definedName>
    <definedName name="Z_10FD759A_8A85_4017_A8F8_793D381065B1_.wvu.PrintArea" localSheetId="9" hidden="1">'6 - Conta AC'!$B$1:$G$57</definedName>
    <definedName name="Z_10FD759A_8A85_4017_A8F8_793D381065B1_.wvu.Rows" localSheetId="9" hidden="1">'6 - Conta AC'!#REF!</definedName>
    <definedName name="Z_19106D81_6880_4D7D_8D85_B19D0F8C539E_.wvu.FilterData" localSheetId="5" hidden="1">'Síntese Global'!#REF!</definedName>
    <definedName name="Z_1C59E64B_D7DD_4910_B456_1656811B6186_.wvu.PrintArea" localSheetId="9" hidden="1">'6 - Conta AC'!$B$1:$G$57</definedName>
    <definedName name="Z_1C59E64B_D7DD_4910_B456_1656811B6186_.wvu.Rows" localSheetId="9" hidden="1">'6 - Conta AC'!#REF!</definedName>
    <definedName name="Z_1C8A8EBD_B8E0_4A0A_BA98_B49A8F68A81D_.wvu.Cols" localSheetId="9" hidden="1">'6 - Conta AC'!#REF!</definedName>
    <definedName name="Z_1C8A8EBD_B8E0_4A0A_BA98_B49A8F68A81D_.wvu.PrintArea" localSheetId="9" hidden="1">'6 - Conta AC'!$B$1:$G$57</definedName>
    <definedName name="Z_1C8A8EBD_B8E0_4A0A_BA98_B49A8F68A81D_.wvu.Rows" localSheetId="9" hidden="1">'6 - Conta AC'!#REF!</definedName>
    <definedName name="Z_2C619B4E_8281_44A7_B391_DA0103A39A2A_.wvu.FilterData" localSheetId="5" hidden="1">'Síntese Global'!#REF!</definedName>
    <definedName name="Z_2EA2D52B_13B2_48C6_A647_E974628AB287_.wvu.Cols" localSheetId="13" hidden="1">'10 - EPR'!#REF!</definedName>
    <definedName name="Z_2EA2D52B_13B2_48C6_A647_E974628AB287_.wvu.Cols" localSheetId="15" hidden="1">'12 - SS'!#REF!</definedName>
    <definedName name="Z_2EA2D52B_13B2_48C6_A647_E974628AB287_.wvu.Cols" localSheetId="21" hidden="1">'18 - Dív não Fin'!$AB:$AD</definedName>
    <definedName name="Z_2EA2D52B_13B2_48C6_A647_E974628AB287_.wvu.Cols" localSheetId="10" hidden="1">'7 - Estado'!#REF!</definedName>
    <definedName name="Z_2EA2D52B_13B2_48C6_A647_E974628AB287_.wvu.Cols" localSheetId="11" hidden="1">'8 - R_Est'!#REF!</definedName>
    <definedName name="Z_2EA2D52B_13B2_48C6_A647_E974628AB287_.wvu.Cols" localSheetId="12" hidden="1">'9 - SFA'!#REF!</definedName>
    <definedName name="Z_2EA2D52B_13B2_48C6_A647_E974628AB287_.wvu.Cols" localSheetId="1" hidden="1">Indice_index!$X:$Z</definedName>
    <definedName name="Z_2EA2D52B_13B2_48C6_A647_E974628AB287_.wvu.FilterData" localSheetId="5" hidden="1">'Síntese Global'!#REF!</definedName>
    <definedName name="Z_2EA2D52B_13B2_48C6_A647_E974628AB287_.wvu.PrintArea" localSheetId="2" hidden="1">'1 - Saldo Global Rec Desp'!$B$2:$O$3</definedName>
    <definedName name="Z_2EA2D52B_13B2_48C6_A647_E974628AB287_.wvu.PrintArea" localSheetId="13" hidden="1">'10 - EPR'!$C$2:$J$88</definedName>
    <definedName name="Z_2EA2D52B_13B2_48C6_A647_E974628AB287_.wvu.PrintArea" localSheetId="14" hidden="1">'11 - CGA'!$B$2:$J$52</definedName>
    <definedName name="Z_2EA2D52B_13B2_48C6_A647_E974628AB287_.wvu.PrintArea" localSheetId="15" hidden="1">'12 - SS'!$B$2:$G$75</definedName>
    <definedName name="Z_2EA2D52B_13B2_48C6_A647_E974628AB287_.wvu.PrintArea" localSheetId="17" hidden="1">'14 - Adm R'!#REF!</definedName>
    <definedName name="Z_2EA2D52B_13B2_48C6_A647_E974628AB287_.wvu.PrintArea" localSheetId="18" hidden="1">'15 - Adm Loc'!#REF!</definedName>
    <definedName name="Z_2EA2D52B_13B2_48C6_A647_E974628AB287_.wvu.PrintArea" localSheetId="20" hidden="1">'17 - SNS exec fin'!$B$2:$F$46</definedName>
    <definedName name="Z_2EA2D52B_13B2_48C6_A647_E974628AB287_.wvu.PrintArea" localSheetId="21" hidden="1">'18 - Dív não Fin'!$B$2:$R$32</definedName>
    <definedName name="Z_2EA2D52B_13B2_48C6_A647_E974628AB287_.wvu.PrintArea" localSheetId="22" hidden="1">'19 - CGA Ind'!$B$2:$O$451</definedName>
    <definedName name="Z_2EA2D52B_13B2_48C6_A647_E974628AB287_.wvu.PrintArea" localSheetId="24" hidden="1">'21 - Estimativas'!$B$2:$C$43</definedName>
    <definedName name="Z_2EA2D52B_13B2_48C6_A647_E974628AB287_.wvu.PrintArea" localSheetId="8" hidden="1">'5 - Conta AC + SS'!$B$1:$C$59</definedName>
    <definedName name="Z_2EA2D52B_13B2_48C6_A647_E974628AB287_.wvu.PrintArea" localSheetId="10" hidden="1">'7 - Estado'!$C$2:$C$73</definedName>
    <definedName name="Z_2EA2D52B_13B2_48C6_A647_E974628AB287_.wvu.PrintArea" localSheetId="11" hidden="1">'8 - R_Est'!$B$2:$J$72</definedName>
    <definedName name="Z_2EA2D52B_13B2_48C6_A647_E974628AB287_.wvu.PrintArea" localSheetId="12" hidden="1">'9 - SFA'!$C$2:$J$96</definedName>
    <definedName name="Z_2EA2D52B_13B2_48C6_A647_E974628AB287_.wvu.PrintArea" localSheetId="1" hidden="1">Indice_index!$B$3:$C$16</definedName>
    <definedName name="Z_2EA2D52B_13B2_48C6_A647_E974628AB287_.wvu.PrintArea" localSheetId="5" hidden="1">'Síntese Global'!$B$2:$N$4</definedName>
    <definedName name="Z_2EA2D52B_13B2_48C6_A647_E974628AB287_.wvu.PrintTitles" localSheetId="14" hidden="1">'11 - CGA'!$3:$5</definedName>
    <definedName name="Z_2EA2D52B_13B2_48C6_A647_E974628AB287_.wvu.Rows" localSheetId="5" hidden="1">'Síntese Global'!#REF!</definedName>
    <definedName name="Z_2EBFBD63_3DBA_47FE_A87E_4C36399951BD_.wvu.PrintArea" localSheetId="14" hidden="1">'11 - CGA'!$C$3:$I$51</definedName>
    <definedName name="Z_2EBFBD63_3DBA_47FE_A87E_4C36399951BD_.wvu.PrintTitles" localSheetId="14" hidden="1">'11 - CGA'!$3:$5</definedName>
    <definedName name="Z_2EBFBD63_3DBA_47FE_A87E_4C36399951BD_.wvu.Rows" localSheetId="14" hidden="1">'11 - CGA'!#REF!</definedName>
    <definedName name="Z_32EFB476_A129_4F81_99B1_D66A28D18CC4_.wvu.FilterData" localSheetId="5" hidden="1">'Síntese Global'!#REF!</definedName>
    <definedName name="Z_397AD331_8EE9_49A3_85C5_CAAF9519E963_.wvu.Cols" localSheetId="13" hidden="1">'10 - EPR'!#REF!</definedName>
    <definedName name="Z_397AD331_8EE9_49A3_85C5_CAAF9519E963_.wvu.Cols" localSheetId="15" hidden="1">'12 - SS'!#REF!</definedName>
    <definedName name="Z_397AD331_8EE9_49A3_85C5_CAAF9519E963_.wvu.Cols" localSheetId="21" hidden="1">'18 - Dív não Fin'!$AB:$AD</definedName>
    <definedName name="Z_397AD331_8EE9_49A3_85C5_CAAF9519E963_.wvu.Cols" localSheetId="10" hidden="1">'7 - Estado'!#REF!</definedName>
    <definedName name="Z_397AD331_8EE9_49A3_85C5_CAAF9519E963_.wvu.Cols" localSheetId="11" hidden="1">'8 - R_Est'!#REF!</definedName>
    <definedName name="Z_397AD331_8EE9_49A3_85C5_CAAF9519E963_.wvu.Cols" localSheetId="12" hidden="1">'9 - SFA'!#REF!</definedName>
    <definedName name="Z_397AD331_8EE9_49A3_85C5_CAAF9519E963_.wvu.Cols" localSheetId="1" hidden="1">Indice_index!$X:$Z</definedName>
    <definedName name="Z_397AD331_8EE9_49A3_85C5_CAAF9519E963_.wvu.FilterData" localSheetId="5" hidden="1">'Síntese Global'!#REF!</definedName>
    <definedName name="Z_397AD331_8EE9_49A3_85C5_CAAF9519E963_.wvu.PrintArea" localSheetId="2" hidden="1">'1 - Saldo Global Rec Desp'!$B$2:$O$3</definedName>
    <definedName name="Z_397AD331_8EE9_49A3_85C5_CAAF9519E963_.wvu.PrintArea" localSheetId="13" hidden="1">'10 - EPR'!$C$2:$J$88</definedName>
    <definedName name="Z_397AD331_8EE9_49A3_85C5_CAAF9519E963_.wvu.PrintArea" localSheetId="14" hidden="1">'11 - CGA'!$B$2:$J$52</definedName>
    <definedName name="Z_397AD331_8EE9_49A3_85C5_CAAF9519E963_.wvu.PrintArea" localSheetId="15" hidden="1">'12 - SS'!$B$2:$G$75</definedName>
    <definedName name="Z_397AD331_8EE9_49A3_85C5_CAAF9519E963_.wvu.PrintArea" localSheetId="17" hidden="1">'14 - Adm R'!#REF!</definedName>
    <definedName name="Z_397AD331_8EE9_49A3_85C5_CAAF9519E963_.wvu.PrintArea" localSheetId="18" hidden="1">'15 - Adm Loc'!#REF!</definedName>
    <definedName name="Z_397AD331_8EE9_49A3_85C5_CAAF9519E963_.wvu.PrintArea" localSheetId="20" hidden="1">'17 - SNS exec fin'!$B$2:$F$46</definedName>
    <definedName name="Z_397AD331_8EE9_49A3_85C5_CAAF9519E963_.wvu.PrintArea" localSheetId="21" hidden="1">'18 - Dív não Fin'!$B$2:$R$32</definedName>
    <definedName name="Z_397AD331_8EE9_49A3_85C5_CAAF9519E963_.wvu.PrintArea" localSheetId="22" hidden="1">'19 - CGA Ind'!$B$2:$O$451</definedName>
    <definedName name="Z_397AD331_8EE9_49A3_85C5_CAAF9519E963_.wvu.PrintArea" localSheetId="24" hidden="1">'21 - Estimativas'!$B$2:$C$43</definedName>
    <definedName name="Z_397AD331_8EE9_49A3_85C5_CAAF9519E963_.wvu.PrintArea" localSheetId="8" hidden="1">'5 - Conta AC + SS'!$B$1:$C$59</definedName>
    <definedName name="Z_397AD331_8EE9_49A3_85C5_CAAF9519E963_.wvu.PrintArea" localSheetId="10" hidden="1">'7 - Estado'!$C$2:$C$73</definedName>
    <definedName name="Z_397AD331_8EE9_49A3_85C5_CAAF9519E963_.wvu.PrintArea" localSheetId="11" hidden="1">'8 - R_Est'!$B$2:$J$72</definedName>
    <definedName name="Z_397AD331_8EE9_49A3_85C5_CAAF9519E963_.wvu.PrintArea" localSheetId="12" hidden="1">'9 - SFA'!$C$2:$J$96</definedName>
    <definedName name="Z_397AD331_8EE9_49A3_85C5_CAAF9519E963_.wvu.PrintArea" localSheetId="1" hidden="1">Indice_index!$B$3:$C$16</definedName>
    <definedName name="Z_397AD331_8EE9_49A3_85C5_CAAF9519E963_.wvu.PrintArea" localSheetId="5" hidden="1">'Síntese Global'!$B$2:$N$4</definedName>
    <definedName name="Z_397AD331_8EE9_49A3_85C5_CAAF9519E963_.wvu.PrintTitles" localSheetId="14" hidden="1">'11 - CGA'!$3:$5</definedName>
    <definedName name="Z_3CBF401B_BA90_4504_A812_4461208B2AAF_.wvu.Cols" localSheetId="13" hidden="1">'10 - EPR'!#REF!,'10 - EPR'!#REF!</definedName>
    <definedName name="Z_3CBF401B_BA90_4504_A812_4461208B2AAF_.wvu.Cols" localSheetId="15" hidden="1">'12 - SS'!#REF!</definedName>
    <definedName name="Z_3CBF401B_BA90_4504_A812_4461208B2AAF_.wvu.Cols" localSheetId="21" hidden="1">'18 - Dív não Fin'!$AB:$AD</definedName>
    <definedName name="Z_3CBF401B_BA90_4504_A812_4461208B2AAF_.wvu.Cols" localSheetId="10" hidden="1">'7 - Estado'!#REF!,'7 - Estado'!#REF!</definedName>
    <definedName name="Z_3CBF401B_BA90_4504_A812_4461208B2AAF_.wvu.Cols" localSheetId="11" hidden="1">'8 - R_Est'!#REF!</definedName>
    <definedName name="Z_3CBF401B_BA90_4504_A812_4461208B2AAF_.wvu.Cols" localSheetId="12" hidden="1">'9 - SFA'!#REF!,'9 - SFA'!#REF!</definedName>
    <definedName name="Z_3CBF401B_BA90_4504_A812_4461208B2AAF_.wvu.Cols" localSheetId="1" hidden="1">Indice_index!$X:$Z</definedName>
    <definedName name="Z_3CBF401B_BA90_4504_A812_4461208B2AAF_.wvu.FilterData" localSheetId="5" hidden="1">'Síntese Global'!#REF!</definedName>
    <definedName name="Z_3CBF401B_BA90_4504_A812_4461208B2AAF_.wvu.PrintArea" localSheetId="2" hidden="1">'1 - Saldo Global Rec Desp'!$B$2:$O$3</definedName>
    <definedName name="Z_3CBF401B_BA90_4504_A812_4461208B2AAF_.wvu.PrintArea" localSheetId="13" hidden="1">'10 - EPR'!$B$2:$J$88</definedName>
    <definedName name="Z_3CBF401B_BA90_4504_A812_4461208B2AAF_.wvu.PrintArea" localSheetId="14" hidden="1">'11 - CGA'!$B$2:$J$52</definedName>
    <definedName name="Z_3CBF401B_BA90_4504_A812_4461208B2AAF_.wvu.PrintArea" localSheetId="15" hidden="1">'12 - SS'!$B$2:$G$75</definedName>
    <definedName name="Z_3CBF401B_BA90_4504_A812_4461208B2AAF_.wvu.PrintArea" localSheetId="17" hidden="1">'14 - Adm R'!#REF!</definedName>
    <definedName name="Z_3CBF401B_BA90_4504_A812_4461208B2AAF_.wvu.PrintArea" localSheetId="18" hidden="1">'15 - Adm Loc'!#REF!</definedName>
    <definedName name="Z_3CBF401B_BA90_4504_A812_4461208B2AAF_.wvu.PrintArea" localSheetId="20" hidden="1">'17 - SNS exec fin'!$B$2:$F$46</definedName>
    <definedName name="Z_3CBF401B_BA90_4504_A812_4461208B2AAF_.wvu.PrintArea" localSheetId="21" hidden="1">'18 - Dív não Fin'!$B$2:$R$57</definedName>
    <definedName name="Z_3CBF401B_BA90_4504_A812_4461208B2AAF_.wvu.PrintArea" localSheetId="22" hidden="1">'19 - CGA Ind'!$B$2:$O$451</definedName>
    <definedName name="Z_3CBF401B_BA90_4504_A812_4461208B2AAF_.wvu.PrintArea" localSheetId="24" hidden="1">'21 - Estimativas'!$B$2:$C$43</definedName>
    <definedName name="Z_3CBF401B_BA90_4504_A812_4461208B2AAF_.wvu.PrintArea" localSheetId="8" hidden="1">'5 - Conta AC + SS'!$B$2:$J$66</definedName>
    <definedName name="Z_3CBF401B_BA90_4504_A812_4461208B2AAF_.wvu.PrintArea" localSheetId="10" hidden="1">'7 - Estado'!$B$2:$C$73</definedName>
    <definedName name="Z_3CBF401B_BA90_4504_A812_4461208B2AAF_.wvu.PrintArea" localSheetId="11" hidden="1">'8 - R_Est'!$B$2:$J$72</definedName>
    <definedName name="Z_3CBF401B_BA90_4504_A812_4461208B2AAF_.wvu.PrintArea" localSheetId="12" hidden="1">'9 - SFA'!$B$2:$J$95</definedName>
    <definedName name="Z_3CBF401B_BA90_4504_A812_4461208B2AAF_.wvu.PrintArea" localSheetId="1" hidden="1">Indice_index!$B$3:$C$16,Indice_index!$B$17:$C$33</definedName>
    <definedName name="Z_3CBF401B_BA90_4504_A812_4461208B2AAF_.wvu.PrintArea" localSheetId="5" hidden="1">'Síntese Global'!$B$2:$N$4</definedName>
    <definedName name="Z_3CBF401B_BA90_4504_A812_4461208B2AAF_.wvu.PrintTitles" localSheetId="14" hidden="1">'11 - CGA'!$3:$5</definedName>
    <definedName name="Z_409D0809_DA86_4C14_803D_2162A19A44FF_.wvu.Cols" localSheetId="21" hidden="1">'18 - Dív não Fin'!$AB:$AD</definedName>
    <definedName name="Z_409D0809_DA86_4C14_803D_2162A19A44FF_.wvu.Cols" localSheetId="11" hidden="1">'8 - R_Est'!#REF!</definedName>
    <definedName name="Z_409D0809_DA86_4C14_803D_2162A19A44FF_.wvu.Cols" localSheetId="1" hidden="1">Indice_index!$X:$Z</definedName>
    <definedName name="Z_409D0809_DA86_4C14_803D_2162A19A44FF_.wvu.FilterData" localSheetId="5" hidden="1">'Síntese Global'!#REF!</definedName>
    <definedName name="Z_409D0809_DA86_4C14_803D_2162A19A44FF_.wvu.PrintArea" localSheetId="2" hidden="1">'1 - Saldo Global Rec Desp'!$B$2:$O$3</definedName>
    <definedName name="Z_409D0809_DA86_4C14_803D_2162A19A44FF_.wvu.PrintArea" localSheetId="13" hidden="1">'10 - EPR'!$C$2:$J$88</definedName>
    <definedName name="Z_409D0809_DA86_4C14_803D_2162A19A44FF_.wvu.PrintArea" localSheetId="14" hidden="1">'11 - CGA'!$B$2:$J$52</definedName>
    <definedName name="Z_409D0809_DA86_4C14_803D_2162A19A44FF_.wvu.PrintArea" localSheetId="15" hidden="1">'12 - SS'!$B$2:$G$76</definedName>
    <definedName name="Z_409D0809_DA86_4C14_803D_2162A19A44FF_.wvu.PrintArea" localSheetId="17" hidden="1">'14 - Adm R'!#REF!</definedName>
    <definedName name="Z_409D0809_DA86_4C14_803D_2162A19A44FF_.wvu.PrintArea" localSheetId="18" hidden="1">'15 - Adm Loc'!#REF!</definedName>
    <definedName name="Z_409D0809_DA86_4C14_803D_2162A19A44FF_.wvu.PrintArea" localSheetId="20" hidden="1">'17 - SNS exec fin'!$B$2:$F$46</definedName>
    <definedName name="Z_409D0809_DA86_4C14_803D_2162A19A44FF_.wvu.PrintArea" localSheetId="21" hidden="1">'18 - Dív não Fin'!$B$2:$R$57</definedName>
    <definedName name="Z_409D0809_DA86_4C14_803D_2162A19A44FF_.wvu.PrintArea" localSheetId="22" hidden="1">'19 - CGA Ind'!$B$2:$O$451</definedName>
    <definedName name="Z_409D0809_DA86_4C14_803D_2162A19A44FF_.wvu.PrintArea" localSheetId="24" hidden="1">'21 - Estimativas'!$B$2:$C$43</definedName>
    <definedName name="Z_409D0809_DA86_4C14_803D_2162A19A44FF_.wvu.PrintArea" localSheetId="8" hidden="1">'5 - Conta AC + SS'!$B$1:$J$66</definedName>
    <definedName name="Z_409D0809_DA86_4C14_803D_2162A19A44FF_.wvu.PrintArea" localSheetId="10" hidden="1">'7 - Estado'!$C$2:$C$73</definedName>
    <definedName name="Z_409D0809_DA86_4C14_803D_2162A19A44FF_.wvu.PrintArea" localSheetId="11" hidden="1">'8 - R_Est'!$B$2:$J$74</definedName>
    <definedName name="Z_409D0809_DA86_4C14_803D_2162A19A44FF_.wvu.PrintArea" localSheetId="12" hidden="1">'9 - SFA'!$C$2:$J$87</definedName>
    <definedName name="Z_409D0809_DA86_4C14_803D_2162A19A44FF_.wvu.PrintArea" localSheetId="1" hidden="1">Indice_index!$B$3:$C$16</definedName>
    <definedName name="Z_409D0809_DA86_4C14_803D_2162A19A44FF_.wvu.PrintArea" localSheetId="5" hidden="1">'Síntese Global'!$B$2:$N$4</definedName>
    <definedName name="Z_409D0809_DA86_4C14_803D_2162A19A44FF_.wvu.PrintTitles" localSheetId="14" hidden="1">'11 - CGA'!$3:$5</definedName>
    <definedName name="Z_409D0809_DA86_4C14_803D_2162A19A44FF_.wvu.Rows" localSheetId="5" hidden="1">'Síntese Global'!#REF!</definedName>
    <definedName name="Z_43AB44CB_B133_4B3C_9B24_AA3B4A5A58A7_.wvu.Cols" localSheetId="13" hidden="1">'10 - EPR'!#REF!</definedName>
    <definedName name="Z_43AB44CB_B133_4B3C_9B24_AA3B4A5A58A7_.wvu.Cols" localSheetId="21" hidden="1">'18 - Dív não Fin'!$AB:$AD</definedName>
    <definedName name="Z_43AB44CB_B133_4B3C_9B24_AA3B4A5A58A7_.wvu.Cols" localSheetId="10" hidden="1">'7 - Estado'!#REF!</definedName>
    <definedName name="Z_43AB44CB_B133_4B3C_9B24_AA3B4A5A58A7_.wvu.Cols" localSheetId="11" hidden="1">'8 - R_Est'!#REF!</definedName>
    <definedName name="Z_43AB44CB_B133_4B3C_9B24_AA3B4A5A58A7_.wvu.Cols" localSheetId="12" hidden="1">'9 - SFA'!#REF!</definedName>
    <definedName name="Z_43AB44CB_B133_4B3C_9B24_AA3B4A5A58A7_.wvu.Cols" localSheetId="1" hidden="1">Indice_index!$X:$Z</definedName>
    <definedName name="Z_43AB44CB_B133_4B3C_9B24_AA3B4A5A58A7_.wvu.FilterData" localSheetId="5" hidden="1">'Síntese Global'!#REF!</definedName>
    <definedName name="Z_43AB44CB_B133_4B3C_9B24_AA3B4A5A58A7_.wvu.PrintArea" localSheetId="2" hidden="1">'1 - Saldo Global Rec Desp'!$B$2:$O$3</definedName>
    <definedName name="Z_43AB44CB_B133_4B3C_9B24_AA3B4A5A58A7_.wvu.PrintArea" localSheetId="13" hidden="1">'10 - EPR'!$C$2:$J$88</definedName>
    <definedName name="Z_43AB44CB_B133_4B3C_9B24_AA3B4A5A58A7_.wvu.PrintArea" localSheetId="14" hidden="1">'11 - CGA'!$B$2:$J$52</definedName>
    <definedName name="Z_43AB44CB_B133_4B3C_9B24_AA3B4A5A58A7_.wvu.PrintArea" localSheetId="15" hidden="1">'12 - SS'!$B$2:$G$75</definedName>
    <definedName name="Z_43AB44CB_B133_4B3C_9B24_AA3B4A5A58A7_.wvu.PrintArea" localSheetId="17" hidden="1">'14 - Adm R'!#REF!</definedName>
    <definedName name="Z_43AB44CB_B133_4B3C_9B24_AA3B4A5A58A7_.wvu.PrintArea" localSheetId="18" hidden="1">'15 - Adm Loc'!#REF!</definedName>
    <definedName name="Z_43AB44CB_B133_4B3C_9B24_AA3B4A5A58A7_.wvu.PrintArea" localSheetId="20" hidden="1">'17 - SNS exec fin'!$B$2:$F$46</definedName>
    <definedName name="Z_43AB44CB_B133_4B3C_9B24_AA3B4A5A58A7_.wvu.PrintArea" localSheetId="21" hidden="1">'18 - Dív não Fin'!$B$2:$R$57</definedName>
    <definedName name="Z_43AB44CB_B133_4B3C_9B24_AA3B4A5A58A7_.wvu.PrintArea" localSheetId="22" hidden="1">'19 - CGA Ind'!$B$2:$O$451</definedName>
    <definedName name="Z_43AB44CB_B133_4B3C_9B24_AA3B4A5A58A7_.wvu.PrintArea" localSheetId="24" hidden="1">'21 - Estimativas'!$B$2:$C$43</definedName>
    <definedName name="Z_43AB44CB_B133_4B3C_9B24_AA3B4A5A58A7_.wvu.PrintArea" localSheetId="8" hidden="1">'5 - Conta AC + SS'!$B$1:$J$66</definedName>
    <definedName name="Z_43AB44CB_B133_4B3C_9B24_AA3B4A5A58A7_.wvu.PrintArea" localSheetId="10" hidden="1">'7 - Estado'!$C$2:$C$73</definedName>
    <definedName name="Z_43AB44CB_B133_4B3C_9B24_AA3B4A5A58A7_.wvu.PrintArea" localSheetId="11" hidden="1">'8 - R_Est'!$B$2:$J$74</definedName>
    <definedName name="Z_43AB44CB_B133_4B3C_9B24_AA3B4A5A58A7_.wvu.PrintArea" localSheetId="12" hidden="1">'9 - SFA'!$C$2:$J$87</definedName>
    <definedName name="Z_43AB44CB_B133_4B3C_9B24_AA3B4A5A58A7_.wvu.PrintArea" localSheetId="1" hidden="1">Indice_index!$B$3:$C$16</definedName>
    <definedName name="Z_43AB44CB_B133_4B3C_9B24_AA3B4A5A58A7_.wvu.PrintArea" localSheetId="5" hidden="1">'Síntese Global'!$B$2:$N$4</definedName>
    <definedName name="Z_43AB44CB_B133_4B3C_9B24_AA3B4A5A58A7_.wvu.PrintTitles" localSheetId="14" hidden="1">'11 - CGA'!$3:$5</definedName>
    <definedName name="Z_43AB44CB_B133_4B3C_9B24_AA3B4A5A58A7_.wvu.Rows" localSheetId="5" hidden="1">'Síntese Global'!#REF!</definedName>
    <definedName name="Z_4FDFE74B_B8E8_45D5_B3EE_9280ECE70BAA_.wvu.FilterData" localSheetId="5" hidden="1">'Síntese Global'!#REF!</definedName>
    <definedName name="Z_536C31F2_3B98_44EC_AFD0_C5BCDB62B873_.wvu.Cols" localSheetId="13" hidden="1">'10 - EPR'!#REF!</definedName>
    <definedName name="Z_536C31F2_3B98_44EC_AFD0_C5BCDB62B873_.wvu.Cols" localSheetId="15" hidden="1">'12 - SS'!#REF!</definedName>
    <definedName name="Z_536C31F2_3B98_44EC_AFD0_C5BCDB62B873_.wvu.Cols" localSheetId="21" hidden="1">'18 - Dív não Fin'!$AB:$AD</definedName>
    <definedName name="Z_536C31F2_3B98_44EC_AFD0_C5BCDB62B873_.wvu.Cols" localSheetId="10" hidden="1">'7 - Estado'!#REF!</definedName>
    <definedName name="Z_536C31F2_3B98_44EC_AFD0_C5BCDB62B873_.wvu.Cols" localSheetId="11" hidden="1">'8 - R_Est'!#REF!</definedName>
    <definedName name="Z_536C31F2_3B98_44EC_AFD0_C5BCDB62B873_.wvu.Cols" localSheetId="12" hidden="1">'9 - SFA'!#REF!</definedName>
    <definedName name="Z_536C31F2_3B98_44EC_AFD0_C5BCDB62B873_.wvu.Cols" localSheetId="1" hidden="1">Indice_index!$X:$Z</definedName>
    <definedName name="Z_536C31F2_3B98_44EC_AFD0_C5BCDB62B873_.wvu.FilterData" localSheetId="5" hidden="1">'Síntese Global'!#REF!</definedName>
    <definedName name="Z_536C31F2_3B98_44EC_AFD0_C5BCDB62B873_.wvu.PrintArea" localSheetId="2" hidden="1">'1 - Saldo Global Rec Desp'!$B$2:$O$3</definedName>
    <definedName name="Z_536C31F2_3B98_44EC_AFD0_C5BCDB62B873_.wvu.PrintArea" localSheetId="13" hidden="1">'10 - EPR'!$C$2:$J$88</definedName>
    <definedName name="Z_536C31F2_3B98_44EC_AFD0_C5BCDB62B873_.wvu.PrintArea" localSheetId="14" hidden="1">'11 - CGA'!$B$2:$J$52</definedName>
    <definedName name="Z_536C31F2_3B98_44EC_AFD0_C5BCDB62B873_.wvu.PrintArea" localSheetId="15" hidden="1">'12 - SS'!$B$2:$G$75</definedName>
    <definedName name="Z_536C31F2_3B98_44EC_AFD0_C5BCDB62B873_.wvu.PrintArea" localSheetId="17" hidden="1">'14 - Adm R'!#REF!</definedName>
    <definedName name="Z_536C31F2_3B98_44EC_AFD0_C5BCDB62B873_.wvu.PrintArea" localSheetId="18" hidden="1">'15 - Adm Loc'!#REF!</definedName>
    <definedName name="Z_536C31F2_3B98_44EC_AFD0_C5BCDB62B873_.wvu.PrintArea" localSheetId="20" hidden="1">'17 - SNS exec fin'!$B$2:$F$46</definedName>
    <definedName name="Z_536C31F2_3B98_44EC_AFD0_C5BCDB62B873_.wvu.PrintArea" localSheetId="21" hidden="1">'18 - Dív não Fin'!$B$2:$R$57</definedName>
    <definedName name="Z_536C31F2_3B98_44EC_AFD0_C5BCDB62B873_.wvu.PrintArea" localSheetId="22" hidden="1">'19 - CGA Ind'!$B$2:$O$451</definedName>
    <definedName name="Z_536C31F2_3B98_44EC_AFD0_C5BCDB62B873_.wvu.PrintArea" localSheetId="24" hidden="1">'21 - Estimativas'!$B$2:$C$43</definedName>
    <definedName name="Z_536C31F2_3B98_44EC_AFD0_C5BCDB62B873_.wvu.PrintArea" localSheetId="8" hidden="1">'5 - Conta AC + SS'!$B$1:$J$66</definedName>
    <definedName name="Z_536C31F2_3B98_44EC_AFD0_C5BCDB62B873_.wvu.PrintArea" localSheetId="10" hidden="1">'7 - Estado'!$C$2:$C$73</definedName>
    <definedName name="Z_536C31F2_3B98_44EC_AFD0_C5BCDB62B873_.wvu.PrintArea" localSheetId="11" hidden="1">'8 - R_Est'!$B$2:$J$74</definedName>
    <definedName name="Z_536C31F2_3B98_44EC_AFD0_C5BCDB62B873_.wvu.PrintArea" localSheetId="12" hidden="1">'9 - SFA'!$C$2:$J$87</definedName>
    <definedName name="Z_536C31F2_3B98_44EC_AFD0_C5BCDB62B873_.wvu.PrintArea" localSheetId="1" hidden="1">Indice_index!$B$3:$C$16</definedName>
    <definedName name="Z_536C31F2_3B98_44EC_AFD0_C5BCDB62B873_.wvu.PrintArea" localSheetId="5" hidden="1">'Síntese Global'!$B$2:$N$4</definedName>
    <definedName name="Z_536C31F2_3B98_44EC_AFD0_C5BCDB62B873_.wvu.PrintTitles" localSheetId="14" hidden="1">'11 - CGA'!$3:$5</definedName>
    <definedName name="Z_536C31F2_3B98_44EC_AFD0_C5BCDB62B873_.wvu.Rows" localSheetId="5" hidden="1">'Síntese Global'!#REF!</definedName>
    <definedName name="Z_59138F59_74DA_41AA_B5AC_3A9EC191F461_.wvu.FilterData" localSheetId="5" hidden="1">'Síntese Global'!#REF!</definedName>
    <definedName name="Z_594D7528_349E_4A53_9456_ED22FC4DC2D5_.wvu.FilterData" localSheetId="5" hidden="1">'Síntese Global'!#REF!</definedName>
    <definedName name="Z_60062E94_E9B0_4825_A812_182FE1DB6021_.wvu.Cols" localSheetId="13" hidden="1">'10 - EPR'!#REF!</definedName>
    <definedName name="Z_60062E94_E9B0_4825_A812_182FE1DB6021_.wvu.Cols" localSheetId="15" hidden="1">'12 - SS'!#REF!</definedName>
    <definedName name="Z_60062E94_E9B0_4825_A812_182FE1DB6021_.wvu.Cols" localSheetId="21" hidden="1">'18 - Dív não Fin'!$AB:$AD</definedName>
    <definedName name="Z_60062E94_E9B0_4825_A812_182FE1DB6021_.wvu.Cols" localSheetId="10" hidden="1">'7 - Estado'!#REF!</definedName>
    <definedName name="Z_60062E94_E9B0_4825_A812_182FE1DB6021_.wvu.Cols" localSheetId="11" hidden="1">'8 - R_Est'!#REF!</definedName>
    <definedName name="Z_60062E94_E9B0_4825_A812_182FE1DB6021_.wvu.Cols" localSheetId="12" hidden="1">'9 - SFA'!#REF!</definedName>
    <definedName name="Z_60062E94_E9B0_4825_A812_182FE1DB6021_.wvu.Cols" localSheetId="1" hidden="1">Indice_index!$X:$Z</definedName>
    <definedName name="Z_60062E94_E9B0_4825_A812_182FE1DB6021_.wvu.FilterData" localSheetId="5" hidden="1">'Síntese Global'!#REF!</definedName>
    <definedName name="Z_60062E94_E9B0_4825_A812_182FE1DB6021_.wvu.PrintArea" localSheetId="2" hidden="1">'1 - Saldo Global Rec Desp'!$B$2:$O$3</definedName>
    <definedName name="Z_60062E94_E9B0_4825_A812_182FE1DB6021_.wvu.PrintArea" localSheetId="13" hidden="1">'10 - EPR'!$C$2:$J$88</definedName>
    <definedName name="Z_60062E94_E9B0_4825_A812_182FE1DB6021_.wvu.PrintArea" localSheetId="14" hidden="1">'11 - CGA'!$B$2:$J$52</definedName>
    <definedName name="Z_60062E94_E9B0_4825_A812_182FE1DB6021_.wvu.PrintArea" localSheetId="15" hidden="1">'12 - SS'!$B$2:$G$75</definedName>
    <definedName name="Z_60062E94_E9B0_4825_A812_182FE1DB6021_.wvu.PrintArea" localSheetId="17" hidden="1">'14 - Adm R'!#REF!</definedName>
    <definedName name="Z_60062E94_E9B0_4825_A812_182FE1DB6021_.wvu.PrintArea" localSheetId="18" hidden="1">'15 - Adm Loc'!#REF!</definedName>
    <definedName name="Z_60062E94_E9B0_4825_A812_182FE1DB6021_.wvu.PrintArea" localSheetId="20" hidden="1">'17 - SNS exec fin'!$B$2:$F$46</definedName>
    <definedName name="Z_60062E94_E9B0_4825_A812_182FE1DB6021_.wvu.PrintArea" localSheetId="21" hidden="1">'18 - Dív não Fin'!$B$2:$R$32</definedName>
    <definedName name="Z_60062E94_E9B0_4825_A812_182FE1DB6021_.wvu.PrintArea" localSheetId="22" hidden="1">'19 - CGA Ind'!$B$2:$O$451</definedName>
    <definedName name="Z_60062E94_E9B0_4825_A812_182FE1DB6021_.wvu.PrintArea" localSheetId="24" hidden="1">'21 - Estimativas'!$B$2:$C$43</definedName>
    <definedName name="Z_60062E94_E9B0_4825_A812_182FE1DB6021_.wvu.PrintArea" localSheetId="8" hidden="1">'5 - Conta AC + SS'!$B$1:$J$67</definedName>
    <definedName name="Z_60062E94_E9B0_4825_A812_182FE1DB6021_.wvu.PrintArea" localSheetId="10" hidden="1">'7 - Estado'!$C$2:$C$73</definedName>
    <definedName name="Z_60062E94_E9B0_4825_A812_182FE1DB6021_.wvu.PrintArea" localSheetId="11" hidden="1">'8 - R_Est'!$B$2:$J$72</definedName>
    <definedName name="Z_60062E94_E9B0_4825_A812_182FE1DB6021_.wvu.PrintArea" localSheetId="12" hidden="1">'9 - SFA'!$C$2:$J$96</definedName>
    <definedName name="Z_60062E94_E9B0_4825_A812_182FE1DB6021_.wvu.PrintArea" localSheetId="1" hidden="1">Indice_index!$B$3:$C$16</definedName>
    <definedName name="Z_60062E94_E9B0_4825_A812_182FE1DB6021_.wvu.PrintArea" localSheetId="5" hidden="1">'Síntese Global'!$B$2:$N$4</definedName>
    <definedName name="Z_60062E94_E9B0_4825_A812_182FE1DB6021_.wvu.PrintTitles" localSheetId="14" hidden="1">'11 - CGA'!$3:$5</definedName>
    <definedName name="Z_645327DC_9261_4825_AC39_50ECCE512556_.wvu.FilterData" localSheetId="5" hidden="1">'Síntese Global'!#REF!</definedName>
    <definedName name="Z_68687FA3_7DD6_4345_9892_D3D104C1FB65_.wvu.FilterData" localSheetId="5" hidden="1">'Síntese Global'!#REF!</definedName>
    <definedName name="Z_68B2539D_0201_40E8_9D65_194898562BC8_.wvu.Cols" localSheetId="9" hidden="1">'6 - Conta AC'!#REF!</definedName>
    <definedName name="Z_68B2539D_0201_40E8_9D65_194898562BC8_.wvu.PrintArea" localSheetId="9" hidden="1">'6 - Conta AC'!$B$1:$G$57</definedName>
    <definedName name="Z_68B2539D_0201_40E8_9D65_194898562BC8_.wvu.Rows" localSheetId="9" hidden="1">'6 - Conta AC'!#REF!</definedName>
    <definedName name="Z_7C9CF15C_1C68_49F7_9700_3FAC67AFF208_.wvu.Cols" localSheetId="13" hidden="1">'10 - EPR'!#REF!,'10 - EPR'!#REF!</definedName>
    <definedName name="Z_7C9CF15C_1C68_49F7_9700_3FAC67AFF208_.wvu.Cols" localSheetId="15" hidden="1">'12 - SS'!#REF!</definedName>
    <definedName name="Z_7C9CF15C_1C68_49F7_9700_3FAC67AFF208_.wvu.Cols" localSheetId="21" hidden="1">'18 - Dív não Fin'!$AB:$AD</definedName>
    <definedName name="Z_7C9CF15C_1C68_49F7_9700_3FAC67AFF208_.wvu.Cols" localSheetId="10" hidden="1">'7 - Estado'!#REF!,'7 - Estado'!#REF!</definedName>
    <definedName name="Z_7C9CF15C_1C68_49F7_9700_3FAC67AFF208_.wvu.Cols" localSheetId="11" hidden="1">'8 - R_Est'!#REF!</definedName>
    <definedName name="Z_7C9CF15C_1C68_49F7_9700_3FAC67AFF208_.wvu.Cols" localSheetId="12" hidden="1">'9 - SFA'!#REF!,'9 - SFA'!#REF!</definedName>
    <definedName name="Z_7C9CF15C_1C68_49F7_9700_3FAC67AFF208_.wvu.Cols" localSheetId="1" hidden="1">Indice_index!$X:$Z</definedName>
    <definedName name="Z_7C9CF15C_1C68_49F7_9700_3FAC67AFF208_.wvu.FilterData" localSheetId="5" hidden="1">'Síntese Global'!#REF!</definedName>
    <definedName name="Z_7C9CF15C_1C68_49F7_9700_3FAC67AFF208_.wvu.PrintArea" localSheetId="2" hidden="1">'1 - Saldo Global Rec Desp'!$B$2:$O$3</definedName>
    <definedName name="Z_7C9CF15C_1C68_49F7_9700_3FAC67AFF208_.wvu.PrintArea" localSheetId="13" hidden="1">'10 - EPR'!$C$2:$J$88</definedName>
    <definedName name="Z_7C9CF15C_1C68_49F7_9700_3FAC67AFF208_.wvu.PrintArea" localSheetId="14" hidden="1">'11 - CGA'!$B$2:$J$52</definedName>
    <definedName name="Z_7C9CF15C_1C68_49F7_9700_3FAC67AFF208_.wvu.PrintArea" localSheetId="15" hidden="1">'12 - SS'!$B$2:$G$75</definedName>
    <definedName name="Z_7C9CF15C_1C68_49F7_9700_3FAC67AFF208_.wvu.PrintArea" localSheetId="17" hidden="1">'14 - Adm R'!#REF!</definedName>
    <definedName name="Z_7C9CF15C_1C68_49F7_9700_3FAC67AFF208_.wvu.PrintArea" localSheetId="18" hidden="1">'15 - Adm Loc'!#REF!</definedName>
    <definedName name="Z_7C9CF15C_1C68_49F7_9700_3FAC67AFF208_.wvu.PrintArea" localSheetId="20" hidden="1">'17 - SNS exec fin'!$B$2:$F$46</definedName>
    <definedName name="Z_7C9CF15C_1C68_49F7_9700_3FAC67AFF208_.wvu.PrintArea" localSheetId="21" hidden="1">'18 - Dív não Fin'!$B$2:$R$32</definedName>
    <definedName name="Z_7C9CF15C_1C68_49F7_9700_3FAC67AFF208_.wvu.PrintArea" localSheetId="22" hidden="1">'19 - CGA Ind'!$B$2:$O$451</definedName>
    <definedName name="Z_7C9CF15C_1C68_49F7_9700_3FAC67AFF208_.wvu.PrintArea" localSheetId="24" hidden="1">'21 - Estimativas'!$B$2:$C$43</definedName>
    <definedName name="Z_7C9CF15C_1C68_49F7_9700_3FAC67AFF208_.wvu.PrintArea" localSheetId="8" hidden="1">'5 - Conta AC + SS'!$B$1:$J$62</definedName>
    <definedName name="Z_7C9CF15C_1C68_49F7_9700_3FAC67AFF208_.wvu.PrintArea" localSheetId="10" hidden="1">'7 - Estado'!$C$2:$C$73</definedName>
    <definedName name="Z_7C9CF15C_1C68_49F7_9700_3FAC67AFF208_.wvu.PrintArea" localSheetId="11" hidden="1">'8 - R_Est'!$B$2:$J$72</definedName>
    <definedName name="Z_7C9CF15C_1C68_49F7_9700_3FAC67AFF208_.wvu.PrintArea" localSheetId="12" hidden="1">'9 - SFA'!$C$2:$J$96</definedName>
    <definedName name="Z_7C9CF15C_1C68_49F7_9700_3FAC67AFF208_.wvu.PrintArea" localSheetId="1" hidden="1">Indice_index!$B$3:$C$16</definedName>
    <definedName name="Z_7C9CF15C_1C68_49F7_9700_3FAC67AFF208_.wvu.PrintArea" localSheetId="5" hidden="1">'Síntese Global'!$B$2:$N$4</definedName>
    <definedName name="Z_7C9CF15C_1C68_49F7_9700_3FAC67AFF208_.wvu.PrintTitles" localSheetId="14" hidden="1">'11 - CGA'!$3:$5</definedName>
    <definedName name="Z_7CA5BB97_2187_416C_9857_772DA4746ED0_.wvu.FilterData" localSheetId="5" hidden="1">'Síntese Global'!#REF!</definedName>
    <definedName name="Z_8F7B2197_80F0_43A5_ABDC_5B4D3DE510E2_.wvu.FilterData" localSheetId="5" hidden="1">'Síntese Global'!#REF!</definedName>
    <definedName name="Z_9177A1FF_E4C8_4A1B_B90F_C92196CC7C57_.wvu.Cols" localSheetId="13" hidden="1">'10 - EPR'!#REF!</definedName>
    <definedName name="Z_9177A1FF_E4C8_4A1B_B90F_C92196CC7C57_.wvu.Cols" localSheetId="21" hidden="1">'18 - Dív não Fin'!$AB:$AD</definedName>
    <definedName name="Z_9177A1FF_E4C8_4A1B_B90F_C92196CC7C57_.wvu.Cols" localSheetId="10" hidden="1">'7 - Estado'!#REF!</definedName>
    <definedName name="Z_9177A1FF_E4C8_4A1B_B90F_C92196CC7C57_.wvu.Cols" localSheetId="11" hidden="1">'8 - R_Est'!#REF!</definedName>
    <definedName name="Z_9177A1FF_E4C8_4A1B_B90F_C92196CC7C57_.wvu.Cols" localSheetId="12" hidden="1">'9 - SFA'!#REF!</definedName>
    <definedName name="Z_9177A1FF_E4C8_4A1B_B90F_C92196CC7C57_.wvu.Cols" localSheetId="1" hidden="1">Indice_index!$X:$Z</definedName>
    <definedName name="Z_9177A1FF_E4C8_4A1B_B90F_C92196CC7C57_.wvu.FilterData" localSheetId="5" hidden="1">'Síntese Global'!#REF!</definedName>
    <definedName name="Z_9177A1FF_E4C8_4A1B_B90F_C92196CC7C57_.wvu.PrintArea" localSheetId="2" hidden="1">'1 - Saldo Global Rec Desp'!$B$2:$O$3</definedName>
    <definedName name="Z_9177A1FF_E4C8_4A1B_B90F_C92196CC7C57_.wvu.PrintArea" localSheetId="13" hidden="1">'10 - EPR'!$C$2:$J$88</definedName>
    <definedName name="Z_9177A1FF_E4C8_4A1B_B90F_C92196CC7C57_.wvu.PrintArea" localSheetId="14" hidden="1">'11 - CGA'!$B$2:$J$52</definedName>
    <definedName name="Z_9177A1FF_E4C8_4A1B_B90F_C92196CC7C57_.wvu.PrintArea" localSheetId="15" hidden="1">'12 - SS'!$B$2:$G$75</definedName>
    <definedName name="Z_9177A1FF_E4C8_4A1B_B90F_C92196CC7C57_.wvu.PrintArea" localSheetId="17" hidden="1">'14 - Adm R'!#REF!</definedName>
    <definedName name="Z_9177A1FF_E4C8_4A1B_B90F_C92196CC7C57_.wvu.PrintArea" localSheetId="18" hidden="1">'15 - Adm Loc'!#REF!</definedName>
    <definedName name="Z_9177A1FF_E4C8_4A1B_B90F_C92196CC7C57_.wvu.PrintArea" localSheetId="20" hidden="1">'17 - SNS exec fin'!$B$2:$F$46</definedName>
    <definedName name="Z_9177A1FF_E4C8_4A1B_B90F_C92196CC7C57_.wvu.PrintArea" localSheetId="21" hidden="1">'18 - Dív não Fin'!$B$2:$R$57</definedName>
    <definedName name="Z_9177A1FF_E4C8_4A1B_B90F_C92196CC7C57_.wvu.PrintArea" localSheetId="22" hidden="1">'19 - CGA Ind'!$B$2:$O$451</definedName>
    <definedName name="Z_9177A1FF_E4C8_4A1B_B90F_C92196CC7C57_.wvu.PrintArea" localSheetId="24" hidden="1">'21 - Estimativas'!$B$2:$C$43</definedName>
    <definedName name="Z_9177A1FF_E4C8_4A1B_B90F_C92196CC7C57_.wvu.PrintArea" localSheetId="8" hidden="1">'5 - Conta AC + SS'!$B$1:$J$66</definedName>
    <definedName name="Z_9177A1FF_E4C8_4A1B_B90F_C92196CC7C57_.wvu.PrintArea" localSheetId="10" hidden="1">'7 - Estado'!$C$2:$C$73</definedName>
    <definedName name="Z_9177A1FF_E4C8_4A1B_B90F_C92196CC7C57_.wvu.PrintArea" localSheetId="11" hidden="1">'8 - R_Est'!$B$2:$J$74</definedName>
    <definedName name="Z_9177A1FF_E4C8_4A1B_B90F_C92196CC7C57_.wvu.PrintArea" localSheetId="12" hidden="1">'9 - SFA'!$C$2:$J$87</definedName>
    <definedName name="Z_9177A1FF_E4C8_4A1B_B90F_C92196CC7C57_.wvu.PrintArea" localSheetId="1" hidden="1">Indice_index!$B$3:$C$16</definedName>
    <definedName name="Z_9177A1FF_E4C8_4A1B_B90F_C92196CC7C57_.wvu.PrintArea" localSheetId="5" hidden="1">'Síntese Global'!$B$2:$N$4</definedName>
    <definedName name="Z_9177A1FF_E4C8_4A1B_B90F_C92196CC7C57_.wvu.PrintTitles" localSheetId="14" hidden="1">'11 - CGA'!$3:$5</definedName>
    <definedName name="Z_9177A1FF_E4C8_4A1B_B90F_C92196CC7C57_.wvu.Rows" localSheetId="5" hidden="1">'Síntese Global'!#REF!</definedName>
    <definedName name="Z_928709E5_E088_4902_B90C_CBF565F9DB38_.wvu.FilterData" localSheetId="5" hidden="1">'Síntese Global'!#REF!</definedName>
    <definedName name="Z_995CCCB8_BF97_4653_A7C0_86012B807DB5_.wvu.Cols" localSheetId="13" hidden="1">'10 - EPR'!#REF!,'10 - EPR'!#REF!</definedName>
    <definedName name="Z_995CCCB8_BF97_4653_A7C0_86012B807DB5_.wvu.Cols" localSheetId="15" hidden="1">'12 - SS'!#REF!</definedName>
    <definedName name="Z_995CCCB8_BF97_4653_A7C0_86012B807DB5_.wvu.Cols" localSheetId="21" hidden="1">'18 - Dív não Fin'!$AB:$AD</definedName>
    <definedName name="Z_995CCCB8_BF97_4653_A7C0_86012B807DB5_.wvu.Cols" localSheetId="10" hidden="1">'7 - Estado'!#REF!,'7 - Estado'!#REF!</definedName>
    <definedName name="Z_995CCCB8_BF97_4653_A7C0_86012B807DB5_.wvu.Cols" localSheetId="11" hidden="1">'8 - R_Est'!#REF!</definedName>
    <definedName name="Z_995CCCB8_BF97_4653_A7C0_86012B807DB5_.wvu.Cols" localSheetId="12" hidden="1">'9 - SFA'!#REF!,'9 - SFA'!#REF!</definedName>
    <definedName name="Z_995CCCB8_BF97_4653_A7C0_86012B807DB5_.wvu.Cols" localSheetId="1" hidden="1">Indice_index!$X:$Z</definedName>
    <definedName name="Z_995CCCB8_BF97_4653_A7C0_86012B807DB5_.wvu.FilterData" localSheetId="5" hidden="1">'Síntese Global'!#REF!</definedName>
    <definedName name="Z_995CCCB8_BF97_4653_A7C0_86012B807DB5_.wvu.PrintArea" localSheetId="2" hidden="1">'1 - Saldo Global Rec Desp'!$B$2:$O$3</definedName>
    <definedName name="Z_995CCCB8_BF97_4653_A7C0_86012B807DB5_.wvu.PrintArea" localSheetId="13" hidden="1">'10 - EPR'!$C$2:$J$88</definedName>
    <definedName name="Z_995CCCB8_BF97_4653_A7C0_86012B807DB5_.wvu.PrintArea" localSheetId="14" hidden="1">'11 - CGA'!$B$2:$J$52</definedName>
    <definedName name="Z_995CCCB8_BF97_4653_A7C0_86012B807DB5_.wvu.PrintArea" localSheetId="15" hidden="1">'12 - SS'!$B$2:$G$75</definedName>
    <definedName name="Z_995CCCB8_BF97_4653_A7C0_86012B807DB5_.wvu.PrintArea" localSheetId="17" hidden="1">'14 - Adm R'!#REF!</definedName>
    <definedName name="Z_995CCCB8_BF97_4653_A7C0_86012B807DB5_.wvu.PrintArea" localSheetId="18" hidden="1">'15 - Adm Loc'!#REF!</definedName>
    <definedName name="Z_995CCCB8_BF97_4653_A7C0_86012B807DB5_.wvu.PrintArea" localSheetId="20" hidden="1">'17 - SNS exec fin'!$B$2:$F$46</definedName>
    <definedName name="Z_995CCCB8_BF97_4653_A7C0_86012B807DB5_.wvu.PrintArea" localSheetId="21" hidden="1">'18 - Dív não Fin'!$B$2:$R$32</definedName>
    <definedName name="Z_995CCCB8_BF97_4653_A7C0_86012B807DB5_.wvu.PrintArea" localSheetId="22" hidden="1">'19 - CGA Ind'!$B$2:$O$451</definedName>
    <definedName name="Z_995CCCB8_BF97_4653_A7C0_86012B807DB5_.wvu.PrintArea" localSheetId="24" hidden="1">'21 - Estimativas'!$B$2:$C$43</definedName>
    <definedName name="Z_995CCCB8_BF97_4653_A7C0_86012B807DB5_.wvu.PrintArea" localSheetId="8" hidden="1">'5 - Conta AC + SS'!$B$1:$J$62</definedName>
    <definedName name="Z_995CCCB8_BF97_4653_A7C0_86012B807DB5_.wvu.PrintArea" localSheetId="10" hidden="1">'7 - Estado'!$C$2:$C$73</definedName>
    <definedName name="Z_995CCCB8_BF97_4653_A7C0_86012B807DB5_.wvu.PrintArea" localSheetId="11" hidden="1">'8 - R_Est'!$B$2:$J$72</definedName>
    <definedName name="Z_995CCCB8_BF97_4653_A7C0_86012B807DB5_.wvu.PrintArea" localSheetId="12" hidden="1">'9 - SFA'!$C$2:$J$96</definedName>
    <definedName name="Z_995CCCB8_BF97_4653_A7C0_86012B807DB5_.wvu.PrintArea" localSheetId="1" hidden="1">Indice_index!$B$3:$C$16</definedName>
    <definedName name="Z_995CCCB8_BF97_4653_A7C0_86012B807DB5_.wvu.PrintArea" localSheetId="5" hidden="1">'Síntese Global'!$B$2:$N$4</definedName>
    <definedName name="Z_995CCCB8_BF97_4653_A7C0_86012B807DB5_.wvu.PrintTitles" localSheetId="14" hidden="1">'11 - CGA'!$3:$5</definedName>
    <definedName name="Z_9C8E7FE3_A7A1_4D36_A156_3751861446D4_.wvu.Cols" localSheetId="13" hidden="1">'10 - EPR'!#REF!</definedName>
    <definedName name="Z_9C8E7FE3_A7A1_4D36_A156_3751861446D4_.wvu.Cols" localSheetId="15" hidden="1">'12 - SS'!#REF!</definedName>
    <definedName name="Z_9C8E7FE3_A7A1_4D36_A156_3751861446D4_.wvu.Cols" localSheetId="21" hidden="1">'18 - Dív não Fin'!$AB:$AD</definedName>
    <definedName name="Z_9C8E7FE3_A7A1_4D36_A156_3751861446D4_.wvu.Cols" localSheetId="10" hidden="1">'7 - Estado'!#REF!</definedName>
    <definedName name="Z_9C8E7FE3_A7A1_4D36_A156_3751861446D4_.wvu.Cols" localSheetId="11" hidden="1">'8 - R_Est'!#REF!</definedName>
    <definedName name="Z_9C8E7FE3_A7A1_4D36_A156_3751861446D4_.wvu.Cols" localSheetId="12" hidden="1">'9 - SFA'!#REF!</definedName>
    <definedName name="Z_9C8E7FE3_A7A1_4D36_A156_3751861446D4_.wvu.Cols" localSheetId="1" hidden="1">Indice_index!$X:$Z</definedName>
    <definedName name="Z_9C8E7FE3_A7A1_4D36_A156_3751861446D4_.wvu.FilterData" localSheetId="5" hidden="1">'Síntese Global'!#REF!</definedName>
    <definedName name="Z_9C8E7FE3_A7A1_4D36_A156_3751861446D4_.wvu.PrintArea" localSheetId="13" hidden="1">'10 - EPR'!$C$2:$J$88</definedName>
    <definedName name="Z_9C8E7FE3_A7A1_4D36_A156_3751861446D4_.wvu.PrintArea" localSheetId="14" hidden="1">'11 - CGA'!$B$2:$J$52</definedName>
    <definedName name="Z_9C8E7FE3_A7A1_4D36_A156_3751861446D4_.wvu.PrintArea" localSheetId="15" hidden="1">'12 - SS'!$B$2:$G$75</definedName>
    <definedName name="Z_9C8E7FE3_A7A1_4D36_A156_3751861446D4_.wvu.PrintArea" localSheetId="17" hidden="1">'14 - Adm R'!#REF!</definedName>
    <definedName name="Z_9C8E7FE3_A7A1_4D36_A156_3751861446D4_.wvu.PrintArea" localSheetId="18" hidden="1">'15 - Adm Loc'!#REF!</definedName>
    <definedName name="Z_9C8E7FE3_A7A1_4D36_A156_3751861446D4_.wvu.PrintArea" localSheetId="20" hidden="1">'17 - SNS exec fin'!$B$2:$F$46</definedName>
    <definedName name="Z_9C8E7FE3_A7A1_4D36_A156_3751861446D4_.wvu.PrintArea" localSheetId="21" hidden="1">'18 - Dív não Fin'!$B$2:$R$32</definedName>
    <definedName name="Z_9C8E7FE3_A7A1_4D36_A156_3751861446D4_.wvu.PrintArea" localSheetId="22" hidden="1">'19 - CGA Ind'!$B$2:$O$451</definedName>
    <definedName name="Z_9C8E7FE3_A7A1_4D36_A156_3751861446D4_.wvu.PrintArea" localSheetId="24" hidden="1">'21 - Estimativas'!$B$2:$C$43</definedName>
    <definedName name="Z_9C8E7FE3_A7A1_4D36_A156_3751861446D4_.wvu.PrintArea" localSheetId="8" hidden="1">'5 - Conta AC + SS'!$B$2:$J$66</definedName>
    <definedName name="Z_9C8E7FE3_A7A1_4D36_A156_3751861446D4_.wvu.PrintArea" localSheetId="10" hidden="1">'7 - Estado'!$C$2:$C$73</definedName>
    <definedName name="Z_9C8E7FE3_A7A1_4D36_A156_3751861446D4_.wvu.PrintArea" localSheetId="11" hidden="1">'8 - R_Est'!$B$2:$J$72</definedName>
    <definedName name="Z_9C8E7FE3_A7A1_4D36_A156_3751861446D4_.wvu.PrintArea" localSheetId="12" hidden="1">'9 - SFA'!$C$2:$J$96</definedName>
    <definedName name="Z_9C8E7FE3_A7A1_4D36_A156_3751861446D4_.wvu.PrintArea" localSheetId="1" hidden="1">Indice_index!$B$3:$C$16</definedName>
    <definedName name="Z_9C8E7FE3_A7A1_4D36_A156_3751861446D4_.wvu.PrintArea" localSheetId="5" hidden="1">'Síntese Global'!$B$2:$N$4</definedName>
    <definedName name="Z_9C8E7FE3_A7A1_4D36_A156_3751861446D4_.wvu.PrintTitles" localSheetId="14" hidden="1">'11 - CGA'!$3:$5</definedName>
    <definedName name="Z_B10FF006_E78C_40A1_9FED_8E3DAA7518D8_.wvu.Cols" localSheetId="9" hidden="1">'6 - Conta AC'!#REF!</definedName>
    <definedName name="Z_B10FF006_E78C_40A1_9FED_8E3DAA7518D8_.wvu.PrintArea" localSheetId="9" hidden="1">'6 - Conta AC'!$B$1:$G$57</definedName>
    <definedName name="Z_B10FF006_E78C_40A1_9FED_8E3DAA7518D8_.wvu.Rows" localSheetId="9" hidden="1">'6 - Conta AC'!#REF!</definedName>
    <definedName name="Z_B22C7842_6BF9_4A1C_B06C_2AD9B9A784D4_.wvu.Cols" localSheetId="13" hidden="1">'10 - EPR'!#REF!</definedName>
    <definedName name="Z_B22C7842_6BF9_4A1C_B06C_2AD9B9A784D4_.wvu.Cols" localSheetId="21" hidden="1">'18 - Dív não Fin'!$AB:$AD</definedName>
    <definedName name="Z_B22C7842_6BF9_4A1C_B06C_2AD9B9A784D4_.wvu.Cols" localSheetId="10" hidden="1">'7 - Estado'!#REF!</definedName>
    <definedName name="Z_B22C7842_6BF9_4A1C_B06C_2AD9B9A784D4_.wvu.Cols" localSheetId="11" hidden="1">'8 - R_Est'!#REF!</definedName>
    <definedName name="Z_B22C7842_6BF9_4A1C_B06C_2AD9B9A784D4_.wvu.Cols" localSheetId="12" hidden="1">'9 - SFA'!#REF!</definedName>
    <definedName name="Z_B22C7842_6BF9_4A1C_B06C_2AD9B9A784D4_.wvu.Cols" localSheetId="1" hidden="1">Indice_index!$X:$Z</definedName>
    <definedName name="Z_B22C7842_6BF9_4A1C_B06C_2AD9B9A784D4_.wvu.FilterData" localSheetId="5" hidden="1">'Síntese Global'!#REF!</definedName>
    <definedName name="Z_B22C7842_6BF9_4A1C_B06C_2AD9B9A784D4_.wvu.PrintArea" localSheetId="2" hidden="1">'1 - Saldo Global Rec Desp'!$B$2:$O$3</definedName>
    <definedName name="Z_B22C7842_6BF9_4A1C_B06C_2AD9B9A784D4_.wvu.PrintArea" localSheetId="13" hidden="1">'10 - EPR'!$C$2:$J$88</definedName>
    <definedName name="Z_B22C7842_6BF9_4A1C_B06C_2AD9B9A784D4_.wvu.PrintArea" localSheetId="14" hidden="1">'11 - CGA'!$B$2:$J$52</definedName>
    <definedName name="Z_B22C7842_6BF9_4A1C_B06C_2AD9B9A784D4_.wvu.PrintArea" localSheetId="15" hidden="1">'12 - SS'!$B$2:$G$75</definedName>
    <definedName name="Z_B22C7842_6BF9_4A1C_B06C_2AD9B9A784D4_.wvu.PrintArea" localSheetId="17" hidden="1">'14 - Adm R'!#REF!</definedName>
    <definedName name="Z_B22C7842_6BF9_4A1C_B06C_2AD9B9A784D4_.wvu.PrintArea" localSheetId="18" hidden="1">'15 - Adm Loc'!#REF!</definedName>
    <definedName name="Z_B22C7842_6BF9_4A1C_B06C_2AD9B9A784D4_.wvu.PrintArea" localSheetId="20" hidden="1">'17 - SNS exec fin'!$B$2:$F$46</definedName>
    <definedName name="Z_B22C7842_6BF9_4A1C_B06C_2AD9B9A784D4_.wvu.PrintArea" localSheetId="21" hidden="1">'18 - Dív não Fin'!$B$2:$R$32</definedName>
    <definedName name="Z_B22C7842_6BF9_4A1C_B06C_2AD9B9A784D4_.wvu.PrintArea" localSheetId="22" hidden="1">'19 - CGA Ind'!$B$2:$O$451</definedName>
    <definedName name="Z_B22C7842_6BF9_4A1C_B06C_2AD9B9A784D4_.wvu.PrintArea" localSheetId="24" hidden="1">'21 - Estimativas'!$B$2:$C$43</definedName>
    <definedName name="Z_B22C7842_6BF9_4A1C_B06C_2AD9B9A784D4_.wvu.PrintArea" localSheetId="8" hidden="1">'5 - Conta AC + SS'!$B$1:$C$59</definedName>
    <definedName name="Z_B22C7842_6BF9_4A1C_B06C_2AD9B9A784D4_.wvu.PrintArea" localSheetId="10" hidden="1">'7 - Estado'!$C$2:$C$73</definedName>
    <definedName name="Z_B22C7842_6BF9_4A1C_B06C_2AD9B9A784D4_.wvu.PrintArea" localSheetId="11" hidden="1">'8 - R_Est'!$B$2:$J$72</definedName>
    <definedName name="Z_B22C7842_6BF9_4A1C_B06C_2AD9B9A784D4_.wvu.PrintArea" localSheetId="12" hidden="1">'9 - SFA'!$C$2:$J$96</definedName>
    <definedName name="Z_B22C7842_6BF9_4A1C_B06C_2AD9B9A784D4_.wvu.PrintArea" localSheetId="1" hidden="1">Indice_index!$B$3:$C$16</definedName>
    <definedName name="Z_B22C7842_6BF9_4A1C_B06C_2AD9B9A784D4_.wvu.PrintArea" localSheetId="5" hidden="1">'Síntese Global'!$B$2:$N$4</definedName>
    <definedName name="Z_B22C7842_6BF9_4A1C_B06C_2AD9B9A784D4_.wvu.PrintTitles" localSheetId="14" hidden="1">'11 - CGA'!$3:$5</definedName>
    <definedName name="Z_C2013F6E_CF9D_4172_87F3_B954A090B414_.wvu.PrintArea" localSheetId="14" hidden="1">'11 - CGA'!$C$3:$I$51</definedName>
    <definedName name="Z_C2013F6E_CF9D_4172_87F3_B954A090B414_.wvu.PrintArea" localSheetId="8" hidden="1">'5 - Conta AC + SS'!$C$4:$C$55</definedName>
    <definedName name="Z_C2013F6E_CF9D_4172_87F3_B954A090B414_.wvu.PrintArea" localSheetId="9" hidden="1">'6 - Conta AC'!$C$4:$C$57</definedName>
    <definedName name="Z_C2013F6E_CF9D_4172_87F3_B954A090B414_.wvu.PrintTitles" localSheetId="14" hidden="1">'11 - CGA'!$3:$5</definedName>
    <definedName name="Z_C2013F6E_CF9D_4172_87F3_B954A090B414_.wvu.Rows" localSheetId="14" hidden="1">'11 - CGA'!#REF!,'11 - CGA'!#REF!,'11 - CGA'!#REF!,'11 - CGA'!$19:$19,'11 - CGA'!#REF!,'11 - CGA'!#REF!,'11 - CGA'!#REF!</definedName>
    <definedName name="Z_C403553D_352C_44B6_83D8_441F3A96C5BE_.wvu.Cols" localSheetId="13" hidden="1">'10 - EPR'!#REF!,'10 - EPR'!#REF!</definedName>
    <definedName name="Z_C403553D_352C_44B6_83D8_441F3A96C5BE_.wvu.Cols" localSheetId="21" hidden="1">'18 - Dív não Fin'!$AB:$AD</definedName>
    <definedName name="Z_C403553D_352C_44B6_83D8_441F3A96C5BE_.wvu.Cols" localSheetId="10" hidden="1">'7 - Estado'!#REF!,'7 - Estado'!#REF!</definedName>
    <definedName name="Z_C403553D_352C_44B6_83D8_441F3A96C5BE_.wvu.Cols" localSheetId="11" hidden="1">'8 - R_Est'!#REF!</definedName>
    <definedName name="Z_C403553D_352C_44B6_83D8_441F3A96C5BE_.wvu.Cols" localSheetId="12" hidden="1">'9 - SFA'!#REF!,'9 - SFA'!#REF!</definedName>
    <definedName name="Z_C403553D_352C_44B6_83D8_441F3A96C5BE_.wvu.Cols" localSheetId="1" hidden="1">Indice_index!$X:$Z</definedName>
    <definedName name="Z_C403553D_352C_44B6_83D8_441F3A96C5BE_.wvu.FilterData" localSheetId="5" hidden="1">'Síntese Global'!#REF!</definedName>
    <definedName name="Z_C403553D_352C_44B6_83D8_441F3A96C5BE_.wvu.PrintArea" localSheetId="2" hidden="1">'1 - Saldo Global Rec Desp'!$B$2:$O$3</definedName>
    <definedName name="Z_C403553D_352C_44B6_83D8_441F3A96C5BE_.wvu.PrintArea" localSheetId="13" hidden="1">'10 - EPR'!$B$2:$J$88</definedName>
    <definedName name="Z_C403553D_352C_44B6_83D8_441F3A96C5BE_.wvu.PrintArea" localSheetId="14" hidden="1">'11 - CGA'!$B$2:$J$52</definedName>
    <definedName name="Z_C403553D_352C_44B6_83D8_441F3A96C5BE_.wvu.PrintArea" localSheetId="15" hidden="1">'12 - SS'!$B$2:$G$75</definedName>
    <definedName name="Z_C403553D_352C_44B6_83D8_441F3A96C5BE_.wvu.PrintArea" localSheetId="17" hidden="1">'14 - Adm R'!#REF!</definedName>
    <definedName name="Z_C403553D_352C_44B6_83D8_441F3A96C5BE_.wvu.PrintArea" localSheetId="18" hidden="1">'15 - Adm Loc'!#REF!</definedName>
    <definedName name="Z_C403553D_352C_44B6_83D8_441F3A96C5BE_.wvu.PrintArea" localSheetId="20" hidden="1">'17 - SNS exec fin'!$B$2:$F$46</definedName>
    <definedName name="Z_C403553D_352C_44B6_83D8_441F3A96C5BE_.wvu.PrintArea" localSheetId="21" hidden="1">'18 - Dív não Fin'!$B$2:$R$57</definedName>
    <definedName name="Z_C403553D_352C_44B6_83D8_441F3A96C5BE_.wvu.PrintArea" localSheetId="22" hidden="1">'19 - CGA Ind'!$B$2:$O$451</definedName>
    <definedName name="Z_C403553D_352C_44B6_83D8_441F3A96C5BE_.wvu.PrintArea" localSheetId="24" hidden="1">'21 - Estimativas'!$B$2:$C$43</definedName>
    <definedName name="Z_C403553D_352C_44B6_83D8_441F3A96C5BE_.wvu.PrintArea" localSheetId="8" hidden="1">'5 - Conta AC + SS'!$B$2:$J$66</definedName>
    <definedName name="Z_C403553D_352C_44B6_83D8_441F3A96C5BE_.wvu.PrintArea" localSheetId="10" hidden="1">'7 - Estado'!$B$2:$C$73</definedName>
    <definedName name="Z_C403553D_352C_44B6_83D8_441F3A96C5BE_.wvu.PrintArea" localSheetId="11" hidden="1">'8 - R_Est'!$B$2:$J$72</definedName>
    <definedName name="Z_C403553D_352C_44B6_83D8_441F3A96C5BE_.wvu.PrintArea" localSheetId="12" hidden="1">'9 - SFA'!$B$2:$J$95</definedName>
    <definedName name="Z_C403553D_352C_44B6_83D8_441F3A96C5BE_.wvu.PrintArea" localSheetId="1" hidden="1">Indice_index!$B$3:$C$16,Indice_index!$B$17:$C$33</definedName>
    <definedName name="Z_C403553D_352C_44B6_83D8_441F3A96C5BE_.wvu.PrintArea" localSheetId="5" hidden="1">'Síntese Global'!$B$2:$N$4</definedName>
    <definedName name="Z_C403553D_352C_44B6_83D8_441F3A96C5BE_.wvu.PrintTitles" localSheetId="14" hidden="1">'11 - CGA'!$3:$5</definedName>
    <definedName name="Z_C90EBEBD_E196_487F_B236_71FE5B48DAD7_.wvu.Cols" localSheetId="9" hidden="1">'6 - Conta AC'!#REF!</definedName>
    <definedName name="Z_C90EBEBD_E196_487F_B236_71FE5B48DAD7_.wvu.PrintArea" localSheetId="9" hidden="1">'6 - Conta AC'!$B$1:$G$57</definedName>
    <definedName name="Z_C90EBEBD_E196_487F_B236_71FE5B48DAD7_.wvu.Rows" localSheetId="9" hidden="1">'6 - Conta AC'!#REF!</definedName>
    <definedName name="Z_CF250844_B48C_42F6_8C4A_591AAA695937_.wvu.FilterData" localSheetId="5" hidden="1">'Síntese Global'!#REF!</definedName>
    <definedName name="Z_D7DA4577_1080_46D0_B4E0_3AEF0BA0C7DE_.wvu.PrintArea" localSheetId="14" hidden="1">'11 - CGA'!$C$3:$I$51</definedName>
    <definedName name="Z_D7DA4577_1080_46D0_B4E0_3AEF0BA0C7DE_.wvu.PrintTitles" localSheetId="14" hidden="1">'11 - CGA'!$3:$5</definedName>
    <definedName name="Z_D7DA4577_1080_46D0_B4E0_3AEF0BA0C7DE_.wvu.Rows" localSheetId="14" hidden="1">'11 - CGA'!#REF!</definedName>
    <definedName name="Z_DB1D3FDB_E0D5_4FD7_BD6E_EC28675EBF68_.wvu.Cols" localSheetId="13" hidden="1">'10 - EPR'!#REF!,'10 - EPR'!#REF!</definedName>
    <definedName name="Z_DB1D3FDB_E0D5_4FD7_BD6E_EC28675EBF68_.wvu.Cols" localSheetId="15" hidden="1">'12 - SS'!#REF!</definedName>
    <definedName name="Z_DB1D3FDB_E0D5_4FD7_BD6E_EC28675EBF68_.wvu.Cols" localSheetId="21" hidden="1">'18 - Dív não Fin'!$AB:$AD</definedName>
    <definedName name="Z_DB1D3FDB_E0D5_4FD7_BD6E_EC28675EBF68_.wvu.Cols" localSheetId="10" hidden="1">'7 - Estado'!#REF!,'7 - Estado'!#REF!</definedName>
    <definedName name="Z_DB1D3FDB_E0D5_4FD7_BD6E_EC28675EBF68_.wvu.Cols" localSheetId="11" hidden="1">'8 - R_Est'!#REF!</definedName>
    <definedName name="Z_DB1D3FDB_E0D5_4FD7_BD6E_EC28675EBF68_.wvu.Cols" localSheetId="12" hidden="1">'9 - SFA'!#REF!,'9 - SFA'!#REF!</definedName>
    <definedName name="Z_DB1D3FDB_E0D5_4FD7_BD6E_EC28675EBF68_.wvu.Cols" localSheetId="1" hidden="1">Indice_index!$X:$Z</definedName>
    <definedName name="Z_DB1D3FDB_E0D5_4FD7_BD6E_EC28675EBF68_.wvu.FilterData" localSheetId="5" hidden="1">'Síntese Global'!#REF!</definedName>
    <definedName name="Z_DB1D3FDB_E0D5_4FD7_BD6E_EC28675EBF68_.wvu.PrintArea" localSheetId="2" hidden="1">'1 - Saldo Global Rec Desp'!$B$2:$O$3</definedName>
    <definedName name="Z_DB1D3FDB_E0D5_4FD7_BD6E_EC28675EBF68_.wvu.PrintArea" localSheetId="13" hidden="1">'10 - EPR'!$C$2:$J$88</definedName>
    <definedName name="Z_DB1D3FDB_E0D5_4FD7_BD6E_EC28675EBF68_.wvu.PrintArea" localSheetId="14" hidden="1">'11 - CGA'!$B$2:$J$52</definedName>
    <definedName name="Z_DB1D3FDB_E0D5_4FD7_BD6E_EC28675EBF68_.wvu.PrintArea" localSheetId="15" hidden="1">'12 - SS'!$B$2:$G$75</definedName>
    <definedName name="Z_DB1D3FDB_E0D5_4FD7_BD6E_EC28675EBF68_.wvu.PrintArea" localSheetId="17" hidden="1">'14 - Adm R'!#REF!</definedName>
    <definedName name="Z_DB1D3FDB_E0D5_4FD7_BD6E_EC28675EBF68_.wvu.PrintArea" localSheetId="18" hidden="1">'15 - Adm Loc'!#REF!</definedName>
    <definedName name="Z_DB1D3FDB_E0D5_4FD7_BD6E_EC28675EBF68_.wvu.PrintArea" localSheetId="20" hidden="1">'17 - SNS exec fin'!$B$2:$F$46</definedName>
    <definedName name="Z_DB1D3FDB_E0D5_4FD7_BD6E_EC28675EBF68_.wvu.PrintArea" localSheetId="21" hidden="1">'18 - Dív não Fin'!$B$2:$R$32</definedName>
    <definedName name="Z_DB1D3FDB_E0D5_4FD7_BD6E_EC28675EBF68_.wvu.PrintArea" localSheetId="22" hidden="1">'19 - CGA Ind'!$B$2:$O$451</definedName>
    <definedName name="Z_DB1D3FDB_E0D5_4FD7_BD6E_EC28675EBF68_.wvu.PrintArea" localSheetId="24" hidden="1">'21 - Estimativas'!$B$2:$C$43</definedName>
    <definedName name="Z_DB1D3FDB_E0D5_4FD7_BD6E_EC28675EBF68_.wvu.PrintArea" localSheetId="8" hidden="1">'5 - Conta AC + SS'!$B$1:$C$59</definedName>
    <definedName name="Z_DB1D3FDB_E0D5_4FD7_BD6E_EC28675EBF68_.wvu.PrintArea" localSheetId="10" hidden="1">'7 - Estado'!$C$2:$C$73</definedName>
    <definedName name="Z_DB1D3FDB_E0D5_4FD7_BD6E_EC28675EBF68_.wvu.PrintArea" localSheetId="11" hidden="1">'8 - R_Est'!$B$2:$J$72</definedName>
    <definedName name="Z_DB1D3FDB_E0D5_4FD7_BD6E_EC28675EBF68_.wvu.PrintArea" localSheetId="12" hidden="1">'9 - SFA'!$C$2:$J$96</definedName>
    <definedName name="Z_DB1D3FDB_E0D5_4FD7_BD6E_EC28675EBF68_.wvu.PrintArea" localSheetId="1" hidden="1">Indice_index!$B$3:$C$16</definedName>
    <definedName name="Z_DB1D3FDB_E0D5_4FD7_BD6E_EC28675EBF68_.wvu.PrintArea" localSheetId="5" hidden="1">'Síntese Global'!$B$2:$N$4</definedName>
    <definedName name="Z_DB1D3FDB_E0D5_4FD7_BD6E_EC28675EBF68_.wvu.PrintTitles" localSheetId="14" hidden="1">'11 - CGA'!$3:$5</definedName>
    <definedName name="Z_DB1D3FDB_E0D5_4FD7_BD6E_EC28675EBF68_.wvu.Rows" localSheetId="20" hidden="1">'17 - SNS exec fin'!#REF!</definedName>
    <definedName name="Z_DB1D3FDB_E0D5_4FD7_BD6E_EC28675EBF68_.wvu.Rows" localSheetId="24" hidden="1">'21 - Estimativas'!#REF!</definedName>
    <definedName name="Z_E424CD16_C6CB_4435_8379_83DB8236700E_.wvu.Cols" localSheetId="13" hidden="1">'10 - EPR'!#REF!,'10 - EPR'!#REF!</definedName>
    <definedName name="Z_E424CD16_C6CB_4435_8379_83DB8236700E_.wvu.Cols" localSheetId="15" hidden="1">'12 - SS'!#REF!</definedName>
    <definedName name="Z_E424CD16_C6CB_4435_8379_83DB8236700E_.wvu.Cols" localSheetId="21" hidden="1">'18 - Dív não Fin'!$AB:$AD</definedName>
    <definedName name="Z_E424CD16_C6CB_4435_8379_83DB8236700E_.wvu.Cols" localSheetId="10" hidden="1">'7 - Estado'!#REF!,'7 - Estado'!#REF!</definedName>
    <definedName name="Z_E424CD16_C6CB_4435_8379_83DB8236700E_.wvu.Cols" localSheetId="11" hidden="1">'8 - R_Est'!#REF!</definedName>
    <definedName name="Z_E424CD16_C6CB_4435_8379_83DB8236700E_.wvu.Cols" localSheetId="12" hidden="1">'9 - SFA'!#REF!,'9 - SFA'!#REF!</definedName>
    <definedName name="Z_E424CD16_C6CB_4435_8379_83DB8236700E_.wvu.Cols" localSheetId="1" hidden="1">Indice_index!$X:$Z</definedName>
    <definedName name="Z_E424CD16_C6CB_4435_8379_83DB8236700E_.wvu.FilterData" localSheetId="5" hidden="1">'Síntese Global'!#REF!</definedName>
    <definedName name="Z_E424CD16_C6CB_4435_8379_83DB8236700E_.wvu.PrintArea" localSheetId="2" hidden="1">'1 - Saldo Global Rec Desp'!$B$2:$O$3</definedName>
    <definedName name="Z_E424CD16_C6CB_4435_8379_83DB8236700E_.wvu.PrintArea" localSheetId="13" hidden="1">'10 - EPR'!$B$2:$J$88</definedName>
    <definedName name="Z_E424CD16_C6CB_4435_8379_83DB8236700E_.wvu.PrintArea" localSheetId="14" hidden="1">'11 - CGA'!$B$2:$J$52</definedName>
    <definedName name="Z_E424CD16_C6CB_4435_8379_83DB8236700E_.wvu.PrintArea" localSheetId="15" hidden="1">'12 - SS'!$B$2:$G$75</definedName>
    <definedName name="Z_E424CD16_C6CB_4435_8379_83DB8236700E_.wvu.PrintArea" localSheetId="17" hidden="1">'14 - Adm R'!#REF!</definedName>
    <definedName name="Z_E424CD16_C6CB_4435_8379_83DB8236700E_.wvu.PrintArea" localSheetId="18" hidden="1">'15 - Adm Loc'!#REF!</definedName>
    <definedName name="Z_E424CD16_C6CB_4435_8379_83DB8236700E_.wvu.PrintArea" localSheetId="20" hidden="1">'17 - SNS exec fin'!$B$2:$F$46</definedName>
    <definedName name="Z_E424CD16_C6CB_4435_8379_83DB8236700E_.wvu.PrintArea" localSheetId="21" hidden="1">'18 - Dív não Fin'!$B$2:$R$57</definedName>
    <definedName name="Z_E424CD16_C6CB_4435_8379_83DB8236700E_.wvu.PrintArea" localSheetId="22" hidden="1">'19 - CGA Ind'!$B$2:$O$451</definedName>
    <definedName name="Z_E424CD16_C6CB_4435_8379_83DB8236700E_.wvu.PrintArea" localSheetId="24" hidden="1">'21 - Estimativas'!$B$2:$C$43</definedName>
    <definedName name="Z_E424CD16_C6CB_4435_8379_83DB8236700E_.wvu.PrintArea" localSheetId="8" hidden="1">'5 - Conta AC + SS'!$B$2:$J$66</definedName>
    <definedName name="Z_E424CD16_C6CB_4435_8379_83DB8236700E_.wvu.PrintArea" localSheetId="10" hidden="1">'7 - Estado'!$B$2:$C$73</definedName>
    <definedName name="Z_E424CD16_C6CB_4435_8379_83DB8236700E_.wvu.PrintArea" localSheetId="11" hidden="1">'8 - R_Est'!$B$2:$J$74</definedName>
    <definedName name="Z_E424CD16_C6CB_4435_8379_83DB8236700E_.wvu.PrintArea" localSheetId="12" hidden="1">'9 - SFA'!$B$2:$J$95</definedName>
    <definedName name="Z_E424CD16_C6CB_4435_8379_83DB8236700E_.wvu.PrintArea" localSheetId="1" hidden="1">Indice_index!$B$3:$C$16,Indice_index!$B$17:$C$33</definedName>
    <definedName name="Z_E424CD16_C6CB_4435_8379_83DB8236700E_.wvu.PrintArea" localSheetId="5" hidden="1">'Síntese Global'!$B$2:$N$4</definedName>
    <definedName name="Z_E424CD16_C6CB_4435_8379_83DB8236700E_.wvu.PrintTitles" localSheetId="14" hidden="1">'11 - CGA'!$3:$5</definedName>
    <definedName name="Z_E424CD16_C6CB_4435_8379_83DB8236700E_.wvu.Rows" localSheetId="1" hidden="1">Indice_index!#REF!</definedName>
    <definedName name="Z_E5E53890_67F8_4CB0_899E_FED556844856_.wvu.FilterData" localSheetId="5" hidden="1">'Síntese Global'!#REF!</definedName>
    <definedName name="Z_E9495A6A_B111_4F85_812B_8DC9C181785A_.wvu.Cols" localSheetId="9" hidden="1">'6 - Conta AC'!#REF!</definedName>
    <definedName name="Z_E9495A6A_B111_4F85_812B_8DC9C181785A_.wvu.PrintArea" localSheetId="9" hidden="1">'6 - Conta AC'!$B$1:$G$57</definedName>
    <definedName name="Z_E9495A6A_B111_4F85_812B_8DC9C181785A_.wvu.Rows" localSheetId="9" hidden="1">'6 - Conta AC'!#REF!</definedName>
    <definedName name="Z_EBA68B69_6D6E_44F8_8C51_9491A55275C5_.wvu.Cols" localSheetId="13" hidden="1">'10 - EPR'!#REF!</definedName>
    <definedName name="Z_EBA68B69_6D6E_44F8_8C51_9491A55275C5_.wvu.Cols" localSheetId="15" hidden="1">'12 - SS'!#REF!</definedName>
    <definedName name="Z_EBA68B69_6D6E_44F8_8C51_9491A55275C5_.wvu.Cols" localSheetId="21" hidden="1">'18 - Dív não Fin'!$AB:$AD</definedName>
    <definedName name="Z_EBA68B69_6D6E_44F8_8C51_9491A55275C5_.wvu.Cols" localSheetId="10" hidden="1">'7 - Estado'!#REF!</definedName>
    <definedName name="Z_EBA68B69_6D6E_44F8_8C51_9491A55275C5_.wvu.Cols" localSheetId="11" hidden="1">'8 - R_Est'!#REF!</definedName>
    <definedName name="Z_EBA68B69_6D6E_44F8_8C51_9491A55275C5_.wvu.Cols" localSheetId="12" hidden="1">'9 - SFA'!#REF!</definedName>
    <definedName name="Z_EBA68B69_6D6E_44F8_8C51_9491A55275C5_.wvu.Cols" localSheetId="1" hidden="1">Indice_index!$X:$Z</definedName>
    <definedName name="Z_EBA68B69_6D6E_44F8_8C51_9491A55275C5_.wvu.FilterData" localSheetId="5" hidden="1">'Síntese Global'!#REF!</definedName>
    <definedName name="Z_EBA68B69_6D6E_44F8_8C51_9491A55275C5_.wvu.PrintArea" localSheetId="13" hidden="1">'10 - EPR'!$C$2:$J$88</definedName>
    <definedName name="Z_EBA68B69_6D6E_44F8_8C51_9491A55275C5_.wvu.PrintArea" localSheetId="14" hidden="1">'11 - CGA'!$B$2:$J$52</definedName>
    <definedName name="Z_EBA68B69_6D6E_44F8_8C51_9491A55275C5_.wvu.PrintArea" localSheetId="15" hidden="1">'12 - SS'!$B$2:$G$75</definedName>
    <definedName name="Z_EBA68B69_6D6E_44F8_8C51_9491A55275C5_.wvu.PrintArea" localSheetId="17" hidden="1">'14 - Adm R'!#REF!</definedName>
    <definedName name="Z_EBA68B69_6D6E_44F8_8C51_9491A55275C5_.wvu.PrintArea" localSheetId="18" hidden="1">'15 - Adm Loc'!#REF!</definedName>
    <definedName name="Z_EBA68B69_6D6E_44F8_8C51_9491A55275C5_.wvu.PrintArea" localSheetId="20" hidden="1">'17 - SNS exec fin'!$B$2:$F$46</definedName>
    <definedName name="Z_EBA68B69_6D6E_44F8_8C51_9491A55275C5_.wvu.PrintArea" localSheetId="21" hidden="1">'18 - Dív não Fin'!$B$2:$R$32</definedName>
    <definedName name="Z_EBA68B69_6D6E_44F8_8C51_9491A55275C5_.wvu.PrintArea" localSheetId="22" hidden="1">'19 - CGA Ind'!$B$2:$O$451</definedName>
    <definedName name="Z_EBA68B69_6D6E_44F8_8C51_9491A55275C5_.wvu.PrintArea" localSheetId="24" hidden="1">'21 - Estimativas'!$B$2:$C$43</definedName>
    <definedName name="Z_EBA68B69_6D6E_44F8_8C51_9491A55275C5_.wvu.PrintArea" localSheetId="8" hidden="1">'5 - Conta AC + SS'!$B$1:$C$59</definedName>
    <definedName name="Z_EBA68B69_6D6E_44F8_8C51_9491A55275C5_.wvu.PrintArea" localSheetId="10" hidden="1">'7 - Estado'!$C$2:$C$73</definedName>
    <definedName name="Z_EBA68B69_6D6E_44F8_8C51_9491A55275C5_.wvu.PrintArea" localSheetId="11" hidden="1">'8 - R_Est'!$B$2:$J$72</definedName>
    <definedName name="Z_EBA68B69_6D6E_44F8_8C51_9491A55275C5_.wvu.PrintArea" localSheetId="12" hidden="1">'9 - SFA'!$C$2:$J$96</definedName>
    <definedName name="Z_EBA68B69_6D6E_44F8_8C51_9491A55275C5_.wvu.PrintArea" localSheetId="1" hidden="1">Indice_index!$B$3:$C$16</definedName>
    <definedName name="Z_EBA68B69_6D6E_44F8_8C51_9491A55275C5_.wvu.PrintArea" localSheetId="5" hidden="1">'Síntese Global'!$B$2:$N$4</definedName>
    <definedName name="Z_EBA68B69_6D6E_44F8_8C51_9491A55275C5_.wvu.PrintTitles" localSheetId="14" hidden="1">'11 - CGA'!$3:$5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8" i="4" l="1"/>
  <c r="C27" i="4"/>
  <c r="C2" i="36"/>
  <c r="C29" i="4"/>
  <c r="C2" i="37"/>
  <c r="C169" i="37" l="1"/>
  <c r="C2" i="32"/>
  <c r="C17" i="19" l="1"/>
  <c r="C38" i="19"/>
  <c r="E6" i="19"/>
  <c r="E6" i="18"/>
  <c r="C8" i="4"/>
  <c r="C9" i="4"/>
  <c r="C10" i="4"/>
  <c r="C12" i="4"/>
  <c r="C14" i="4"/>
  <c r="C219" i="32"/>
  <c r="C69" i="35"/>
  <c r="C90" i="33"/>
  <c r="I44" i="33"/>
  <c r="F141" i="37"/>
  <c r="C130" i="37"/>
  <c r="C161" i="37" s="1"/>
  <c r="C71" i="37"/>
  <c r="C153" i="37" s="1"/>
  <c r="F136" i="37"/>
  <c r="F129" i="37"/>
  <c r="F119" i="37"/>
  <c r="F106" i="37"/>
  <c r="F104" i="37"/>
  <c r="F94" i="37"/>
  <c r="F88" i="37"/>
  <c r="F81" i="37"/>
  <c r="F82" i="37"/>
  <c r="F78" i="37"/>
  <c r="F69" i="37"/>
  <c r="F65" i="37"/>
  <c r="F56" i="37"/>
  <c r="F43" i="37"/>
  <c r="F31" i="37"/>
  <c r="F26" i="37"/>
  <c r="F20" i="37"/>
  <c r="F11" i="37"/>
  <c r="E108" i="37"/>
  <c r="E130" i="37"/>
  <c r="E135" i="37"/>
  <c r="E131" i="37"/>
  <c r="E132" i="37"/>
  <c r="E133" i="37"/>
  <c r="E134" i="37"/>
  <c r="D130" i="37"/>
  <c r="D161" i="37" s="1"/>
  <c r="E126" i="37"/>
  <c r="E128" i="37"/>
  <c r="D120" i="37"/>
  <c r="E117" i="37"/>
  <c r="E109" i="37"/>
  <c r="D108" i="37"/>
  <c r="D159" i="37" s="1"/>
  <c r="D105" i="37"/>
  <c r="D158" i="37" s="1"/>
  <c r="D96" i="37"/>
  <c r="D157" i="37" s="1"/>
  <c r="D90" i="37"/>
  <c r="E94" i="37" s="1"/>
  <c r="D83" i="37"/>
  <c r="E82" i="37"/>
  <c r="E79" i="37"/>
  <c r="E80" i="37"/>
  <c r="D79" i="37"/>
  <c r="D154" i="37" s="1"/>
  <c r="E71" i="37"/>
  <c r="E72" i="37"/>
  <c r="E73" i="37"/>
  <c r="E74" i="37"/>
  <c r="E75" i="37"/>
  <c r="E76" i="37"/>
  <c r="E77" i="37"/>
  <c r="D71" i="37"/>
  <c r="D153" i="37" s="1"/>
  <c r="D70" i="37"/>
  <c r="D66" i="37"/>
  <c r="D152" i="37" s="1"/>
  <c r="D57" i="37"/>
  <c r="E65" i="37" s="1"/>
  <c r="E64" i="37"/>
  <c r="E63" i="37"/>
  <c r="E62" i="37"/>
  <c r="E61" i="37"/>
  <c r="E60" i="37"/>
  <c r="E59" i="37"/>
  <c r="E58" i="37"/>
  <c r="E57" i="37"/>
  <c r="C57" i="37"/>
  <c r="C151" i="37" s="1"/>
  <c r="E55" i="37"/>
  <c r="E54" i="37"/>
  <c r="D44" i="37"/>
  <c r="D150" i="37" s="1"/>
  <c r="D32" i="37"/>
  <c r="D149" i="37" s="1"/>
  <c r="D28" i="37"/>
  <c r="D148" i="37" s="1"/>
  <c r="E25" i="37"/>
  <c r="E24" i="37"/>
  <c r="E23" i="37"/>
  <c r="E19" i="37"/>
  <c r="E18" i="37"/>
  <c r="E17" i="37"/>
  <c r="F27" i="37"/>
  <c r="E16" i="37"/>
  <c r="E14" i="37"/>
  <c r="C172" i="37"/>
  <c r="C171" i="37"/>
  <c r="C170" i="37"/>
  <c r="C168" i="37"/>
  <c r="C166" i="37"/>
  <c r="C164" i="37"/>
  <c r="F162" i="37"/>
  <c r="E161" i="37"/>
  <c r="E160" i="37"/>
  <c r="E159" i="37"/>
  <c r="E158" i="37"/>
  <c r="E157" i="37"/>
  <c r="E156" i="37"/>
  <c r="E155" i="37"/>
  <c r="E154" i="37"/>
  <c r="E153" i="37"/>
  <c r="E152" i="37"/>
  <c r="E151" i="37"/>
  <c r="E150" i="37"/>
  <c r="E149" i="37"/>
  <c r="E148" i="37"/>
  <c r="E147" i="37"/>
  <c r="E146" i="37"/>
  <c r="E145" i="37"/>
  <c r="F143" i="37"/>
  <c r="E142" i="37"/>
  <c r="D142" i="37"/>
  <c r="C142" i="37"/>
  <c r="C139" i="37"/>
  <c r="C137" i="37"/>
  <c r="E127" i="37"/>
  <c r="E125" i="37"/>
  <c r="E124" i="37"/>
  <c r="E123" i="37"/>
  <c r="E122" i="37"/>
  <c r="E121" i="37"/>
  <c r="E120" i="37"/>
  <c r="C120" i="37"/>
  <c r="C160" i="37" s="1"/>
  <c r="E118" i="37"/>
  <c r="E116" i="37"/>
  <c r="E115" i="37"/>
  <c r="E114" i="37"/>
  <c r="E113" i="37"/>
  <c r="E112" i="37"/>
  <c r="E111" i="37"/>
  <c r="E110" i="37"/>
  <c r="C108" i="37"/>
  <c r="C159" i="37" s="1"/>
  <c r="E107" i="37"/>
  <c r="E105" i="37"/>
  <c r="C105" i="37"/>
  <c r="C158" i="37" s="1"/>
  <c r="E103" i="37"/>
  <c r="E102" i="37"/>
  <c r="E101" i="37"/>
  <c r="E100" i="37"/>
  <c r="E99" i="37"/>
  <c r="E98" i="37"/>
  <c r="E97" i="37"/>
  <c r="E96" i="37"/>
  <c r="C96" i="37"/>
  <c r="C157" i="37" s="1"/>
  <c r="E95" i="37"/>
  <c r="E93" i="37"/>
  <c r="E92" i="37"/>
  <c r="E91" i="37"/>
  <c r="E90" i="37"/>
  <c r="C90" i="37"/>
  <c r="C156" i="37" s="1"/>
  <c r="E89" i="37"/>
  <c r="E87" i="37"/>
  <c r="E86" i="37"/>
  <c r="E85" i="37"/>
  <c r="E84" i="37"/>
  <c r="E83" i="37"/>
  <c r="C83" i="37"/>
  <c r="C155" i="37" s="1"/>
  <c r="E81" i="37"/>
  <c r="C79" i="37"/>
  <c r="C154" i="37" s="1"/>
  <c r="E53" i="37"/>
  <c r="E52" i="37"/>
  <c r="E51" i="37"/>
  <c r="E50" i="37"/>
  <c r="E49" i="37"/>
  <c r="E48" i="37"/>
  <c r="E47" i="37"/>
  <c r="E46" i="37"/>
  <c r="E45" i="37"/>
  <c r="E44" i="37"/>
  <c r="E56" i="37"/>
  <c r="C44" i="37"/>
  <c r="C150" i="37" s="1"/>
  <c r="E42" i="37"/>
  <c r="E41" i="37"/>
  <c r="E40" i="37"/>
  <c r="E39" i="37"/>
  <c r="E38" i="37"/>
  <c r="E37" i="37"/>
  <c r="E36" i="37"/>
  <c r="E35" i="37"/>
  <c r="E34" i="37"/>
  <c r="E33" i="37"/>
  <c r="E32" i="37"/>
  <c r="C32" i="37"/>
  <c r="C149" i="37" s="1"/>
  <c r="E70" i="37"/>
  <c r="E68" i="37"/>
  <c r="E67" i="37"/>
  <c r="E66" i="37"/>
  <c r="C66" i="37"/>
  <c r="C152" i="37" s="1"/>
  <c r="E30" i="37"/>
  <c r="E29" i="37"/>
  <c r="E28" i="37"/>
  <c r="C28" i="37"/>
  <c r="C148" i="37" s="1"/>
  <c r="E22" i="37"/>
  <c r="E21" i="37"/>
  <c r="D21" i="37"/>
  <c r="E27" i="37" s="1"/>
  <c r="C21" i="37"/>
  <c r="C147" i="37" s="1"/>
  <c r="E15" i="37"/>
  <c r="E13" i="37"/>
  <c r="E12" i="37"/>
  <c r="D12" i="37"/>
  <c r="D146" i="37" s="1"/>
  <c r="C12" i="37"/>
  <c r="C146" i="37" s="1"/>
  <c r="E10" i="37"/>
  <c r="E9" i="37"/>
  <c r="E8" i="37"/>
  <c r="D8" i="37"/>
  <c r="D145" i="37" s="1"/>
  <c r="C8" i="37"/>
  <c r="C145" i="37" s="1"/>
  <c r="F6" i="37"/>
  <c r="E5" i="37"/>
  <c r="D5" i="37"/>
  <c r="C5" i="37"/>
  <c r="F4" i="37"/>
  <c r="C4" i="37"/>
  <c r="C141" i="37" s="1"/>
  <c r="E136" i="37"/>
  <c r="E78" i="37"/>
  <c r="E69" i="37"/>
  <c r="E104" i="37"/>
  <c r="G176" i="32"/>
  <c r="G169" i="32"/>
  <c r="G158" i="32"/>
  <c r="G143" i="32"/>
  <c r="G139" i="32"/>
  <c r="G126" i="32"/>
  <c r="G117" i="32"/>
  <c r="G107" i="32"/>
  <c r="G108" i="32"/>
  <c r="G102" i="32"/>
  <c r="G91" i="32"/>
  <c r="G75" i="32"/>
  <c r="G60" i="32"/>
  <c r="G54" i="32"/>
  <c r="G48" i="32"/>
  <c r="G36" i="32"/>
  <c r="G30" i="32"/>
  <c r="G37" i="32" s="1"/>
  <c r="G28" i="32"/>
  <c r="G21" i="32"/>
  <c r="G13" i="32"/>
  <c r="C4" i="32"/>
  <c r="H7" i="18"/>
  <c r="G7" i="18"/>
  <c r="C53" i="35"/>
  <c r="C44" i="33"/>
  <c r="D34" i="20"/>
  <c r="R45" i="20"/>
  <c r="R46" i="20"/>
  <c r="R47" i="20"/>
  <c r="R48" i="20"/>
  <c r="R49" i="20"/>
  <c r="R50" i="20"/>
  <c r="Q43" i="20"/>
  <c r="P43" i="20"/>
  <c r="O43" i="20"/>
  <c r="N43" i="20"/>
  <c r="M43" i="20"/>
  <c r="L43" i="20"/>
  <c r="K43" i="20"/>
  <c r="J43" i="20"/>
  <c r="I43" i="20"/>
  <c r="H43" i="20"/>
  <c r="G43" i="20"/>
  <c r="F43" i="20"/>
  <c r="E43" i="20"/>
  <c r="Q9" i="20"/>
  <c r="P9" i="20"/>
  <c r="O9" i="20"/>
  <c r="N9" i="20"/>
  <c r="M9" i="20"/>
  <c r="L9" i="20"/>
  <c r="K9" i="20"/>
  <c r="J9" i="20"/>
  <c r="I9" i="20"/>
  <c r="H9" i="20"/>
  <c r="G9" i="20"/>
  <c r="F9" i="20"/>
  <c r="E9" i="20"/>
  <c r="C87" i="17"/>
  <c r="E8" i="33"/>
  <c r="D44" i="33"/>
  <c r="I8" i="25"/>
  <c r="G8" i="25"/>
  <c r="H8" i="25"/>
  <c r="F8" i="25"/>
  <c r="N19" i="6"/>
  <c r="H77" i="6" s="1"/>
  <c r="O19" i="6"/>
  <c r="O55" i="6" s="1"/>
  <c r="P19" i="6"/>
  <c r="Q19" i="6"/>
  <c r="M19" i="6"/>
  <c r="H19" i="6"/>
  <c r="I19" i="6"/>
  <c r="J19" i="6"/>
  <c r="J55" i="6" s="1"/>
  <c r="J113" i="6" s="1"/>
  <c r="K19" i="6"/>
  <c r="G19" i="6"/>
  <c r="H49" i="14"/>
  <c r="H50" i="14"/>
  <c r="G47" i="15"/>
  <c r="G45" i="15" s="1"/>
  <c r="F47" i="15"/>
  <c r="F45" i="15" s="1"/>
  <c r="E47" i="15"/>
  <c r="G10" i="10"/>
  <c r="F10" i="10"/>
  <c r="C49" i="30"/>
  <c r="C48" i="30"/>
  <c r="G42" i="30"/>
  <c r="F42" i="30"/>
  <c r="E42" i="30"/>
  <c r="D42" i="30"/>
  <c r="I42" i="30"/>
  <c r="J42" i="30"/>
  <c r="I33" i="30"/>
  <c r="I22" i="30"/>
  <c r="I38" i="30" s="1"/>
  <c r="I15" i="30"/>
  <c r="I7" i="30"/>
  <c r="I20" i="30" s="1"/>
  <c r="I40" i="30" s="1"/>
  <c r="D33" i="30"/>
  <c r="E33" i="30"/>
  <c r="E38" i="30" s="1"/>
  <c r="E22" i="30"/>
  <c r="E15" i="30"/>
  <c r="E7" i="30"/>
  <c r="F33" i="30"/>
  <c r="F22" i="30"/>
  <c r="F38" i="30" s="1"/>
  <c r="F15" i="30"/>
  <c r="F7" i="30"/>
  <c r="E20" i="30"/>
  <c r="E40" i="30" s="1"/>
  <c r="F20" i="30"/>
  <c r="C480" i="36"/>
  <c r="C160" i="36"/>
  <c r="C158" i="36"/>
  <c r="C124" i="36"/>
  <c r="C87" i="36"/>
  <c r="C69" i="36"/>
  <c r="C63" i="36"/>
  <c r="G72" i="9"/>
  <c r="F72" i="9"/>
  <c r="C463" i="36"/>
  <c r="C431" i="36"/>
  <c r="C363" i="36"/>
  <c r="C321" i="36"/>
  <c r="C101" i="36"/>
  <c r="C190" i="36"/>
  <c r="C208" i="36"/>
  <c r="C301" i="36"/>
  <c r="S85" i="28"/>
  <c r="S84" i="28"/>
  <c r="S83" i="28"/>
  <c r="S82" i="28"/>
  <c r="S81" i="28"/>
  <c r="S80" i="28"/>
  <c r="S79" i="28"/>
  <c r="S78" i="28"/>
  <c r="S77" i="28"/>
  <c r="S76" i="28"/>
  <c r="S75" i="28"/>
  <c r="S74" i="28"/>
  <c r="S73" i="28"/>
  <c r="S72" i="28"/>
  <c r="S71" i="28"/>
  <c r="S70" i="28"/>
  <c r="S69" i="28"/>
  <c r="S68" i="28"/>
  <c r="S67" i="28"/>
  <c r="S66" i="28"/>
  <c r="S65" i="28"/>
  <c r="S64" i="28"/>
  <c r="S63" i="28"/>
  <c r="S62" i="28"/>
  <c r="S61" i="28"/>
  <c r="S60" i="28"/>
  <c r="S59" i="28"/>
  <c r="S58" i="28"/>
  <c r="S57" i="28"/>
  <c r="S56" i="28"/>
  <c r="W37" i="28"/>
  <c r="AB39" i="28"/>
  <c r="AB38" i="28"/>
  <c r="AB37" i="28"/>
  <c r="AB35" i="28"/>
  <c r="AB33" i="28"/>
  <c r="AB32" i="28"/>
  <c r="AB31" i="28"/>
  <c r="AB30" i="28"/>
  <c r="AB29" i="28"/>
  <c r="AB28" i="28"/>
  <c r="AB27" i="28"/>
  <c r="AB26" i="28"/>
  <c r="AB21" i="28"/>
  <c r="AB20" i="28"/>
  <c r="AB19" i="28"/>
  <c r="AB17" i="28"/>
  <c r="AB15" i="28"/>
  <c r="AB14" i="28"/>
  <c r="AB13" i="28"/>
  <c r="AB11" i="28"/>
  <c r="AB10" i="28"/>
  <c r="AB9" i="28"/>
  <c r="E6" i="15"/>
  <c r="E6" i="14"/>
  <c r="E45" i="15"/>
  <c r="E54" i="15" s="1"/>
  <c r="E58" i="15" s="1"/>
  <c r="E38" i="15"/>
  <c r="E32" i="15"/>
  <c r="E22" i="15"/>
  <c r="E20" i="15" s="1"/>
  <c r="E14" i="15"/>
  <c r="E9" i="15"/>
  <c r="E28" i="14"/>
  <c r="D14" i="14"/>
  <c r="E14" i="14"/>
  <c r="E6" i="13"/>
  <c r="E63" i="14"/>
  <c r="E36" i="14"/>
  <c r="E35" i="14"/>
  <c r="E34" i="14"/>
  <c r="E9" i="14"/>
  <c r="E31" i="15"/>
  <c r="AB18" i="28"/>
  <c r="AB25" i="28"/>
  <c r="AH25" i="28"/>
  <c r="AB12" i="28"/>
  <c r="AB36" i="28"/>
  <c r="AB8" i="28"/>
  <c r="AB34" i="28"/>
  <c r="AB41" i="28"/>
  <c r="AB16" i="28"/>
  <c r="AB23" i="28"/>
  <c r="E67" i="14"/>
  <c r="E69" i="14" s="1"/>
  <c r="E32" i="14"/>
  <c r="C5" i="7"/>
  <c r="C5" i="25" s="1"/>
  <c r="F6" i="4"/>
  <c r="D108" i="27"/>
  <c r="G6" i="4"/>
  <c r="E6" i="4"/>
  <c r="AB43" i="28"/>
  <c r="C12" i="18"/>
  <c r="C28" i="18"/>
  <c r="C59" i="6"/>
  <c r="E22" i="10"/>
  <c r="H6" i="13"/>
  <c r="H6" i="12"/>
  <c r="H43" i="13"/>
  <c r="H42" i="13"/>
  <c r="H41" i="13"/>
  <c r="H40" i="13"/>
  <c r="H39" i="13"/>
  <c r="H38" i="13"/>
  <c r="H35" i="13"/>
  <c r="H34" i="13"/>
  <c r="H33" i="13"/>
  <c r="H32" i="13"/>
  <c r="H31" i="13"/>
  <c r="H25" i="13"/>
  <c r="H23" i="13"/>
  <c r="H22" i="13"/>
  <c r="H21" i="13"/>
  <c r="H20" i="13"/>
  <c r="H19" i="13"/>
  <c r="H18" i="13"/>
  <c r="H16" i="13"/>
  <c r="H13" i="13"/>
  <c r="H12" i="13"/>
  <c r="H10" i="13"/>
  <c r="H6" i="11"/>
  <c r="H56" i="12"/>
  <c r="H55" i="12"/>
  <c r="H54" i="12"/>
  <c r="H53" i="12"/>
  <c r="H52" i="12"/>
  <c r="H50" i="12"/>
  <c r="H47" i="12"/>
  <c r="H46" i="12"/>
  <c r="H45" i="12"/>
  <c r="H44" i="12"/>
  <c r="H43" i="12"/>
  <c r="H42" i="12"/>
  <c r="H40" i="12"/>
  <c r="H39" i="12"/>
  <c r="H38" i="12"/>
  <c r="H37" i="12"/>
  <c r="H36" i="12"/>
  <c r="H29" i="12"/>
  <c r="H28" i="12"/>
  <c r="H27" i="12"/>
  <c r="H26" i="12"/>
  <c r="H25" i="12"/>
  <c r="H23" i="12"/>
  <c r="H20" i="12"/>
  <c r="H19" i="12"/>
  <c r="H18" i="12"/>
  <c r="H17" i="12"/>
  <c r="H16" i="12"/>
  <c r="H14" i="12"/>
  <c r="H13" i="12"/>
  <c r="H12" i="12"/>
  <c r="H11" i="12"/>
  <c r="H6" i="10"/>
  <c r="H56" i="11"/>
  <c r="H55" i="11"/>
  <c r="H54" i="11"/>
  <c r="H53" i="11"/>
  <c r="H52" i="11"/>
  <c r="H50" i="11"/>
  <c r="H47" i="11"/>
  <c r="H46" i="11"/>
  <c r="H45" i="11"/>
  <c r="H44" i="11"/>
  <c r="H43" i="11"/>
  <c r="H42" i="11"/>
  <c r="H40" i="11"/>
  <c r="H39" i="11"/>
  <c r="H38" i="11"/>
  <c r="H37" i="11"/>
  <c r="H36" i="11"/>
  <c r="H29" i="11"/>
  <c r="H28" i="11"/>
  <c r="H27" i="11"/>
  <c r="H26" i="11"/>
  <c r="H25" i="11"/>
  <c r="H23" i="11"/>
  <c r="H20" i="11"/>
  <c r="H19" i="11"/>
  <c r="H18" i="11"/>
  <c r="H17" i="11"/>
  <c r="H16" i="11"/>
  <c r="H14" i="11"/>
  <c r="H13" i="11"/>
  <c r="H12" i="11"/>
  <c r="H11" i="11"/>
  <c r="H6" i="9"/>
  <c r="H60" i="10"/>
  <c r="H59" i="10"/>
  <c r="H58" i="10"/>
  <c r="H57" i="10"/>
  <c r="H56" i="10"/>
  <c r="H55" i="10"/>
  <c r="H53" i="10"/>
  <c r="H51" i="10"/>
  <c r="H50" i="10"/>
  <c r="H49" i="10"/>
  <c r="H48" i="10"/>
  <c r="H47" i="10"/>
  <c r="H46" i="10"/>
  <c r="H44" i="10"/>
  <c r="H43" i="10"/>
  <c r="H42" i="10"/>
  <c r="H41" i="10"/>
  <c r="H40" i="10"/>
  <c r="H38" i="10"/>
  <c r="H37" i="10"/>
  <c r="H36" i="10"/>
  <c r="H34" i="10"/>
  <c r="H33" i="10"/>
  <c r="H32" i="10"/>
  <c r="H31" i="10"/>
  <c r="H26" i="10"/>
  <c r="H25" i="10"/>
  <c r="H22" i="10"/>
  <c r="H21" i="10"/>
  <c r="H20" i="10"/>
  <c r="H19" i="10"/>
  <c r="H18" i="10"/>
  <c r="H17" i="10"/>
  <c r="H16" i="10"/>
  <c r="H15" i="10"/>
  <c r="H13" i="10"/>
  <c r="H12" i="10"/>
  <c r="H11" i="10"/>
  <c r="H5" i="8"/>
  <c r="H56" i="9"/>
  <c r="H55" i="9"/>
  <c r="H54" i="9"/>
  <c r="H53" i="9"/>
  <c r="H52" i="9"/>
  <c r="H50" i="9"/>
  <c r="H47" i="9"/>
  <c r="H46" i="9"/>
  <c r="H45" i="9"/>
  <c r="H44" i="9"/>
  <c r="H43" i="9"/>
  <c r="H42" i="9"/>
  <c r="H40" i="9"/>
  <c r="H39" i="9"/>
  <c r="H38" i="9"/>
  <c r="H37" i="9"/>
  <c r="H36" i="9"/>
  <c r="H6" i="7"/>
  <c r="H46" i="8"/>
  <c r="H45" i="8"/>
  <c r="H44" i="8"/>
  <c r="H42" i="8"/>
  <c r="H39" i="8"/>
  <c r="H38" i="8"/>
  <c r="H37" i="8"/>
  <c r="H36" i="8"/>
  <c r="H34" i="8"/>
  <c r="H33" i="8"/>
  <c r="H32" i="8"/>
  <c r="H31" i="8"/>
  <c r="H30" i="8"/>
  <c r="H23" i="8"/>
  <c r="H22" i="8"/>
  <c r="H21" i="8"/>
  <c r="H19" i="8"/>
  <c r="H16" i="8"/>
  <c r="H15" i="8"/>
  <c r="H14" i="8"/>
  <c r="H12" i="8"/>
  <c r="H11" i="8"/>
  <c r="H10" i="8"/>
  <c r="H47" i="7"/>
  <c r="H46" i="7"/>
  <c r="H45" i="7"/>
  <c r="H43" i="7"/>
  <c r="H40" i="7"/>
  <c r="H39" i="7"/>
  <c r="H38" i="7"/>
  <c r="H37" i="7"/>
  <c r="H35" i="7"/>
  <c r="H34" i="7"/>
  <c r="H33" i="7"/>
  <c r="H32" i="7"/>
  <c r="H31" i="7"/>
  <c r="H24" i="7"/>
  <c r="H23" i="7"/>
  <c r="H22" i="7"/>
  <c r="H20" i="7"/>
  <c r="H17" i="7"/>
  <c r="H16" i="7"/>
  <c r="H15" i="7"/>
  <c r="H13" i="7"/>
  <c r="H12" i="7"/>
  <c r="H11" i="7"/>
  <c r="E6" i="7"/>
  <c r="E5" i="8"/>
  <c r="E44" i="7"/>
  <c r="E42" i="7"/>
  <c r="E36" i="7"/>
  <c r="E30" i="7"/>
  <c r="E21" i="7"/>
  <c r="E19" i="7"/>
  <c r="E14" i="7"/>
  <c r="E9" i="7"/>
  <c r="E55" i="7" s="1"/>
  <c r="E10" i="7"/>
  <c r="E6" i="12"/>
  <c r="E6" i="11"/>
  <c r="E51" i="12"/>
  <c r="E49" i="12"/>
  <c r="E41" i="12"/>
  <c r="E35" i="12"/>
  <c r="E34" i="12"/>
  <c r="E59" i="12" s="1"/>
  <c r="E63" i="12" s="1"/>
  <c r="E24" i="12"/>
  <c r="E22" i="12"/>
  <c r="E65" i="12" s="1"/>
  <c r="E15" i="12"/>
  <c r="E10" i="12"/>
  <c r="E9" i="12" s="1"/>
  <c r="E36" i="13"/>
  <c r="E30" i="13"/>
  <c r="E29" i="13"/>
  <c r="E45" i="13"/>
  <c r="E24" i="13"/>
  <c r="E17" i="13"/>
  <c r="E15" i="13" s="1"/>
  <c r="E14" i="13" s="1"/>
  <c r="E8" i="13" s="1"/>
  <c r="E27" i="13" s="1"/>
  <c r="E47" i="13" s="1"/>
  <c r="E51" i="13" s="1"/>
  <c r="E11" i="13"/>
  <c r="E9" i="13"/>
  <c r="E29" i="7"/>
  <c r="E50" i="7"/>
  <c r="E54" i="7"/>
  <c r="E56" i="7"/>
  <c r="S6" i="6"/>
  <c r="E6" i="9"/>
  <c r="E51" i="11"/>
  <c r="E49" i="11"/>
  <c r="E41" i="11"/>
  <c r="E34" i="11" s="1"/>
  <c r="E59" i="11" s="1"/>
  <c r="E63" i="11" s="1"/>
  <c r="E35" i="11"/>
  <c r="E24" i="11"/>
  <c r="E22" i="11" s="1"/>
  <c r="E15" i="11"/>
  <c r="E10" i="11"/>
  <c r="E72" i="9"/>
  <c r="E6" i="10"/>
  <c r="E71" i="9"/>
  <c r="E70" i="9"/>
  <c r="E68" i="9" s="1"/>
  <c r="E51" i="9"/>
  <c r="E49" i="9"/>
  <c r="E41" i="9"/>
  <c r="E35" i="9"/>
  <c r="E30" i="9"/>
  <c r="E29" i="9"/>
  <c r="E28" i="9"/>
  <c r="E27" i="9"/>
  <c r="E26" i="9"/>
  <c r="E24" i="9" s="1"/>
  <c r="E22" i="9" s="1"/>
  <c r="E25" i="9"/>
  <c r="E23" i="9"/>
  <c r="E21" i="9"/>
  <c r="E19" i="9"/>
  <c r="E18" i="9"/>
  <c r="E15" i="9" s="1"/>
  <c r="E17" i="9"/>
  <c r="E16" i="9"/>
  <c r="E64" i="10"/>
  <c r="E54" i="10"/>
  <c r="E52" i="10"/>
  <c r="E45" i="10"/>
  <c r="E39" i="10"/>
  <c r="H39" i="10" s="1"/>
  <c r="E35" i="10"/>
  <c r="E20" i="9" s="1"/>
  <c r="E30" i="10"/>
  <c r="E24" i="10"/>
  <c r="E14" i="10"/>
  <c r="E9" i="10" s="1"/>
  <c r="E10" i="10"/>
  <c r="E13" i="9"/>
  <c r="E14" i="9"/>
  <c r="E11" i="9"/>
  <c r="E9" i="11"/>
  <c r="E34" i="9"/>
  <c r="J4" i="8"/>
  <c r="E43" i="8"/>
  <c r="E41" i="8"/>
  <c r="E35" i="8"/>
  <c r="E29" i="8"/>
  <c r="E20" i="8"/>
  <c r="E18" i="8"/>
  <c r="E13" i="8"/>
  <c r="E8" i="8"/>
  <c r="E9" i="8"/>
  <c r="E28" i="8"/>
  <c r="E55" i="8"/>
  <c r="E26" i="8"/>
  <c r="E54" i="8"/>
  <c r="E49" i="8"/>
  <c r="E53" i="8"/>
  <c r="K6" i="18"/>
  <c r="K5" i="18"/>
  <c r="E51" i="8"/>
  <c r="E56" i="8"/>
  <c r="S30" i="6"/>
  <c r="S29" i="6" s="1"/>
  <c r="S42" i="6"/>
  <c r="S19" i="6"/>
  <c r="S10" i="6"/>
  <c r="S9" i="6"/>
  <c r="S8" i="6"/>
  <c r="D47" i="35"/>
  <c r="D41" i="35"/>
  <c r="E14" i="33"/>
  <c r="I14" i="33" s="1"/>
  <c r="H14" i="33"/>
  <c r="G14" i="33"/>
  <c r="F14" i="33"/>
  <c r="D15" i="35"/>
  <c r="C35" i="33"/>
  <c r="C41" i="33"/>
  <c r="D41" i="33"/>
  <c r="I41" i="33"/>
  <c r="C84" i="17"/>
  <c r="F38" i="15"/>
  <c r="G38" i="15"/>
  <c r="F64" i="10"/>
  <c r="I64" i="10" s="1"/>
  <c r="G64" i="10"/>
  <c r="AH56" i="28"/>
  <c r="F117" i="32"/>
  <c r="F21" i="32"/>
  <c r="C91" i="17"/>
  <c r="C89" i="33"/>
  <c r="H66" i="33"/>
  <c r="G66" i="33"/>
  <c r="D59" i="33"/>
  <c r="C59" i="33"/>
  <c r="C21" i="33"/>
  <c r="I59" i="33"/>
  <c r="C32" i="33"/>
  <c r="C47" i="33"/>
  <c r="D21" i="33"/>
  <c r="I21" i="33"/>
  <c r="C24" i="35"/>
  <c r="C25" i="33"/>
  <c r="D25" i="33"/>
  <c r="C35" i="7"/>
  <c r="AH71" i="28"/>
  <c r="I25" i="33"/>
  <c r="D35" i="33"/>
  <c r="I35" i="33"/>
  <c r="S9" i="28"/>
  <c r="C48" i="35"/>
  <c r="C49" i="35"/>
  <c r="C30" i="33"/>
  <c r="C55" i="33"/>
  <c r="D89" i="33"/>
  <c r="E89" i="33"/>
  <c r="F89" i="33"/>
  <c r="G89" i="33"/>
  <c r="H89" i="33"/>
  <c r="I89" i="33"/>
  <c r="C92" i="33"/>
  <c r="H68" i="33"/>
  <c r="G68" i="33"/>
  <c r="F68" i="33"/>
  <c r="C68" i="35"/>
  <c r="C56" i="35"/>
  <c r="C43" i="33"/>
  <c r="D10" i="33"/>
  <c r="C10" i="33"/>
  <c r="C42" i="33"/>
  <c r="D42" i="33"/>
  <c r="C82" i="28"/>
  <c r="T82" i="28"/>
  <c r="AH57" i="28"/>
  <c r="T85" i="28"/>
  <c r="T84" i="28"/>
  <c r="T83" i="28"/>
  <c r="T81" i="28"/>
  <c r="T80" i="28"/>
  <c r="T79" i="28"/>
  <c r="T78" i="28"/>
  <c r="T77" i="28"/>
  <c r="T76" i="28"/>
  <c r="T75" i="28"/>
  <c r="T74" i="28"/>
  <c r="T73" i="28"/>
  <c r="T72" i="28"/>
  <c r="T71" i="28"/>
  <c r="AH82" i="28"/>
  <c r="D82" i="28"/>
  <c r="C28" i="33"/>
  <c r="C27" i="35"/>
  <c r="D32" i="35"/>
  <c r="D25" i="35"/>
  <c r="C40" i="33"/>
  <c r="C38" i="33"/>
  <c r="C76" i="33"/>
  <c r="D38" i="33"/>
  <c r="D28" i="33"/>
  <c r="I42" i="33"/>
  <c r="I38" i="33"/>
  <c r="I28" i="33"/>
  <c r="D6" i="18"/>
  <c r="D72" i="9"/>
  <c r="D6" i="13"/>
  <c r="D6" i="12"/>
  <c r="D6" i="11"/>
  <c r="D6" i="10"/>
  <c r="D6" i="9"/>
  <c r="D5" i="8"/>
  <c r="D6" i="7"/>
  <c r="D6" i="14"/>
  <c r="D6" i="15"/>
  <c r="F6" i="15"/>
  <c r="C45" i="33"/>
  <c r="D43" i="33"/>
  <c r="I43" i="33"/>
  <c r="E6" i="6"/>
  <c r="G36" i="14"/>
  <c r="F36" i="14"/>
  <c r="E157" i="32"/>
  <c r="E156" i="32"/>
  <c r="T56" i="28"/>
  <c r="AH58" i="28"/>
  <c r="C23" i="35"/>
  <c r="I36" i="33"/>
  <c r="I31" i="33"/>
  <c r="I27" i="33"/>
  <c r="I11" i="33"/>
  <c r="I12" i="33"/>
  <c r="I10" i="33"/>
  <c r="I9" i="33"/>
  <c r="C69" i="28"/>
  <c r="C78" i="28"/>
  <c r="AH69" i="28"/>
  <c r="T69" i="28"/>
  <c r="D69" i="28"/>
  <c r="AH78" i="28"/>
  <c r="D78" i="28"/>
  <c r="D55" i="33"/>
  <c r="I55" i="33"/>
  <c r="J15" i="30"/>
  <c r="D115" i="27"/>
  <c r="C74" i="28"/>
  <c r="C7" i="33"/>
  <c r="C2" i="33"/>
  <c r="C2" i="35"/>
  <c r="C17" i="14"/>
  <c r="G14" i="14"/>
  <c r="F14" i="14"/>
  <c r="F6" i="19"/>
  <c r="H6" i="19"/>
  <c r="N6" i="34"/>
  <c r="V74" i="28"/>
  <c r="G6" i="6"/>
  <c r="D6" i="25"/>
  <c r="F6" i="25"/>
  <c r="C12" i="35"/>
  <c r="C59" i="35"/>
  <c r="C69" i="33"/>
  <c r="D30" i="33"/>
  <c r="C63" i="35"/>
  <c r="C61" i="35"/>
  <c r="C58" i="35"/>
  <c r="G71" i="33"/>
  <c r="I30" i="33"/>
  <c r="F6" i="17"/>
  <c r="D6" i="17"/>
  <c r="D7" i="31"/>
  <c r="G7" i="31"/>
  <c r="J7" i="31"/>
  <c r="AH74" i="28"/>
  <c r="D74" i="28"/>
  <c r="R52" i="20"/>
  <c r="Q51" i="20"/>
  <c r="P51" i="20"/>
  <c r="O51" i="20"/>
  <c r="O53" i="20" s="1"/>
  <c r="N51" i="20"/>
  <c r="M51" i="20"/>
  <c r="L51" i="20"/>
  <c r="K51" i="20"/>
  <c r="J51" i="20"/>
  <c r="I51" i="20"/>
  <c r="H51" i="20"/>
  <c r="G51" i="20"/>
  <c r="F51" i="20"/>
  <c r="E51" i="20"/>
  <c r="Q44" i="20"/>
  <c r="Q53" i="20" s="1"/>
  <c r="R53" i="20" s="1"/>
  <c r="P44" i="20"/>
  <c r="O44" i="20"/>
  <c r="N44" i="20"/>
  <c r="M44" i="20"/>
  <c r="L44" i="20"/>
  <c r="K44" i="20"/>
  <c r="J44" i="20"/>
  <c r="J53" i="20"/>
  <c r="I44" i="20"/>
  <c r="H44" i="20"/>
  <c r="G44" i="20"/>
  <c r="F44" i="20"/>
  <c r="E44" i="20"/>
  <c r="R28" i="20"/>
  <c r="R27" i="20"/>
  <c r="R26" i="20"/>
  <c r="R25" i="20"/>
  <c r="R24" i="20"/>
  <c r="R23" i="20"/>
  <c r="R22" i="20"/>
  <c r="R21" i="20"/>
  <c r="R20" i="20"/>
  <c r="R19" i="20"/>
  <c r="R18" i="20"/>
  <c r="R17" i="20"/>
  <c r="R16" i="20"/>
  <c r="R15" i="20"/>
  <c r="R14" i="20"/>
  <c r="R13" i="20"/>
  <c r="R12" i="20"/>
  <c r="R11" i="20"/>
  <c r="R10" i="20"/>
  <c r="K53" i="20"/>
  <c r="R51" i="20"/>
  <c r="E53" i="20"/>
  <c r="I53" i="20"/>
  <c r="P53" i="20"/>
  <c r="F53" i="20"/>
  <c r="L53" i="20"/>
  <c r="G53" i="20"/>
  <c r="M53" i="20"/>
  <c r="H53" i="20"/>
  <c r="N53" i="20"/>
  <c r="C4" i="36"/>
  <c r="C30" i="36"/>
  <c r="C503" i="36"/>
  <c r="D69" i="33"/>
  <c r="D70" i="33"/>
  <c r="D63" i="33"/>
  <c r="D61" i="33"/>
  <c r="I69" i="33"/>
  <c r="J6" i="18"/>
  <c r="C13" i="35"/>
  <c r="C60" i="35"/>
  <c r="C63" i="33"/>
  <c r="C71" i="33"/>
  <c r="C68" i="33"/>
  <c r="C11" i="35"/>
  <c r="D58" i="35"/>
  <c r="I63" i="33"/>
  <c r="D61" i="35"/>
  <c r="C23" i="33"/>
  <c r="C42" i="35"/>
  <c r="C70" i="33"/>
  <c r="C61" i="33"/>
  <c r="E68" i="33"/>
  <c r="I70" i="33"/>
  <c r="I61" i="33"/>
  <c r="D23" i="33"/>
  <c r="I68" i="33"/>
  <c r="J5" i="30"/>
  <c r="J33" i="30"/>
  <c r="J38" i="30" s="1"/>
  <c r="J40" i="30" s="1"/>
  <c r="J22" i="30"/>
  <c r="J7" i="30"/>
  <c r="I23" i="33"/>
  <c r="J20" i="30"/>
  <c r="C216" i="32"/>
  <c r="C214" i="32"/>
  <c r="F176" i="32"/>
  <c r="F169" i="32"/>
  <c r="F158" i="32"/>
  <c r="F143" i="32"/>
  <c r="F139" i="32"/>
  <c r="F126" i="32"/>
  <c r="F107" i="32"/>
  <c r="F102" i="32"/>
  <c r="F91" i="32"/>
  <c r="F75" i="32"/>
  <c r="F60" i="32"/>
  <c r="F54" i="32"/>
  <c r="F48" i="32"/>
  <c r="F36" i="32"/>
  <c r="F30" i="32"/>
  <c r="F28" i="32"/>
  <c r="F37" i="32" s="1"/>
  <c r="F184" i="32" s="1"/>
  <c r="F13" i="32"/>
  <c r="F14" i="15"/>
  <c r="F8" i="15" s="1"/>
  <c r="G14" i="15"/>
  <c r="C12" i="33"/>
  <c r="D12" i="33"/>
  <c r="G30" i="10"/>
  <c r="H30" i="10"/>
  <c r="F30" i="10"/>
  <c r="C72" i="10"/>
  <c r="F54" i="10"/>
  <c r="G54" i="10"/>
  <c r="H54" i="10" s="1"/>
  <c r="C76" i="9"/>
  <c r="I7" i="15"/>
  <c r="H6" i="15"/>
  <c r="I7" i="14"/>
  <c r="H6" i="14"/>
  <c r="F6" i="14"/>
  <c r="J7" i="13"/>
  <c r="I6" i="13"/>
  <c r="F6" i="13"/>
  <c r="J7" i="12"/>
  <c r="I6" i="12"/>
  <c r="F6" i="12"/>
  <c r="J7" i="11"/>
  <c r="I6" i="11"/>
  <c r="F6" i="11"/>
  <c r="J7" i="10"/>
  <c r="I6" i="10"/>
  <c r="F6" i="10"/>
  <c r="J7" i="9"/>
  <c r="I6" i="9"/>
  <c r="F6" i="9"/>
  <c r="J6" i="8"/>
  <c r="I5" i="8"/>
  <c r="F5" i="8"/>
  <c r="F6" i="7"/>
  <c r="I6" i="7"/>
  <c r="J7" i="7"/>
  <c r="L9" i="24"/>
  <c r="D114" i="27"/>
  <c r="C81" i="28"/>
  <c r="C7" i="35"/>
  <c r="C9" i="35"/>
  <c r="C9" i="33"/>
  <c r="C10" i="35"/>
  <c r="C8" i="33"/>
  <c r="C15" i="35"/>
  <c r="C14" i="33"/>
  <c r="D6" i="35"/>
  <c r="I6" i="33"/>
  <c r="D22" i="35"/>
  <c r="C20" i="17"/>
  <c r="C11" i="17"/>
  <c r="C10" i="17"/>
  <c r="E19" i="6"/>
  <c r="C4" i="35"/>
  <c r="C4" i="33"/>
  <c r="C2" i="30"/>
  <c r="C2" i="28"/>
  <c r="C2" i="27"/>
  <c r="C2" i="20"/>
  <c r="C2" i="19"/>
  <c r="C2" i="18"/>
  <c r="C2" i="17"/>
  <c r="C2" i="31"/>
  <c r="C2" i="15"/>
  <c r="C26" i="4"/>
  <c r="C25" i="4"/>
  <c r="C24" i="4"/>
  <c r="C23" i="4"/>
  <c r="C22" i="4"/>
  <c r="C21" i="4"/>
  <c r="C20" i="4"/>
  <c r="C19" i="4"/>
  <c r="C18" i="4"/>
  <c r="C17" i="4"/>
  <c r="C16" i="4"/>
  <c r="C15" i="4"/>
  <c r="C13" i="4"/>
  <c r="C11" i="4"/>
  <c r="C2" i="14"/>
  <c r="C2" i="13"/>
  <c r="C2" i="12"/>
  <c r="C2" i="11"/>
  <c r="C2" i="10"/>
  <c r="C2" i="9"/>
  <c r="C2" i="8"/>
  <c r="C2" i="7"/>
  <c r="G68" i="17"/>
  <c r="F68" i="17"/>
  <c r="C72" i="35"/>
  <c r="C67" i="35"/>
  <c r="C66" i="35"/>
  <c r="C65" i="35"/>
  <c r="C54" i="35"/>
  <c r="C50" i="35"/>
  <c r="C52" i="35"/>
  <c r="C51" i="35"/>
  <c r="C47" i="35"/>
  <c r="C46" i="35"/>
  <c r="C43" i="35"/>
  <c r="C45" i="35"/>
  <c r="C44" i="35"/>
  <c r="C41" i="35"/>
  <c r="C40" i="35"/>
  <c r="C36" i="35"/>
  <c r="C39" i="35"/>
  <c r="C37" i="35"/>
  <c r="C38" i="35"/>
  <c r="C35" i="35"/>
  <c r="C33" i="35"/>
  <c r="C34" i="35"/>
  <c r="C32" i="35"/>
  <c r="C31" i="35"/>
  <c r="C30" i="35"/>
  <c r="C28" i="35"/>
  <c r="C29" i="35"/>
  <c r="C26" i="35"/>
  <c r="C25" i="35"/>
  <c r="C22" i="35"/>
  <c r="C19" i="35"/>
  <c r="C21" i="35"/>
  <c r="C20" i="35"/>
  <c r="C18" i="35"/>
  <c r="C17" i="35"/>
  <c r="D18" i="35"/>
  <c r="G6" i="18"/>
  <c r="D17" i="35"/>
  <c r="D56" i="35" s="1"/>
  <c r="D63" i="35" s="1"/>
  <c r="L7" i="34"/>
  <c r="J7" i="34"/>
  <c r="H7" i="34"/>
  <c r="M7" i="34"/>
  <c r="K7" i="34"/>
  <c r="I7" i="34"/>
  <c r="C19" i="34"/>
  <c r="S5" i="6"/>
  <c r="C71" i="28"/>
  <c r="C79" i="28"/>
  <c r="D71" i="28"/>
  <c r="C80" i="28"/>
  <c r="AH79" i="28"/>
  <c r="D79" i="28"/>
  <c r="AH80" i="28"/>
  <c r="D80" i="28"/>
  <c r="C87" i="28"/>
  <c r="C84" i="28"/>
  <c r="C83" i="28"/>
  <c r="C76" i="28"/>
  <c r="C75" i="28"/>
  <c r="D9" i="33"/>
  <c r="C36" i="33"/>
  <c r="C67" i="28"/>
  <c r="G9" i="28"/>
  <c r="H7" i="15"/>
  <c r="H7" i="14"/>
  <c r="I7" i="13"/>
  <c r="AH72" i="28"/>
  <c r="AH59" i="28"/>
  <c r="AH60" i="28"/>
  <c r="AH61" i="28"/>
  <c r="AH62" i="28"/>
  <c r="AH63" i="28"/>
  <c r="AH64" i="28"/>
  <c r="AH65" i="28"/>
  <c r="AH66" i="28"/>
  <c r="AH67" i="28"/>
  <c r="AH68" i="28"/>
  <c r="AH70" i="28"/>
  <c r="AH73" i="28"/>
  <c r="AH75" i="28"/>
  <c r="AH76" i="28"/>
  <c r="AH77" i="28"/>
  <c r="AH81" i="28"/>
  <c r="AH83" i="28"/>
  <c r="AH84" i="28"/>
  <c r="AH85" i="28"/>
  <c r="V53" i="28"/>
  <c r="G53" i="28"/>
  <c r="V5" i="28"/>
  <c r="G5" i="28"/>
  <c r="D586" i="27"/>
  <c r="D585" i="27"/>
  <c r="D584" i="27"/>
  <c r="D583" i="27"/>
  <c r="D582" i="27"/>
  <c r="D581" i="27"/>
  <c r="D580" i="27"/>
  <c r="D579" i="27"/>
  <c r="D578" i="27"/>
  <c r="D577" i="27"/>
  <c r="D576" i="27"/>
  <c r="D575" i="27"/>
  <c r="D449" i="27"/>
  <c r="D448" i="27"/>
  <c r="D447" i="27"/>
  <c r="D446" i="27"/>
  <c r="D445" i="27"/>
  <c r="D444" i="27"/>
  <c r="D443" i="27"/>
  <c r="D442" i="27"/>
  <c r="D441" i="27"/>
  <c r="D440" i="27"/>
  <c r="D439" i="27"/>
  <c r="D438" i="27"/>
  <c r="D299" i="27"/>
  <c r="D298" i="27"/>
  <c r="D297" i="27"/>
  <c r="D296" i="27"/>
  <c r="D295" i="27"/>
  <c r="D294" i="27"/>
  <c r="D293" i="27"/>
  <c r="D292" i="27"/>
  <c r="D291" i="27"/>
  <c r="D290" i="27"/>
  <c r="D289" i="27"/>
  <c r="D288" i="27"/>
  <c r="D150" i="27"/>
  <c r="D149" i="27"/>
  <c r="D148" i="27"/>
  <c r="D147" i="27"/>
  <c r="D146" i="27"/>
  <c r="D145" i="27"/>
  <c r="D144" i="27"/>
  <c r="D143" i="27"/>
  <c r="D142" i="27"/>
  <c r="D141" i="27"/>
  <c r="D140" i="27"/>
  <c r="D139" i="27"/>
  <c r="D47" i="15"/>
  <c r="D45" i="15" s="1"/>
  <c r="D38" i="15"/>
  <c r="D32" i="15"/>
  <c r="D22" i="15"/>
  <c r="D20" i="15" s="1"/>
  <c r="D14" i="15"/>
  <c r="D9" i="15"/>
  <c r="D63" i="14"/>
  <c r="D36" i="14"/>
  <c r="D35" i="14"/>
  <c r="D34" i="14"/>
  <c r="D28" i="14"/>
  <c r="D9" i="14"/>
  <c r="D36" i="13"/>
  <c r="D30" i="13"/>
  <c r="D24" i="13"/>
  <c r="D17" i="13"/>
  <c r="D15" i="13"/>
  <c r="D14" i="13"/>
  <c r="D8" i="13" s="1"/>
  <c r="D27" i="13" s="1"/>
  <c r="D47" i="13" s="1"/>
  <c r="D51" i="13" s="1"/>
  <c r="D11" i="13"/>
  <c r="D9" i="13"/>
  <c r="D51" i="12"/>
  <c r="D49" i="12"/>
  <c r="D41" i="12"/>
  <c r="D35" i="12"/>
  <c r="D24" i="12"/>
  <c r="D22" i="12" s="1"/>
  <c r="D15" i="12"/>
  <c r="D10" i="12"/>
  <c r="D9" i="12"/>
  <c r="D32" i="12" s="1"/>
  <c r="D8" i="15"/>
  <c r="D29" i="13"/>
  <c r="D45" i="13"/>
  <c r="D67" i="14"/>
  <c r="D34" i="12"/>
  <c r="D64" i="12"/>
  <c r="D31" i="15"/>
  <c r="D65" i="12"/>
  <c r="D32" i="14"/>
  <c r="D51" i="11"/>
  <c r="D49" i="11"/>
  <c r="D41" i="11"/>
  <c r="D35" i="11"/>
  <c r="D24" i="11"/>
  <c r="D22" i="11"/>
  <c r="D65" i="11" s="1"/>
  <c r="D15" i="11"/>
  <c r="D9" i="11" s="1"/>
  <c r="D10" i="11"/>
  <c r="D71" i="9"/>
  <c r="D70" i="9"/>
  <c r="D51" i="9"/>
  <c r="D49" i="9"/>
  <c r="D41" i="9"/>
  <c r="D35" i="9"/>
  <c r="D30" i="9"/>
  <c r="D29" i="9"/>
  <c r="D28" i="9"/>
  <c r="D27" i="9"/>
  <c r="D26" i="9"/>
  <c r="D24" i="9" s="1"/>
  <c r="D22" i="9" s="1"/>
  <c r="D65" i="9" s="1"/>
  <c r="D25" i="9"/>
  <c r="D23" i="9"/>
  <c r="D21" i="9"/>
  <c r="D19" i="9"/>
  <c r="D18" i="9"/>
  <c r="D17" i="9"/>
  <c r="D16" i="9"/>
  <c r="D15" i="9" s="1"/>
  <c r="D64" i="10"/>
  <c r="D54" i="10"/>
  <c r="D52" i="10"/>
  <c r="D45" i="10"/>
  <c r="D39" i="10"/>
  <c r="D29" i="10" s="1"/>
  <c r="D28" i="10" s="1"/>
  <c r="D35" i="10"/>
  <c r="D30" i="10"/>
  <c r="D14" i="9"/>
  <c r="D24" i="10"/>
  <c r="D13" i="9" s="1"/>
  <c r="D14" i="10"/>
  <c r="D12" i="9"/>
  <c r="D10" i="9" s="1"/>
  <c r="D10" i="10"/>
  <c r="D11" i="9"/>
  <c r="D43" i="8"/>
  <c r="D41" i="8"/>
  <c r="D35" i="8"/>
  <c r="D29" i="8"/>
  <c r="D20" i="8"/>
  <c r="D18" i="8"/>
  <c r="D13" i="8"/>
  <c r="D8" i="8"/>
  <c r="D9" i="8"/>
  <c r="C64" i="7"/>
  <c r="C76" i="11" s="1"/>
  <c r="C66" i="7"/>
  <c r="D44" i="7"/>
  <c r="D42" i="7"/>
  <c r="D36" i="7"/>
  <c r="D30" i="7"/>
  <c r="D21" i="7"/>
  <c r="D19" i="7"/>
  <c r="D14" i="7"/>
  <c r="D9" i="7"/>
  <c r="D10" i="7"/>
  <c r="D68" i="9"/>
  <c r="D9" i="10"/>
  <c r="D69" i="14"/>
  <c r="D74" i="14" s="1"/>
  <c r="D20" i="9"/>
  <c r="D61" i="12"/>
  <c r="D29" i="7"/>
  <c r="D55" i="7"/>
  <c r="D55" i="8"/>
  <c r="D59" i="12"/>
  <c r="D63" i="12"/>
  <c r="D60" i="15"/>
  <c r="D34" i="11"/>
  <c r="D34" i="9"/>
  <c r="D59" i="9" s="1"/>
  <c r="D63" i="9" s="1"/>
  <c r="D56" i="7"/>
  <c r="D28" i="8"/>
  <c r="D49" i="8"/>
  <c r="D53" i="8"/>
  <c r="D26" i="8"/>
  <c r="D27" i="7"/>
  <c r="D50" i="7"/>
  <c r="D54" i="7"/>
  <c r="D59" i="11"/>
  <c r="D63" i="11" s="1"/>
  <c r="D51" i="8"/>
  <c r="D56" i="8"/>
  <c r="D54" i="8"/>
  <c r="D52" i="7"/>
  <c r="D57" i="7"/>
  <c r="F4" i="4"/>
  <c r="C73" i="28"/>
  <c r="C25" i="14"/>
  <c r="C24" i="14"/>
  <c r="C85" i="28"/>
  <c r="D49" i="33"/>
  <c r="C49" i="33"/>
  <c r="C12" i="25"/>
  <c r="C11" i="25"/>
  <c r="C108" i="6"/>
  <c r="C85" i="6"/>
  <c r="C50" i="6"/>
  <c r="C27" i="6"/>
  <c r="C39" i="25"/>
  <c r="C23" i="25"/>
  <c r="I49" i="33"/>
  <c r="C47" i="25"/>
  <c r="AG27" i="28"/>
  <c r="R27" i="28"/>
  <c r="D73" i="28"/>
  <c r="G7" i="30"/>
  <c r="G15" i="30"/>
  <c r="G22" i="30"/>
  <c r="G38" i="30" s="1"/>
  <c r="G33" i="30"/>
  <c r="C74" i="31"/>
  <c r="G22" i="15"/>
  <c r="F22" i="15"/>
  <c r="H25" i="14"/>
  <c r="F28" i="14"/>
  <c r="G28" i="14"/>
  <c r="F17" i="13"/>
  <c r="F15" i="13" s="1"/>
  <c r="F14" i="13" s="1"/>
  <c r="F8" i="13" s="1"/>
  <c r="F27" i="13" s="1"/>
  <c r="G17" i="13"/>
  <c r="C75" i="9"/>
  <c r="C63" i="28"/>
  <c r="T63" i="28"/>
  <c r="T62" i="28"/>
  <c r="D62" i="28"/>
  <c r="C62" i="28"/>
  <c r="G9" i="15"/>
  <c r="F9" i="15"/>
  <c r="S37" i="28"/>
  <c r="S35" i="28"/>
  <c r="S31" i="28"/>
  <c r="S17" i="28"/>
  <c r="S15" i="28"/>
  <c r="G45" i="10"/>
  <c r="H45" i="10"/>
  <c r="F45" i="10"/>
  <c r="C188" i="32"/>
  <c r="R42" i="20"/>
  <c r="I8" i="33"/>
  <c r="D8" i="33"/>
  <c r="D270" i="27"/>
  <c r="F15" i="12"/>
  <c r="G15" i="12"/>
  <c r="H15" i="12"/>
  <c r="D559" i="27"/>
  <c r="D570" i="27"/>
  <c r="D95" i="27"/>
  <c r="D16" i="33"/>
  <c r="D17" i="33"/>
  <c r="C24" i="18"/>
  <c r="C22" i="18"/>
  <c r="C21" i="18"/>
  <c r="K27" i="28"/>
  <c r="L27" i="28"/>
  <c r="N27" i="28"/>
  <c r="O27" i="28"/>
  <c r="P27" i="28"/>
  <c r="D107" i="27"/>
  <c r="S38" i="28"/>
  <c r="S10" i="28"/>
  <c r="G14" i="9"/>
  <c r="H14" i="9"/>
  <c r="D109" i="27"/>
  <c r="D48" i="33"/>
  <c r="C48" i="33"/>
  <c r="C4" i="4"/>
  <c r="AH28" i="28"/>
  <c r="T28" i="28"/>
  <c r="D75" i="28"/>
  <c r="G25" i="17"/>
  <c r="F25" i="17"/>
  <c r="C46" i="30"/>
  <c r="C33" i="33"/>
  <c r="C88" i="33"/>
  <c r="D84" i="28"/>
  <c r="D40" i="33"/>
  <c r="T65" i="28"/>
  <c r="D65" i="28"/>
  <c r="C65" i="28"/>
  <c r="C75" i="15"/>
  <c r="M14" i="34"/>
  <c r="L14" i="34"/>
  <c r="K14" i="34"/>
  <c r="J14" i="34"/>
  <c r="M15" i="34"/>
  <c r="L15" i="34"/>
  <c r="J15" i="34"/>
  <c r="K15" i="34"/>
  <c r="C2" i="34"/>
  <c r="O7" i="34"/>
  <c r="N7" i="34"/>
  <c r="L6" i="34"/>
  <c r="J6" i="34"/>
  <c r="H6" i="34"/>
  <c r="O5" i="34"/>
  <c r="C20" i="34"/>
  <c r="C18" i="34"/>
  <c r="C16" i="34"/>
  <c r="D15" i="34"/>
  <c r="D14" i="34"/>
  <c r="E13" i="34"/>
  <c r="G12" i="34"/>
  <c r="F11" i="34"/>
  <c r="F10" i="34"/>
  <c r="E9" i="34"/>
  <c r="D8" i="34"/>
  <c r="H81" i="33"/>
  <c r="G81" i="33"/>
  <c r="D76" i="33"/>
  <c r="S33" i="28"/>
  <c r="I88" i="33"/>
  <c r="H88" i="33"/>
  <c r="G88" i="33"/>
  <c r="F88" i="33"/>
  <c r="E88" i="33"/>
  <c r="D88" i="33"/>
  <c r="C83" i="33"/>
  <c r="C78" i="33"/>
  <c r="C77" i="33"/>
  <c r="C79" i="33"/>
  <c r="C74" i="33"/>
  <c r="C60" i="33"/>
  <c r="C62" i="33"/>
  <c r="C60" i="28"/>
  <c r="T60" i="28"/>
  <c r="D60" i="28"/>
  <c r="C80" i="33"/>
  <c r="D80" i="33"/>
  <c r="D78" i="33"/>
  <c r="D77" i="33"/>
  <c r="D79" i="33"/>
  <c r="D60" i="33"/>
  <c r="C24" i="33"/>
  <c r="D24" i="33"/>
  <c r="D15" i="30"/>
  <c r="G188" i="32"/>
  <c r="G4" i="32"/>
  <c r="D64" i="33"/>
  <c r="D62" i="33"/>
  <c r="D58" i="33"/>
  <c r="D57" i="33"/>
  <c r="D56" i="33"/>
  <c r="D54" i="33"/>
  <c r="D53" i="33"/>
  <c r="D47" i="33"/>
  <c r="D51" i="33"/>
  <c r="D50" i="33"/>
  <c r="D52" i="33"/>
  <c r="D37" i="33"/>
  <c r="D45" i="33"/>
  <c r="D39" i="33"/>
  <c r="D34" i="33"/>
  <c r="D33" i="33"/>
  <c r="D29" i="33"/>
  <c r="D36" i="33"/>
  <c r="D26" i="33"/>
  <c r="D27" i="33"/>
  <c r="D31" i="33"/>
  <c r="D46" i="33"/>
  <c r="D32" i="33"/>
  <c r="D22" i="33"/>
  <c r="D20" i="33"/>
  <c r="D18" i="33"/>
  <c r="D19" i="33"/>
  <c r="G10" i="28"/>
  <c r="AH35" i="28"/>
  <c r="T35" i="28"/>
  <c r="D81" i="28"/>
  <c r="C64" i="33"/>
  <c r="C58" i="33"/>
  <c r="C57" i="33"/>
  <c r="C56" i="33"/>
  <c r="C54" i="33"/>
  <c r="C53" i="33"/>
  <c r="C51" i="33"/>
  <c r="C50" i="33"/>
  <c r="C52" i="33"/>
  <c r="C37" i="33"/>
  <c r="C39" i="33"/>
  <c r="C34" i="33"/>
  <c r="C29" i="33"/>
  <c r="C26" i="33"/>
  <c r="C27" i="33"/>
  <c r="C31" i="33"/>
  <c r="C46" i="33"/>
  <c r="C22" i="33"/>
  <c r="C20" i="33"/>
  <c r="C18" i="33"/>
  <c r="C19" i="33"/>
  <c r="C16" i="33"/>
  <c r="C17" i="33"/>
  <c r="I87" i="33"/>
  <c r="H87" i="33"/>
  <c r="G87" i="33"/>
  <c r="F87" i="33"/>
  <c r="E87" i="33"/>
  <c r="D87" i="33"/>
  <c r="C87" i="33"/>
  <c r="C85" i="33"/>
  <c r="C86" i="33"/>
  <c r="D75" i="33"/>
  <c r="D74" i="33"/>
  <c r="C73" i="33"/>
  <c r="C81" i="33"/>
  <c r="C75" i="33"/>
  <c r="C11" i="33"/>
  <c r="M8" i="31"/>
  <c r="L8" i="31"/>
  <c r="I8" i="31"/>
  <c r="F8" i="31"/>
  <c r="H11" i="14"/>
  <c r="H10" i="14"/>
  <c r="C21" i="14"/>
  <c r="C20" i="14"/>
  <c r="G63" i="14"/>
  <c r="F63" i="14"/>
  <c r="G35" i="14"/>
  <c r="F9" i="14"/>
  <c r="F32" i="14"/>
  <c r="G9" i="14"/>
  <c r="H65" i="14"/>
  <c r="H64" i="14"/>
  <c r="H62" i="14"/>
  <c r="H61" i="14"/>
  <c r="H60" i="14"/>
  <c r="H58" i="14"/>
  <c r="H57" i="14"/>
  <c r="H56" i="14"/>
  <c r="H55" i="14"/>
  <c r="H54" i="14"/>
  <c r="H53" i="14"/>
  <c r="H52" i="14"/>
  <c r="H51" i="14"/>
  <c r="H48" i="14"/>
  <c r="H47" i="14"/>
  <c r="H46" i="14"/>
  <c r="H45" i="14"/>
  <c r="H44" i="14"/>
  <c r="H43" i="14"/>
  <c r="H42" i="14"/>
  <c r="H41" i="14"/>
  <c r="H40" i="14"/>
  <c r="H39" i="14"/>
  <c r="H38" i="14"/>
  <c r="H37" i="14"/>
  <c r="H30" i="14"/>
  <c r="H29" i="14"/>
  <c r="H27" i="14"/>
  <c r="H26" i="14"/>
  <c r="H24" i="14"/>
  <c r="H23" i="14"/>
  <c r="H22" i="14"/>
  <c r="H21" i="14"/>
  <c r="H20" i="14"/>
  <c r="H19" i="14"/>
  <c r="H18" i="14"/>
  <c r="H17" i="14"/>
  <c r="H16" i="14"/>
  <c r="H15" i="14"/>
  <c r="H12" i="14"/>
  <c r="G32" i="15"/>
  <c r="F32" i="15"/>
  <c r="H52" i="15"/>
  <c r="H51" i="15"/>
  <c r="H50" i="15"/>
  <c r="H49" i="15"/>
  <c r="H48" i="15"/>
  <c r="H46" i="15"/>
  <c r="H44" i="15"/>
  <c r="H43" i="15"/>
  <c r="H42" i="15"/>
  <c r="H41" i="15"/>
  <c r="H40" i="15"/>
  <c r="H39" i="15"/>
  <c r="H37" i="15"/>
  <c r="H36" i="15"/>
  <c r="H35" i="15"/>
  <c r="H34" i="15"/>
  <c r="H33" i="15"/>
  <c r="H27" i="15"/>
  <c r="H26" i="15"/>
  <c r="H25" i="15"/>
  <c r="H24" i="15"/>
  <c r="H23" i="15"/>
  <c r="H21" i="15"/>
  <c r="H19" i="15"/>
  <c r="H18" i="15"/>
  <c r="H17" i="15"/>
  <c r="H16" i="15"/>
  <c r="H15" i="15"/>
  <c r="H13" i="15"/>
  <c r="H12" i="15"/>
  <c r="H11" i="15"/>
  <c r="H10" i="15"/>
  <c r="E148" i="32"/>
  <c r="E177" i="32"/>
  <c r="E178" i="32"/>
  <c r="E179" i="32"/>
  <c r="E180" i="32"/>
  <c r="E181" i="32"/>
  <c r="E182" i="32"/>
  <c r="D177" i="32"/>
  <c r="E183" i="32" s="1"/>
  <c r="E171" i="32"/>
  <c r="E172" i="32"/>
  <c r="E173" i="32"/>
  <c r="E174" i="32"/>
  <c r="E175" i="32"/>
  <c r="D170" i="32"/>
  <c r="E176" i="32" s="1"/>
  <c r="E170" i="32"/>
  <c r="E163" i="32"/>
  <c r="E164" i="32"/>
  <c r="E165" i="32"/>
  <c r="E166" i="32"/>
  <c r="E167" i="32"/>
  <c r="E168" i="32"/>
  <c r="D159" i="32"/>
  <c r="E169" i="32" s="1"/>
  <c r="E159" i="32"/>
  <c r="E160" i="32"/>
  <c r="E161" i="32"/>
  <c r="E162" i="32"/>
  <c r="E146" i="32"/>
  <c r="E147" i="32"/>
  <c r="E149" i="32"/>
  <c r="E150" i="32"/>
  <c r="E151" i="32"/>
  <c r="E152" i="32"/>
  <c r="E153" i="32"/>
  <c r="E154" i="32"/>
  <c r="E155" i="32"/>
  <c r="D145" i="32"/>
  <c r="E145" i="32"/>
  <c r="E141" i="32"/>
  <c r="E142" i="32"/>
  <c r="D140" i="32"/>
  <c r="D207" i="32" s="1"/>
  <c r="E144" i="32"/>
  <c r="E136" i="32"/>
  <c r="E137" i="32"/>
  <c r="E138" i="32"/>
  <c r="D128" i="32"/>
  <c r="E140" i="32"/>
  <c r="E129" i="32"/>
  <c r="E130" i="32"/>
  <c r="E131" i="32"/>
  <c r="E132" i="32"/>
  <c r="E133" i="32"/>
  <c r="E134" i="32"/>
  <c r="E135" i="32"/>
  <c r="D119" i="32"/>
  <c r="E126" i="32" s="1"/>
  <c r="E127" i="32"/>
  <c r="E128" i="32"/>
  <c r="E124" i="32"/>
  <c r="E125" i="32"/>
  <c r="E121" i="32"/>
  <c r="E122" i="32"/>
  <c r="E123" i="32"/>
  <c r="E120" i="32"/>
  <c r="E119" i="32"/>
  <c r="D109" i="32"/>
  <c r="E117" i="32" s="1"/>
  <c r="E118" i="32"/>
  <c r="E116" i="32"/>
  <c r="E115" i="32"/>
  <c r="E110" i="32"/>
  <c r="E111" i="32"/>
  <c r="E112" i="32"/>
  <c r="E113" i="32"/>
  <c r="E114" i="32"/>
  <c r="E109" i="32"/>
  <c r="D103" i="32"/>
  <c r="E107" i="32" s="1"/>
  <c r="E108" i="32"/>
  <c r="E103" i="32"/>
  <c r="E104" i="32"/>
  <c r="E105" i="32"/>
  <c r="E106" i="32"/>
  <c r="E93" i="32"/>
  <c r="E94" i="32"/>
  <c r="E95" i="32"/>
  <c r="E96" i="32"/>
  <c r="E97" i="32"/>
  <c r="E98" i="32"/>
  <c r="E99" i="32"/>
  <c r="E100" i="32"/>
  <c r="E101" i="32"/>
  <c r="D92" i="32"/>
  <c r="D76" i="32"/>
  <c r="D201" i="32" s="1"/>
  <c r="E92" i="32"/>
  <c r="E77" i="32"/>
  <c r="E78" i="32"/>
  <c r="E79" i="32"/>
  <c r="E80" i="32"/>
  <c r="E81" i="32"/>
  <c r="E82" i="32"/>
  <c r="E83" i="32"/>
  <c r="E84" i="32"/>
  <c r="E85" i="32"/>
  <c r="E86" i="32"/>
  <c r="E87" i="32"/>
  <c r="E88" i="32"/>
  <c r="E89" i="32"/>
  <c r="E90" i="32"/>
  <c r="D62" i="32"/>
  <c r="E75" i="32" s="1"/>
  <c r="E76" i="32"/>
  <c r="E63" i="32"/>
  <c r="E64" i="32"/>
  <c r="E65" i="32"/>
  <c r="E66" i="32"/>
  <c r="E67" i="32"/>
  <c r="E68" i="32"/>
  <c r="E69" i="32"/>
  <c r="E70" i="32"/>
  <c r="E71" i="32"/>
  <c r="E72" i="32"/>
  <c r="E73" i="32"/>
  <c r="E74" i="32"/>
  <c r="E61" i="32"/>
  <c r="E62" i="32"/>
  <c r="E56" i="32"/>
  <c r="E57" i="32"/>
  <c r="E58" i="32"/>
  <c r="E59" i="32"/>
  <c r="D55" i="32"/>
  <c r="D199" i="32" s="1"/>
  <c r="E50" i="32"/>
  <c r="E51" i="32"/>
  <c r="E52" i="32"/>
  <c r="E53" i="32"/>
  <c r="D49" i="32"/>
  <c r="E54" i="32" s="1"/>
  <c r="E55" i="32"/>
  <c r="D38" i="32"/>
  <c r="E49" i="32"/>
  <c r="E43" i="32"/>
  <c r="E44" i="32"/>
  <c r="E45" i="32"/>
  <c r="E46" i="32"/>
  <c r="E47" i="32"/>
  <c r="E39" i="32"/>
  <c r="E40" i="32"/>
  <c r="E41" i="32"/>
  <c r="E42" i="32"/>
  <c r="D31" i="32"/>
  <c r="D196" i="32" s="1"/>
  <c r="E38" i="32"/>
  <c r="E35" i="32"/>
  <c r="E34" i="32"/>
  <c r="E33" i="32"/>
  <c r="E32" i="32"/>
  <c r="C31" i="32"/>
  <c r="C196" i="32" s="1"/>
  <c r="E31" i="32"/>
  <c r="E23" i="32"/>
  <c r="E24" i="32"/>
  <c r="E25" i="32"/>
  <c r="E26" i="32"/>
  <c r="E27" i="32"/>
  <c r="C22" i="32"/>
  <c r="E29" i="32"/>
  <c r="C29" i="32"/>
  <c r="C195" i="32" s="1"/>
  <c r="C14" i="32"/>
  <c r="E22" i="32"/>
  <c r="E20" i="32"/>
  <c r="E19" i="32"/>
  <c r="E18" i="32"/>
  <c r="E17" i="32"/>
  <c r="E16" i="32"/>
  <c r="E15" i="32"/>
  <c r="E14" i="32"/>
  <c r="E11" i="32"/>
  <c r="E12" i="32"/>
  <c r="E10" i="32"/>
  <c r="H7" i="25"/>
  <c r="F7" i="25"/>
  <c r="C71" i="10"/>
  <c r="F35" i="12"/>
  <c r="I7" i="12"/>
  <c r="I7" i="11"/>
  <c r="I7" i="9"/>
  <c r="I6" i="8"/>
  <c r="C63" i="7"/>
  <c r="F7" i="17"/>
  <c r="H7" i="19"/>
  <c r="D6" i="19"/>
  <c r="C72" i="28"/>
  <c r="C88" i="11"/>
  <c r="C89" i="17"/>
  <c r="J6" i="25"/>
  <c r="D28" i="25"/>
  <c r="K10" i="6"/>
  <c r="K9" i="6" s="1"/>
  <c r="K30" i="6"/>
  <c r="K42" i="6"/>
  <c r="D33" i="25" s="1"/>
  <c r="D37" i="25"/>
  <c r="G37" i="25" s="1"/>
  <c r="E36" i="25"/>
  <c r="G36" i="25" s="1"/>
  <c r="D36" i="25"/>
  <c r="E35" i="25"/>
  <c r="D35" i="25"/>
  <c r="E34" i="25"/>
  <c r="G34" i="25" s="1"/>
  <c r="I34" i="25" s="1"/>
  <c r="D34" i="25"/>
  <c r="D32" i="25"/>
  <c r="E31" i="25"/>
  <c r="D31" i="25"/>
  <c r="G31" i="25" s="1"/>
  <c r="I31" i="25" s="1"/>
  <c r="D30" i="25"/>
  <c r="E29" i="25"/>
  <c r="D29" i="25"/>
  <c r="D27" i="25"/>
  <c r="G27" i="25" s="1"/>
  <c r="Q30" i="6"/>
  <c r="D21" i="25"/>
  <c r="E21" i="25"/>
  <c r="E20" i="25"/>
  <c r="D20" i="25"/>
  <c r="G20" i="25" s="1"/>
  <c r="I20" i="25" s="1"/>
  <c r="E19" i="25"/>
  <c r="D19" i="25"/>
  <c r="E18" i="25"/>
  <c r="D18" i="25"/>
  <c r="D16" i="25"/>
  <c r="D15" i="25"/>
  <c r="E14" i="25"/>
  <c r="D14" i="25"/>
  <c r="E13" i="25"/>
  <c r="D13" i="25"/>
  <c r="E12" i="25"/>
  <c r="G12" i="25" s="1"/>
  <c r="I12" i="25" s="1"/>
  <c r="D12" i="25"/>
  <c r="E11" i="25"/>
  <c r="D11" i="25"/>
  <c r="G11" i="25" s="1"/>
  <c r="Q10" i="6"/>
  <c r="E10" i="25" s="1"/>
  <c r="G10" i="25" s="1"/>
  <c r="I10" i="25" s="1"/>
  <c r="E27" i="25"/>
  <c r="E15" i="25"/>
  <c r="G15" i="25" s="1"/>
  <c r="I15" i="25" s="1"/>
  <c r="E30" i="25"/>
  <c r="E32" i="25"/>
  <c r="G32" i="25" s="1"/>
  <c r="E28" i="25"/>
  <c r="G28" i="25" s="1"/>
  <c r="I28" i="25" s="1"/>
  <c r="E16" i="25"/>
  <c r="E37" i="25"/>
  <c r="Q42" i="6"/>
  <c r="E33" i="25" s="1"/>
  <c r="C68" i="28"/>
  <c r="AH17" i="28"/>
  <c r="AH37" i="28"/>
  <c r="G11" i="13"/>
  <c r="H11" i="13"/>
  <c r="F11" i="13"/>
  <c r="G30" i="9"/>
  <c r="G29" i="9"/>
  <c r="G28" i="9"/>
  <c r="H28" i="9"/>
  <c r="G27" i="9"/>
  <c r="H27" i="9"/>
  <c r="G26" i="9"/>
  <c r="H26" i="9"/>
  <c r="G25" i="9"/>
  <c r="H25" i="9" s="1"/>
  <c r="G23" i="9"/>
  <c r="H23" i="9"/>
  <c r="G21" i="9"/>
  <c r="G19" i="9"/>
  <c r="H19" i="9" s="1"/>
  <c r="G18" i="9"/>
  <c r="H18" i="9" s="1"/>
  <c r="G17" i="9"/>
  <c r="H17" i="9" s="1"/>
  <c r="G16" i="9"/>
  <c r="G15" i="9" s="1"/>
  <c r="F30" i="9"/>
  <c r="F29" i="9"/>
  <c r="F28" i="9"/>
  <c r="F27" i="9"/>
  <c r="F26" i="9"/>
  <c r="F25" i="9"/>
  <c r="F23" i="9"/>
  <c r="F21" i="9"/>
  <c r="F19" i="9"/>
  <c r="F18" i="9"/>
  <c r="F17" i="9"/>
  <c r="F16" i="9"/>
  <c r="J5" i="12"/>
  <c r="J5" i="11"/>
  <c r="J5" i="9"/>
  <c r="D573" i="27"/>
  <c r="D572" i="27"/>
  <c r="D571" i="27"/>
  <c r="D569" i="27"/>
  <c r="D568" i="27"/>
  <c r="D567" i="27"/>
  <c r="D566" i="27"/>
  <c r="D565" i="27"/>
  <c r="D564" i="27"/>
  <c r="D563" i="27"/>
  <c r="D562" i="27"/>
  <c r="D436" i="27"/>
  <c r="D435" i="27"/>
  <c r="D434" i="27"/>
  <c r="D433" i="27"/>
  <c r="D432" i="27"/>
  <c r="D431" i="27"/>
  <c r="D430" i="27"/>
  <c r="D429" i="27"/>
  <c r="D428" i="27"/>
  <c r="D427" i="27"/>
  <c r="D426" i="27"/>
  <c r="D425" i="27"/>
  <c r="D286" i="27"/>
  <c r="D285" i="27"/>
  <c r="D284" i="27"/>
  <c r="D283" i="27"/>
  <c r="D282" i="27"/>
  <c r="D281" i="27"/>
  <c r="D280" i="27"/>
  <c r="D279" i="27"/>
  <c r="D278" i="27"/>
  <c r="D277" i="27"/>
  <c r="D276" i="27"/>
  <c r="D275" i="27"/>
  <c r="D137" i="27"/>
  <c r="D136" i="27"/>
  <c r="D135" i="27"/>
  <c r="D134" i="27"/>
  <c r="D133" i="27"/>
  <c r="D132" i="27"/>
  <c r="D131" i="27"/>
  <c r="D130" i="27"/>
  <c r="D129" i="27"/>
  <c r="D128" i="27"/>
  <c r="D127" i="27"/>
  <c r="D126" i="27"/>
  <c r="D22" i="30"/>
  <c r="D38" i="30" s="1"/>
  <c r="D7" i="30"/>
  <c r="D20" i="30" s="1"/>
  <c r="D40" i="30" s="1"/>
  <c r="T57" i="28"/>
  <c r="T58" i="28"/>
  <c r="T59" i="28"/>
  <c r="T61" i="28"/>
  <c r="T64" i="28"/>
  <c r="T66" i="28"/>
  <c r="T67" i="28"/>
  <c r="T68" i="28"/>
  <c r="T70" i="28"/>
  <c r="T17" i="28"/>
  <c r="T31" i="28"/>
  <c r="T37" i="28"/>
  <c r="T38" i="28"/>
  <c r="AA33" i="28"/>
  <c r="Y33" i="28"/>
  <c r="F70" i="9"/>
  <c r="G70" i="9"/>
  <c r="F71" i="9"/>
  <c r="G71" i="9"/>
  <c r="G68" i="9" s="1"/>
  <c r="E10" i="6"/>
  <c r="G10" i="6"/>
  <c r="H10" i="6"/>
  <c r="I10" i="6"/>
  <c r="I68" i="6" s="1"/>
  <c r="J10" i="6"/>
  <c r="M10" i="6"/>
  <c r="N10" i="6"/>
  <c r="O10" i="6"/>
  <c r="P10" i="6"/>
  <c r="J68" i="6" s="1"/>
  <c r="G52" i="10"/>
  <c r="H52" i="10" s="1"/>
  <c r="D33" i="20"/>
  <c r="D32" i="20"/>
  <c r="P42" i="6"/>
  <c r="J42" i="6"/>
  <c r="O42" i="6"/>
  <c r="O100" i="6" s="1"/>
  <c r="I42" i="6"/>
  <c r="N42" i="6"/>
  <c r="M42" i="6"/>
  <c r="H42" i="6"/>
  <c r="G42" i="6"/>
  <c r="E42" i="6"/>
  <c r="E50" i="6" s="1"/>
  <c r="E53" i="6" s="1"/>
  <c r="N30" i="6"/>
  <c r="N88" i="6" s="1"/>
  <c r="O30" i="6"/>
  <c r="O29" i="6" s="1"/>
  <c r="P30" i="6"/>
  <c r="J30" i="6"/>
  <c r="P88" i="6" s="1"/>
  <c r="M30" i="6"/>
  <c r="G30" i="6"/>
  <c r="M88" i="6" s="1"/>
  <c r="H30" i="6"/>
  <c r="I30" i="6"/>
  <c r="E30" i="6"/>
  <c r="C8" i="20"/>
  <c r="R8" i="20"/>
  <c r="C10" i="20"/>
  <c r="D10" i="20"/>
  <c r="D11" i="20"/>
  <c r="D12" i="20"/>
  <c r="D13" i="20"/>
  <c r="D14" i="20"/>
  <c r="C15" i="20"/>
  <c r="C16" i="20"/>
  <c r="D16" i="20"/>
  <c r="D17" i="20"/>
  <c r="D18" i="20"/>
  <c r="D19" i="20"/>
  <c r="D20" i="20"/>
  <c r="C21" i="20"/>
  <c r="C22" i="20"/>
  <c r="D22" i="20"/>
  <c r="D23" i="20"/>
  <c r="D24" i="20"/>
  <c r="D25" i="20"/>
  <c r="D26" i="20"/>
  <c r="C27" i="20"/>
  <c r="C28" i="20"/>
  <c r="F14" i="7"/>
  <c r="G14" i="7"/>
  <c r="H14" i="7"/>
  <c r="D11" i="33"/>
  <c r="D7" i="33"/>
  <c r="H7" i="33"/>
  <c r="G7" i="33"/>
  <c r="F7" i="33"/>
  <c r="E7" i="33"/>
  <c r="C66" i="33"/>
  <c r="C49" i="14"/>
  <c r="Q66" i="6"/>
  <c r="P66" i="6"/>
  <c r="O66" i="6"/>
  <c r="N66" i="6"/>
  <c r="M66" i="6"/>
  <c r="K66" i="6"/>
  <c r="J66" i="6"/>
  <c r="I66" i="6"/>
  <c r="H66" i="6"/>
  <c r="G66" i="6"/>
  <c r="Q8" i="6"/>
  <c r="P8" i="6"/>
  <c r="O8" i="6"/>
  <c r="N8" i="6"/>
  <c r="M8" i="6"/>
  <c r="K8" i="6"/>
  <c r="J8" i="6"/>
  <c r="I8" i="6"/>
  <c r="H8" i="6"/>
  <c r="G8" i="6"/>
  <c r="E8" i="6"/>
  <c r="C16" i="14"/>
  <c r="K106" i="6"/>
  <c r="J106" i="6"/>
  <c r="I106" i="6"/>
  <c r="H106" i="6"/>
  <c r="G106" i="6"/>
  <c r="Q105" i="6"/>
  <c r="P105" i="6"/>
  <c r="O105" i="6"/>
  <c r="N105" i="6"/>
  <c r="M105" i="6"/>
  <c r="K105" i="6"/>
  <c r="J105" i="6"/>
  <c r="I105" i="6"/>
  <c r="H105" i="6"/>
  <c r="G105" i="6"/>
  <c r="Q104" i="6"/>
  <c r="P104" i="6"/>
  <c r="O104" i="6"/>
  <c r="N104" i="6"/>
  <c r="M104" i="6"/>
  <c r="K104" i="6"/>
  <c r="J104" i="6"/>
  <c r="I104" i="6"/>
  <c r="H104" i="6"/>
  <c r="G104" i="6"/>
  <c r="Q103" i="6"/>
  <c r="P103" i="6"/>
  <c r="O103" i="6"/>
  <c r="N103" i="6"/>
  <c r="M103" i="6"/>
  <c r="K103" i="6"/>
  <c r="J103" i="6"/>
  <c r="I103" i="6"/>
  <c r="H103" i="6"/>
  <c r="G103" i="6"/>
  <c r="Q102" i="6"/>
  <c r="P102" i="6"/>
  <c r="O102" i="6"/>
  <c r="N102" i="6"/>
  <c r="M102" i="6"/>
  <c r="K102" i="6"/>
  <c r="J102" i="6"/>
  <c r="I102" i="6"/>
  <c r="H102" i="6"/>
  <c r="G102" i="6"/>
  <c r="Q101" i="6"/>
  <c r="P101" i="6"/>
  <c r="O101" i="6"/>
  <c r="N101" i="6"/>
  <c r="M101" i="6"/>
  <c r="K101" i="6"/>
  <c r="J101" i="6"/>
  <c r="I101" i="6"/>
  <c r="H101" i="6"/>
  <c r="G101" i="6"/>
  <c r="K99" i="6"/>
  <c r="J99" i="6"/>
  <c r="I99" i="6"/>
  <c r="H99" i="6"/>
  <c r="G99" i="6"/>
  <c r="Q98" i="6"/>
  <c r="P98" i="6"/>
  <c r="O98" i="6"/>
  <c r="N98" i="6"/>
  <c r="M98" i="6"/>
  <c r="K98" i="6"/>
  <c r="J98" i="6"/>
  <c r="I98" i="6"/>
  <c r="H98" i="6"/>
  <c r="G98" i="6"/>
  <c r="Q97" i="6"/>
  <c r="P97" i="6"/>
  <c r="O97" i="6"/>
  <c r="N97" i="6"/>
  <c r="M97" i="6"/>
  <c r="K97" i="6"/>
  <c r="J97" i="6"/>
  <c r="I97" i="6"/>
  <c r="H97" i="6"/>
  <c r="G97" i="6"/>
  <c r="Q96" i="6"/>
  <c r="P96" i="6"/>
  <c r="O96" i="6"/>
  <c r="N96" i="6"/>
  <c r="M96" i="6"/>
  <c r="K96" i="6"/>
  <c r="J96" i="6"/>
  <c r="I96" i="6"/>
  <c r="H96" i="6"/>
  <c r="G96" i="6"/>
  <c r="Q95" i="6"/>
  <c r="P95" i="6"/>
  <c r="O95" i="6"/>
  <c r="N95" i="6"/>
  <c r="M95" i="6"/>
  <c r="K95" i="6"/>
  <c r="J95" i="6"/>
  <c r="I95" i="6"/>
  <c r="H95" i="6"/>
  <c r="G95" i="6"/>
  <c r="Q94" i="6"/>
  <c r="P94" i="6"/>
  <c r="O94" i="6"/>
  <c r="N94" i="6"/>
  <c r="M94" i="6"/>
  <c r="K94" i="6"/>
  <c r="J94" i="6"/>
  <c r="I94" i="6"/>
  <c r="H94" i="6"/>
  <c r="G94" i="6"/>
  <c r="Q93" i="6"/>
  <c r="P93" i="6"/>
  <c r="O93" i="6"/>
  <c r="N93" i="6"/>
  <c r="M93" i="6"/>
  <c r="K93" i="6"/>
  <c r="J93" i="6"/>
  <c r="I93" i="6"/>
  <c r="H93" i="6"/>
  <c r="G93" i="6"/>
  <c r="Q92" i="6"/>
  <c r="P92" i="6"/>
  <c r="O92" i="6"/>
  <c r="N92" i="6"/>
  <c r="M92" i="6"/>
  <c r="K92" i="6"/>
  <c r="J92" i="6"/>
  <c r="I92" i="6"/>
  <c r="H92" i="6"/>
  <c r="G92" i="6"/>
  <c r="Q91" i="6"/>
  <c r="P91" i="6"/>
  <c r="O91" i="6"/>
  <c r="N91" i="6"/>
  <c r="M91" i="6"/>
  <c r="K91" i="6"/>
  <c r="J91" i="6"/>
  <c r="I91" i="6"/>
  <c r="H91" i="6"/>
  <c r="G91" i="6"/>
  <c r="Q90" i="6"/>
  <c r="P90" i="6"/>
  <c r="O90" i="6"/>
  <c r="N90" i="6"/>
  <c r="M90" i="6"/>
  <c r="K90" i="6"/>
  <c r="J90" i="6"/>
  <c r="I90" i="6"/>
  <c r="H90" i="6"/>
  <c r="G90" i="6"/>
  <c r="Q89" i="6"/>
  <c r="P89" i="6"/>
  <c r="O89" i="6"/>
  <c r="N89" i="6"/>
  <c r="M89" i="6"/>
  <c r="K89" i="6"/>
  <c r="J89" i="6"/>
  <c r="I89" i="6"/>
  <c r="H89" i="6"/>
  <c r="G89" i="6"/>
  <c r="K83" i="6"/>
  <c r="J83" i="6"/>
  <c r="I83" i="6"/>
  <c r="H83" i="6"/>
  <c r="G83" i="6"/>
  <c r="Q82" i="6"/>
  <c r="P82" i="6"/>
  <c r="O82" i="6"/>
  <c r="N82" i="6"/>
  <c r="M82" i="6"/>
  <c r="K82" i="6"/>
  <c r="J82" i="6"/>
  <c r="I82" i="6"/>
  <c r="H82" i="6"/>
  <c r="G82" i="6"/>
  <c r="Q81" i="6"/>
  <c r="P81" i="6"/>
  <c r="O81" i="6"/>
  <c r="N81" i="6"/>
  <c r="M81" i="6"/>
  <c r="K81" i="6"/>
  <c r="J81" i="6"/>
  <c r="I81" i="6"/>
  <c r="H81" i="6"/>
  <c r="G81" i="6"/>
  <c r="Q80" i="6"/>
  <c r="P80" i="6"/>
  <c r="O80" i="6"/>
  <c r="N80" i="6"/>
  <c r="M80" i="6"/>
  <c r="K80" i="6"/>
  <c r="J80" i="6"/>
  <c r="I80" i="6"/>
  <c r="H80" i="6"/>
  <c r="G80" i="6"/>
  <c r="Q79" i="6"/>
  <c r="P79" i="6"/>
  <c r="O79" i="6"/>
  <c r="N79" i="6"/>
  <c r="M79" i="6"/>
  <c r="K79" i="6"/>
  <c r="J79" i="6"/>
  <c r="I79" i="6"/>
  <c r="H79" i="6"/>
  <c r="G79" i="6"/>
  <c r="Q78" i="6"/>
  <c r="P78" i="6"/>
  <c r="O78" i="6"/>
  <c r="N78" i="6"/>
  <c r="M78" i="6"/>
  <c r="K78" i="6"/>
  <c r="J78" i="6"/>
  <c r="I78" i="6"/>
  <c r="H78" i="6"/>
  <c r="G78" i="6"/>
  <c r="K76" i="6"/>
  <c r="J76" i="6"/>
  <c r="I76" i="6"/>
  <c r="H76" i="6"/>
  <c r="G76" i="6"/>
  <c r="Q75" i="6"/>
  <c r="P75" i="6"/>
  <c r="O75" i="6"/>
  <c r="N75" i="6"/>
  <c r="M75" i="6"/>
  <c r="K75" i="6"/>
  <c r="J75" i="6"/>
  <c r="I75" i="6"/>
  <c r="H75" i="6"/>
  <c r="G75" i="6"/>
  <c r="Q74" i="6"/>
  <c r="P74" i="6"/>
  <c r="O74" i="6"/>
  <c r="N74" i="6"/>
  <c r="M74" i="6"/>
  <c r="K74" i="6"/>
  <c r="J74" i="6"/>
  <c r="I74" i="6"/>
  <c r="H74" i="6"/>
  <c r="G74" i="6"/>
  <c r="Q73" i="6"/>
  <c r="P73" i="6"/>
  <c r="O73" i="6"/>
  <c r="N73" i="6"/>
  <c r="M73" i="6"/>
  <c r="K73" i="6"/>
  <c r="J73" i="6"/>
  <c r="I73" i="6"/>
  <c r="H73" i="6"/>
  <c r="G73" i="6"/>
  <c r="Q72" i="6"/>
  <c r="P72" i="6"/>
  <c r="O72" i="6"/>
  <c r="N72" i="6"/>
  <c r="M72" i="6"/>
  <c r="K72" i="6"/>
  <c r="J72" i="6"/>
  <c r="I72" i="6"/>
  <c r="H72" i="6"/>
  <c r="G72" i="6"/>
  <c r="Q71" i="6"/>
  <c r="P71" i="6"/>
  <c r="O71" i="6"/>
  <c r="N71" i="6"/>
  <c r="M71" i="6"/>
  <c r="K71" i="6"/>
  <c r="J71" i="6"/>
  <c r="I71" i="6"/>
  <c r="H71" i="6"/>
  <c r="G71" i="6"/>
  <c r="Q70" i="6"/>
  <c r="P70" i="6"/>
  <c r="O70" i="6"/>
  <c r="N70" i="6"/>
  <c r="M70" i="6"/>
  <c r="K70" i="6"/>
  <c r="J70" i="6"/>
  <c r="I70" i="6"/>
  <c r="H70" i="6"/>
  <c r="G70" i="6"/>
  <c r="Q69" i="6"/>
  <c r="P69" i="6"/>
  <c r="O69" i="6"/>
  <c r="N69" i="6"/>
  <c r="M69" i="6"/>
  <c r="K69" i="6"/>
  <c r="J69" i="6"/>
  <c r="I69" i="6"/>
  <c r="H69" i="6"/>
  <c r="G69" i="6"/>
  <c r="M65" i="6"/>
  <c r="C84" i="12"/>
  <c r="C84" i="11" s="1"/>
  <c r="F14" i="9"/>
  <c r="F14" i="10"/>
  <c r="F12" i="9"/>
  <c r="F10" i="9" s="1"/>
  <c r="G14" i="10"/>
  <c r="D82" i="27"/>
  <c r="C106" i="6"/>
  <c r="C105" i="6"/>
  <c r="C104" i="6"/>
  <c r="C103" i="6"/>
  <c r="C102" i="6"/>
  <c r="C101" i="6"/>
  <c r="C100" i="6"/>
  <c r="C99" i="6"/>
  <c r="C98" i="6"/>
  <c r="C97" i="6"/>
  <c r="C96" i="6"/>
  <c r="C95" i="6"/>
  <c r="C94" i="6"/>
  <c r="C93" i="6"/>
  <c r="C92" i="6"/>
  <c r="C91" i="6"/>
  <c r="C90" i="6"/>
  <c r="C89" i="6"/>
  <c r="C88" i="6"/>
  <c r="C87" i="6"/>
  <c r="C83" i="6"/>
  <c r="C82" i="6"/>
  <c r="C81" i="6"/>
  <c r="C80" i="6"/>
  <c r="C79" i="6"/>
  <c r="C78" i="6"/>
  <c r="C77" i="6"/>
  <c r="C76" i="6"/>
  <c r="C75" i="6"/>
  <c r="C74" i="6"/>
  <c r="C73" i="6"/>
  <c r="C72" i="6"/>
  <c r="C71" i="6"/>
  <c r="C70" i="6"/>
  <c r="C69" i="6"/>
  <c r="C68" i="6"/>
  <c r="C67" i="6"/>
  <c r="C33" i="6"/>
  <c r="C32" i="6"/>
  <c r="C31" i="6"/>
  <c r="C46" i="6"/>
  <c r="C45" i="6"/>
  <c r="C38" i="6"/>
  <c r="C37" i="6"/>
  <c r="C24" i="6"/>
  <c r="C23" i="6"/>
  <c r="C22" i="6"/>
  <c r="C21" i="6"/>
  <c r="C20" i="6"/>
  <c r="C16" i="6"/>
  <c r="C15" i="6"/>
  <c r="C14" i="6"/>
  <c r="C20" i="25"/>
  <c r="C19" i="25"/>
  <c r="C18" i="25"/>
  <c r="C14" i="25"/>
  <c r="C116" i="6"/>
  <c r="C114" i="6"/>
  <c r="C113" i="6"/>
  <c r="C112" i="6"/>
  <c r="C111" i="6"/>
  <c r="C110" i="6"/>
  <c r="G65" i="6"/>
  <c r="C61" i="6"/>
  <c r="C58" i="6"/>
  <c r="C56" i="6"/>
  <c r="C55" i="6"/>
  <c r="C54" i="6"/>
  <c r="C53" i="6"/>
  <c r="C52" i="6"/>
  <c r="C48" i="6"/>
  <c r="C47" i="6"/>
  <c r="C44" i="6"/>
  <c r="C43" i="6"/>
  <c r="C42" i="6"/>
  <c r="C41" i="6"/>
  <c r="C40" i="6"/>
  <c r="C39" i="6"/>
  <c r="C36" i="6"/>
  <c r="C35" i="6"/>
  <c r="C34" i="6"/>
  <c r="C30" i="6"/>
  <c r="C29" i="6"/>
  <c r="C25" i="6"/>
  <c r="C19" i="6"/>
  <c r="C18" i="6"/>
  <c r="C17" i="6"/>
  <c r="C13" i="6"/>
  <c r="C12" i="6"/>
  <c r="C11" i="6"/>
  <c r="C10" i="6"/>
  <c r="C9" i="6"/>
  <c r="C221" i="32"/>
  <c r="J6" i="31"/>
  <c r="G6" i="31"/>
  <c r="D6" i="31"/>
  <c r="M5" i="31"/>
  <c r="C71" i="31"/>
  <c r="C70" i="31"/>
  <c r="C69" i="31"/>
  <c r="C68" i="31"/>
  <c r="C67" i="31"/>
  <c r="C66" i="31"/>
  <c r="C65" i="31"/>
  <c r="C64" i="31"/>
  <c r="C63" i="31"/>
  <c r="C62" i="31"/>
  <c r="C60" i="31"/>
  <c r="C58" i="31"/>
  <c r="C56" i="31"/>
  <c r="C55" i="31"/>
  <c r="C54" i="31"/>
  <c r="C53" i="31"/>
  <c r="C52" i="31"/>
  <c r="C51" i="31"/>
  <c r="C50" i="31"/>
  <c r="C49" i="31"/>
  <c r="C48" i="31"/>
  <c r="C47" i="31"/>
  <c r="C46" i="31"/>
  <c r="C45" i="31"/>
  <c r="C44" i="31"/>
  <c r="C43" i="31"/>
  <c r="C42" i="31"/>
  <c r="C41" i="31"/>
  <c r="C40" i="31"/>
  <c r="C39" i="31"/>
  <c r="C38" i="31"/>
  <c r="C37" i="31"/>
  <c r="C35" i="31"/>
  <c r="C33" i="31"/>
  <c r="C32" i="31"/>
  <c r="C31" i="31"/>
  <c r="C30" i="31"/>
  <c r="C29" i="31"/>
  <c r="C28" i="31"/>
  <c r="C27" i="31"/>
  <c r="C26" i="31"/>
  <c r="C25" i="31"/>
  <c r="C24" i="31"/>
  <c r="C23" i="31"/>
  <c r="C22" i="31"/>
  <c r="C21" i="31"/>
  <c r="C20" i="31"/>
  <c r="C19" i="31"/>
  <c r="C18" i="31"/>
  <c r="C17" i="31"/>
  <c r="C16" i="31"/>
  <c r="C15" i="31"/>
  <c r="C14" i="31"/>
  <c r="C13" i="31"/>
  <c r="C12" i="31"/>
  <c r="C11" i="31"/>
  <c r="C10" i="31"/>
  <c r="C9" i="31"/>
  <c r="H9" i="19"/>
  <c r="I9" i="19"/>
  <c r="H10" i="19"/>
  <c r="I10" i="19"/>
  <c r="H11" i="19"/>
  <c r="I11" i="19"/>
  <c r="H12" i="19"/>
  <c r="I12" i="19"/>
  <c r="H13" i="19"/>
  <c r="I13" i="19"/>
  <c r="H14" i="19"/>
  <c r="I14" i="19"/>
  <c r="H15" i="19"/>
  <c r="I15" i="19"/>
  <c r="H17" i="19"/>
  <c r="H19" i="19"/>
  <c r="I19" i="19"/>
  <c r="H20" i="19"/>
  <c r="I20" i="19"/>
  <c r="H21" i="19"/>
  <c r="I21" i="19"/>
  <c r="H22" i="19"/>
  <c r="I22" i="19"/>
  <c r="H23" i="19"/>
  <c r="I23" i="19"/>
  <c r="H24" i="19"/>
  <c r="I24" i="19"/>
  <c r="H25" i="19"/>
  <c r="I25" i="19"/>
  <c r="H26" i="19"/>
  <c r="I26" i="19"/>
  <c r="H27" i="19"/>
  <c r="I27" i="19"/>
  <c r="H28" i="19"/>
  <c r="I28" i="19"/>
  <c r="H29" i="19"/>
  <c r="I29" i="19"/>
  <c r="H30" i="19"/>
  <c r="I30" i="19"/>
  <c r="H31" i="19"/>
  <c r="I31" i="19"/>
  <c r="H32" i="19"/>
  <c r="I32" i="19"/>
  <c r="H33" i="19"/>
  <c r="I33" i="19"/>
  <c r="H34" i="19"/>
  <c r="I34" i="19"/>
  <c r="H35" i="19"/>
  <c r="I35" i="19"/>
  <c r="H36" i="19"/>
  <c r="I36" i="19"/>
  <c r="H38" i="19"/>
  <c r="G212" i="32"/>
  <c r="G190" i="32"/>
  <c r="G6" i="32"/>
  <c r="G183" i="32"/>
  <c r="C37" i="17"/>
  <c r="M55" i="31"/>
  <c r="M54" i="31"/>
  <c r="M53" i="31"/>
  <c r="M52" i="31"/>
  <c r="M51" i="31"/>
  <c r="M50" i="31"/>
  <c r="M49" i="31"/>
  <c r="M48" i="31"/>
  <c r="M47" i="31"/>
  <c r="M46" i="31"/>
  <c r="M45" i="31"/>
  <c r="M44" i="31"/>
  <c r="M43" i="31"/>
  <c r="M42" i="31"/>
  <c r="M41" i="31"/>
  <c r="M40" i="31"/>
  <c r="M39" i="31"/>
  <c r="M38" i="31"/>
  <c r="M37" i="31"/>
  <c r="M32" i="31"/>
  <c r="M31" i="31"/>
  <c r="M30" i="31"/>
  <c r="M29" i="31"/>
  <c r="M28" i="31"/>
  <c r="M26" i="31"/>
  <c r="M25" i="31"/>
  <c r="M24" i="31"/>
  <c r="M23" i="31"/>
  <c r="M21" i="31"/>
  <c r="M20" i="31"/>
  <c r="M19" i="31"/>
  <c r="M18" i="31"/>
  <c r="M17" i="31"/>
  <c r="M15" i="31"/>
  <c r="M14" i="31"/>
  <c r="M13" i="31"/>
  <c r="M12" i="31"/>
  <c r="M11" i="31"/>
  <c r="M10" i="31"/>
  <c r="M9" i="31"/>
  <c r="L62" i="31"/>
  <c r="L58" i="31"/>
  <c r="L55" i="31"/>
  <c r="L54" i="31"/>
  <c r="L53" i="31"/>
  <c r="L52" i="31"/>
  <c r="L51" i="31"/>
  <c r="L50" i="31"/>
  <c r="L48" i="31"/>
  <c r="L47" i="31"/>
  <c r="L46" i="31"/>
  <c r="L45" i="31"/>
  <c r="L44" i="31"/>
  <c r="L43" i="31"/>
  <c r="L42" i="31"/>
  <c r="L41" i="31"/>
  <c r="L40" i="31"/>
  <c r="L39" i="31"/>
  <c r="L38" i="31"/>
  <c r="L37" i="31"/>
  <c r="L35" i="31"/>
  <c r="L32" i="31"/>
  <c r="L31" i="31"/>
  <c r="L30" i="31"/>
  <c r="L29" i="31"/>
  <c r="L28" i="31"/>
  <c r="L26" i="31"/>
  <c r="L25" i="31"/>
  <c r="L24" i="31"/>
  <c r="L23" i="31"/>
  <c r="L21" i="31"/>
  <c r="L20" i="31"/>
  <c r="L19" i="31"/>
  <c r="L18" i="31"/>
  <c r="L17" i="31"/>
  <c r="L15" i="31"/>
  <c r="L14" i="31"/>
  <c r="L13" i="31"/>
  <c r="L12" i="31"/>
  <c r="L11" i="31"/>
  <c r="L10" i="31"/>
  <c r="L9" i="31"/>
  <c r="I62" i="31"/>
  <c r="I58" i="31"/>
  <c r="I55" i="31"/>
  <c r="I54" i="31"/>
  <c r="I53" i="31"/>
  <c r="I52" i="31"/>
  <c r="I51" i="31"/>
  <c r="I50" i="31"/>
  <c r="I48" i="31"/>
  <c r="I47" i="31"/>
  <c r="I46" i="31"/>
  <c r="I45" i="31"/>
  <c r="I44" i="31"/>
  <c r="I43" i="31"/>
  <c r="I42" i="31"/>
  <c r="I41" i="31"/>
  <c r="I40" i="31"/>
  <c r="I39" i="31"/>
  <c r="I38" i="31"/>
  <c r="I37" i="31"/>
  <c r="I35" i="31"/>
  <c r="I32" i="31"/>
  <c r="I31" i="31"/>
  <c r="I30" i="31"/>
  <c r="I29" i="31"/>
  <c r="I28" i="31"/>
  <c r="I26" i="31"/>
  <c r="I25" i="31"/>
  <c r="I24" i="31"/>
  <c r="I23" i="31"/>
  <c r="I21" i="31"/>
  <c r="I20" i="31"/>
  <c r="I19" i="31"/>
  <c r="I18" i="31"/>
  <c r="I17" i="31"/>
  <c r="I15" i="31"/>
  <c r="I14" i="31"/>
  <c r="I13" i="31"/>
  <c r="I12" i="31"/>
  <c r="I11" i="31"/>
  <c r="I10" i="31"/>
  <c r="I9" i="31"/>
  <c r="F62" i="31"/>
  <c r="F58" i="31"/>
  <c r="F55" i="31"/>
  <c r="F54" i="31"/>
  <c r="F53" i="31"/>
  <c r="F52" i="31"/>
  <c r="F51" i="31"/>
  <c r="F50" i="31"/>
  <c r="F48" i="31"/>
  <c r="F47" i="31"/>
  <c r="F46" i="31"/>
  <c r="F45" i="31"/>
  <c r="F44" i="31"/>
  <c r="F43" i="31"/>
  <c r="F42" i="31"/>
  <c r="F41" i="31"/>
  <c r="F40" i="31"/>
  <c r="F39" i="31"/>
  <c r="F38" i="31"/>
  <c r="F37" i="31"/>
  <c r="F35" i="31"/>
  <c r="F32" i="31"/>
  <c r="F31" i="31"/>
  <c r="F30" i="31"/>
  <c r="F29" i="31"/>
  <c r="F28" i="31"/>
  <c r="F26" i="31"/>
  <c r="F25" i="31"/>
  <c r="F24" i="31"/>
  <c r="F23" i="31"/>
  <c r="F21" i="31"/>
  <c r="F20" i="31"/>
  <c r="F19" i="31"/>
  <c r="F18" i="31"/>
  <c r="F17" i="31"/>
  <c r="F15" i="31"/>
  <c r="F14" i="31"/>
  <c r="F13" i="31"/>
  <c r="F12" i="31"/>
  <c r="F11" i="31"/>
  <c r="F10" i="31"/>
  <c r="F9" i="31"/>
  <c r="C222" i="32"/>
  <c r="C220" i="32"/>
  <c r="C218" i="32"/>
  <c r="E211" i="32"/>
  <c r="E210" i="32"/>
  <c r="E209" i="32"/>
  <c r="E208" i="32"/>
  <c r="E207" i="32"/>
  <c r="E206" i="32"/>
  <c r="E205" i="32"/>
  <c r="E204" i="32"/>
  <c r="E203" i="32"/>
  <c r="E202" i="32"/>
  <c r="E201" i="32"/>
  <c r="E200" i="32"/>
  <c r="E199" i="32"/>
  <c r="E198" i="32"/>
  <c r="E197" i="32"/>
  <c r="E196" i="32"/>
  <c r="E195" i="32"/>
  <c r="E194" i="32"/>
  <c r="E193" i="32"/>
  <c r="E192" i="32"/>
  <c r="F190" i="32"/>
  <c r="E189" i="32"/>
  <c r="D189" i="32"/>
  <c r="C189" i="32"/>
  <c r="C186" i="32"/>
  <c r="C184" i="32"/>
  <c r="C177" i="32"/>
  <c r="C211" i="32" s="1"/>
  <c r="C170" i="32"/>
  <c r="C210" i="32" s="1"/>
  <c r="C159" i="32"/>
  <c r="C209" i="32" s="1"/>
  <c r="C145" i="32"/>
  <c r="C208" i="32" s="1"/>
  <c r="C140" i="32"/>
  <c r="C207" i="32" s="1"/>
  <c r="C128" i="32"/>
  <c r="C206" i="32" s="1"/>
  <c r="C119" i="32"/>
  <c r="C205" i="32" s="1"/>
  <c r="C109" i="32"/>
  <c r="C204" i="32" s="1"/>
  <c r="C103" i="32"/>
  <c r="C203" i="32" s="1"/>
  <c r="C92" i="32"/>
  <c r="C202" i="32" s="1"/>
  <c r="C76" i="32"/>
  <c r="C201" i="32" s="1"/>
  <c r="C62" i="32"/>
  <c r="C200" i="32" s="1"/>
  <c r="D61" i="32"/>
  <c r="C55" i="32"/>
  <c r="C199" i="32" s="1"/>
  <c r="C49" i="32"/>
  <c r="C198" i="32" s="1"/>
  <c r="C38" i="32"/>
  <c r="C197" i="32" s="1"/>
  <c r="D29" i="32"/>
  <c r="D195" i="32" s="1"/>
  <c r="D22" i="32"/>
  <c r="D194" i="32" s="1"/>
  <c r="D14" i="32"/>
  <c r="D193" i="32" s="1"/>
  <c r="E9" i="32"/>
  <c r="E8" i="32"/>
  <c r="D8" i="32"/>
  <c r="C8" i="32"/>
  <c r="C192" i="32" s="1"/>
  <c r="F6" i="32"/>
  <c r="E5" i="32"/>
  <c r="D5" i="32"/>
  <c r="C5" i="32"/>
  <c r="C12" i="8"/>
  <c r="C10" i="28"/>
  <c r="F183" i="32"/>
  <c r="F212" i="32"/>
  <c r="D81" i="27"/>
  <c r="G24" i="13"/>
  <c r="H24" i="13"/>
  <c r="F24" i="13"/>
  <c r="C54" i="14"/>
  <c r="C48" i="14"/>
  <c r="C25" i="17"/>
  <c r="S11" i="28"/>
  <c r="F35" i="10"/>
  <c r="C77" i="28"/>
  <c r="D77" i="28"/>
  <c r="E4" i="4"/>
  <c r="D57" i="28"/>
  <c r="C57" i="28"/>
  <c r="D59" i="28"/>
  <c r="C59" i="28"/>
  <c r="D72" i="28"/>
  <c r="D57" i="20"/>
  <c r="D67" i="28"/>
  <c r="D68" i="28"/>
  <c r="D35" i="20"/>
  <c r="D58" i="20"/>
  <c r="D76" i="28"/>
  <c r="D83" i="28"/>
  <c r="C70" i="28"/>
  <c r="D70" i="28"/>
  <c r="C51" i="30"/>
  <c r="C45" i="30"/>
  <c r="C42" i="30"/>
  <c r="C40" i="30"/>
  <c r="C38" i="30"/>
  <c r="C37" i="30"/>
  <c r="C36" i="30"/>
  <c r="C35" i="30"/>
  <c r="C34" i="30"/>
  <c r="C33" i="30"/>
  <c r="C32" i="30"/>
  <c r="C31" i="30"/>
  <c r="C30" i="30"/>
  <c r="C29" i="30"/>
  <c r="C28" i="30"/>
  <c r="C27" i="30"/>
  <c r="C26" i="30"/>
  <c r="C25" i="30"/>
  <c r="C24" i="30"/>
  <c r="C23" i="30"/>
  <c r="C22" i="30"/>
  <c r="C20" i="30"/>
  <c r="C19" i="30"/>
  <c r="C18" i="30"/>
  <c r="C17" i="30"/>
  <c r="C16" i="30"/>
  <c r="C15" i="30"/>
  <c r="C14" i="30"/>
  <c r="C13" i="30"/>
  <c r="C12" i="30"/>
  <c r="C11" i="30"/>
  <c r="C10" i="30"/>
  <c r="C9" i="30"/>
  <c r="C8" i="30"/>
  <c r="C7" i="30"/>
  <c r="J5" i="13"/>
  <c r="C80" i="14"/>
  <c r="D124" i="27"/>
  <c r="D123" i="27"/>
  <c r="D122" i="27"/>
  <c r="D121" i="27"/>
  <c r="D120" i="27"/>
  <c r="D119" i="27"/>
  <c r="D118" i="27"/>
  <c r="D117" i="27"/>
  <c r="D116" i="27"/>
  <c r="D113" i="27"/>
  <c r="D273" i="27"/>
  <c r="D272" i="27"/>
  <c r="D271" i="27"/>
  <c r="D269" i="27"/>
  <c r="D268" i="27"/>
  <c r="D267" i="27"/>
  <c r="D266" i="27"/>
  <c r="D265" i="27"/>
  <c r="D264" i="27"/>
  <c r="D263" i="27"/>
  <c r="D262" i="27"/>
  <c r="D423" i="27"/>
  <c r="D422" i="27"/>
  <c r="D421" i="27"/>
  <c r="D420" i="27"/>
  <c r="D419" i="27"/>
  <c r="D418" i="27"/>
  <c r="D417" i="27"/>
  <c r="D416" i="27"/>
  <c r="D415" i="27"/>
  <c r="D414" i="27"/>
  <c r="D413" i="27"/>
  <c r="D412" i="27"/>
  <c r="D560" i="27"/>
  <c r="D558" i="27"/>
  <c r="D557" i="27"/>
  <c r="D556" i="27"/>
  <c r="D555" i="27"/>
  <c r="D554" i="27"/>
  <c r="D553" i="27"/>
  <c r="D552" i="27"/>
  <c r="D551" i="27"/>
  <c r="D550" i="27"/>
  <c r="D549" i="27"/>
  <c r="C58" i="8"/>
  <c r="C74" i="9"/>
  <c r="C86" i="12"/>
  <c r="C86" i="11" s="1"/>
  <c r="F39" i="10"/>
  <c r="G39" i="10"/>
  <c r="J5" i="10"/>
  <c r="D85" i="28"/>
  <c r="G15" i="11"/>
  <c r="H15" i="11"/>
  <c r="F15" i="11"/>
  <c r="I11" i="10"/>
  <c r="S28" i="28"/>
  <c r="C61" i="28"/>
  <c r="I16" i="13"/>
  <c r="I13" i="13"/>
  <c r="I12" i="13"/>
  <c r="I10" i="13"/>
  <c r="S21" i="28"/>
  <c r="D534" i="27"/>
  <c r="D545" i="27"/>
  <c r="D58" i="28"/>
  <c r="C58" i="28"/>
  <c r="C56" i="28"/>
  <c r="D97" i="27"/>
  <c r="C15" i="10"/>
  <c r="E5" i="28"/>
  <c r="AH39" i="28"/>
  <c r="AH32" i="28"/>
  <c r="AH20" i="28"/>
  <c r="AH19" i="28"/>
  <c r="AH14" i="28"/>
  <c r="AH13" i="28"/>
  <c r="AH11" i="28"/>
  <c r="T39" i="28"/>
  <c r="S39" i="28"/>
  <c r="T32" i="28"/>
  <c r="S32" i="28"/>
  <c r="S26" i="28"/>
  <c r="T20" i="28"/>
  <c r="S20" i="28"/>
  <c r="T19" i="28"/>
  <c r="S19" i="28"/>
  <c r="T14" i="28"/>
  <c r="S14" i="28"/>
  <c r="T13" i="28"/>
  <c r="S13" i="28"/>
  <c r="T11" i="28"/>
  <c r="AG39" i="28"/>
  <c r="AF39" i="28"/>
  <c r="AE39" i="28"/>
  <c r="AD39" i="28"/>
  <c r="AC39" i="28"/>
  <c r="AA39" i="28"/>
  <c r="Z39" i="28"/>
  <c r="Y39" i="28"/>
  <c r="X39" i="28"/>
  <c r="W39" i="28"/>
  <c r="V39" i="28"/>
  <c r="AG38" i="28"/>
  <c r="AF38" i="28"/>
  <c r="AE38" i="28"/>
  <c r="AD38" i="28"/>
  <c r="AC38" i="28"/>
  <c r="AA38" i="28"/>
  <c r="Z38" i="28"/>
  <c r="Y38" i="28"/>
  <c r="X38" i="28"/>
  <c r="W38" i="28"/>
  <c r="V38" i="28"/>
  <c r="AG37" i="28"/>
  <c r="AF37" i="28"/>
  <c r="AE37" i="28"/>
  <c r="AD37" i="28"/>
  <c r="AC37" i="28"/>
  <c r="AC36" i="28"/>
  <c r="AA37" i="28"/>
  <c r="Z37" i="28"/>
  <c r="Y37" i="28"/>
  <c r="X37" i="28"/>
  <c r="V37" i="28"/>
  <c r="R39" i="28"/>
  <c r="Q39" i="28"/>
  <c r="P39" i="28"/>
  <c r="O39" i="28"/>
  <c r="N39" i="28"/>
  <c r="M39" i="28"/>
  <c r="L39" i="28"/>
  <c r="K39" i="28"/>
  <c r="J39" i="28"/>
  <c r="I39" i="28"/>
  <c r="H39" i="28"/>
  <c r="G39" i="28"/>
  <c r="R38" i="28"/>
  <c r="Q38" i="28"/>
  <c r="P38" i="28"/>
  <c r="O38" i="28"/>
  <c r="N38" i="28"/>
  <c r="M38" i="28"/>
  <c r="L38" i="28"/>
  <c r="K38" i="28"/>
  <c r="J38" i="28"/>
  <c r="I38" i="28"/>
  <c r="H38" i="28"/>
  <c r="G38" i="28"/>
  <c r="R37" i="28"/>
  <c r="Q37" i="28"/>
  <c r="P37" i="28"/>
  <c r="O37" i="28"/>
  <c r="N37" i="28"/>
  <c r="M37" i="28"/>
  <c r="L37" i="28"/>
  <c r="K37" i="28"/>
  <c r="J37" i="28"/>
  <c r="I37" i="28"/>
  <c r="H37" i="28"/>
  <c r="G37" i="28"/>
  <c r="AG35" i="28"/>
  <c r="AF35" i="28"/>
  <c r="AE35" i="28"/>
  <c r="AD35" i="28"/>
  <c r="AC35" i="28"/>
  <c r="AA35" i="28"/>
  <c r="Z35" i="28"/>
  <c r="Y35" i="28"/>
  <c r="X35" i="28"/>
  <c r="W35" i="28"/>
  <c r="V35" i="28"/>
  <c r="R35" i="28"/>
  <c r="Q35" i="28"/>
  <c r="P35" i="28"/>
  <c r="O35" i="28"/>
  <c r="N35" i="28"/>
  <c r="M35" i="28"/>
  <c r="L35" i="28"/>
  <c r="K35" i="28"/>
  <c r="J35" i="28"/>
  <c r="I35" i="28"/>
  <c r="H35" i="28"/>
  <c r="G35" i="28"/>
  <c r="AG33" i="28"/>
  <c r="AF33" i="28"/>
  <c r="AE33" i="28"/>
  <c r="AD33" i="28"/>
  <c r="AC33" i="28"/>
  <c r="Z33" i="28"/>
  <c r="X33" i="28"/>
  <c r="W33" i="28"/>
  <c r="V33" i="28"/>
  <c r="AG32" i="28"/>
  <c r="AF32" i="28"/>
  <c r="AE32" i="28"/>
  <c r="AD32" i="28"/>
  <c r="AC32" i="28"/>
  <c r="AA32" i="28"/>
  <c r="Z32" i="28"/>
  <c r="Y32" i="28"/>
  <c r="X32" i="28"/>
  <c r="W32" i="28"/>
  <c r="V32" i="28"/>
  <c r="AG31" i="28"/>
  <c r="AF31" i="28"/>
  <c r="AE31" i="28"/>
  <c r="AD31" i="28"/>
  <c r="AC31" i="28"/>
  <c r="AA31" i="28"/>
  <c r="Z31" i="28"/>
  <c r="Y31" i="28"/>
  <c r="X31" i="28"/>
  <c r="W31" i="28"/>
  <c r="V31" i="28"/>
  <c r="AG30" i="28"/>
  <c r="AF30" i="28"/>
  <c r="AE30" i="28"/>
  <c r="AD30" i="28"/>
  <c r="AC30" i="28"/>
  <c r="AA30" i="28"/>
  <c r="Z30" i="28"/>
  <c r="Y30" i="28"/>
  <c r="X30" i="28"/>
  <c r="W30" i="28"/>
  <c r="V30" i="28"/>
  <c r="R33" i="28"/>
  <c r="Q33" i="28"/>
  <c r="P33" i="28"/>
  <c r="O33" i="28"/>
  <c r="N33" i="28"/>
  <c r="M33" i="28"/>
  <c r="L33" i="28"/>
  <c r="K33" i="28"/>
  <c r="J33" i="28"/>
  <c r="I33" i="28"/>
  <c r="H33" i="28"/>
  <c r="G33" i="28"/>
  <c r="R32" i="28"/>
  <c r="Q32" i="28"/>
  <c r="P32" i="28"/>
  <c r="O32" i="28"/>
  <c r="N32" i="28"/>
  <c r="M32" i="28"/>
  <c r="L32" i="28"/>
  <c r="K32" i="28"/>
  <c r="J32" i="28"/>
  <c r="I32" i="28"/>
  <c r="H32" i="28"/>
  <c r="G32" i="28"/>
  <c r="R31" i="28"/>
  <c r="Q31" i="28"/>
  <c r="P31" i="28"/>
  <c r="O31" i="28"/>
  <c r="N31" i="28"/>
  <c r="M31" i="28"/>
  <c r="L31" i="28"/>
  <c r="K31" i="28"/>
  <c r="J31" i="28"/>
  <c r="I31" i="28"/>
  <c r="G31" i="28"/>
  <c r="R30" i="28"/>
  <c r="Q30" i="28"/>
  <c r="P30" i="28"/>
  <c r="O30" i="28"/>
  <c r="N30" i="28"/>
  <c r="M30" i="28"/>
  <c r="L30" i="28"/>
  <c r="K30" i="28"/>
  <c r="J30" i="28"/>
  <c r="I30" i="28"/>
  <c r="H30" i="28"/>
  <c r="G30" i="28"/>
  <c r="G29" i="28"/>
  <c r="AG28" i="28"/>
  <c r="AF28" i="28"/>
  <c r="AE28" i="28"/>
  <c r="AD28" i="28"/>
  <c r="AC28" i="28"/>
  <c r="AA28" i="28"/>
  <c r="Z28" i="28"/>
  <c r="Y28" i="28"/>
  <c r="X28" i="28"/>
  <c r="W28" i="28"/>
  <c r="V28" i="28"/>
  <c r="AF27" i="28"/>
  <c r="AD27" i="28"/>
  <c r="AC27" i="28"/>
  <c r="AA27" i="28"/>
  <c r="Z27" i="28"/>
  <c r="Y27" i="28"/>
  <c r="X27" i="28"/>
  <c r="W27" i="28"/>
  <c r="V27" i="28"/>
  <c r="R28" i="28"/>
  <c r="Q28" i="28"/>
  <c r="P28" i="28"/>
  <c r="O28" i="28"/>
  <c r="N28" i="28"/>
  <c r="M28" i="28"/>
  <c r="L28" i="28"/>
  <c r="K28" i="28"/>
  <c r="J28" i="28"/>
  <c r="I28" i="28"/>
  <c r="H28" i="28"/>
  <c r="G28" i="28"/>
  <c r="Q27" i="28"/>
  <c r="M27" i="28"/>
  <c r="I27" i="28"/>
  <c r="H27" i="28"/>
  <c r="G27" i="28"/>
  <c r="V26" i="28"/>
  <c r="AG26" i="28"/>
  <c r="AF26" i="28"/>
  <c r="AE26" i="28"/>
  <c r="AD26" i="28"/>
  <c r="AC26" i="28"/>
  <c r="AA26" i="28"/>
  <c r="Z26" i="28"/>
  <c r="Y26" i="28"/>
  <c r="X26" i="28"/>
  <c r="W26" i="28"/>
  <c r="R26" i="28"/>
  <c r="Q26" i="28"/>
  <c r="P26" i="28"/>
  <c r="O26" i="28"/>
  <c r="N26" i="28"/>
  <c r="M26" i="28"/>
  <c r="L26" i="28"/>
  <c r="K26" i="28"/>
  <c r="J26" i="28"/>
  <c r="I26" i="28"/>
  <c r="H26" i="28"/>
  <c r="G26" i="28"/>
  <c r="AG21" i="28"/>
  <c r="AF21" i="28"/>
  <c r="AE21" i="28"/>
  <c r="AD21" i="28"/>
  <c r="AC21" i="28"/>
  <c r="AA21" i="28"/>
  <c r="Z21" i="28"/>
  <c r="Y21" i="28"/>
  <c r="X21" i="28"/>
  <c r="W21" i="28"/>
  <c r="V21" i="28"/>
  <c r="AG20" i="28"/>
  <c r="AF20" i="28"/>
  <c r="AE20" i="28"/>
  <c r="AD20" i="28"/>
  <c r="AC20" i="28"/>
  <c r="AA20" i="28"/>
  <c r="Z20" i="28"/>
  <c r="Y20" i="28"/>
  <c r="X20" i="28"/>
  <c r="W20" i="28"/>
  <c r="V20" i="28"/>
  <c r="AG19" i="28"/>
  <c r="AF19" i="28"/>
  <c r="AE19" i="28"/>
  <c r="AD19" i="28"/>
  <c r="AC19" i="28"/>
  <c r="AA19" i="28"/>
  <c r="Z19" i="28"/>
  <c r="Y19" i="28"/>
  <c r="X19" i="28"/>
  <c r="W19" i="28"/>
  <c r="V19" i="28"/>
  <c r="R21" i="28"/>
  <c r="Q21" i="28"/>
  <c r="P21" i="28"/>
  <c r="O21" i="28"/>
  <c r="N21" i="28"/>
  <c r="M21" i="28"/>
  <c r="L21" i="28"/>
  <c r="K21" i="28"/>
  <c r="J21" i="28"/>
  <c r="I21" i="28"/>
  <c r="H21" i="28"/>
  <c r="G21" i="28"/>
  <c r="R20" i="28"/>
  <c r="Q20" i="28"/>
  <c r="P20" i="28"/>
  <c r="O20" i="28"/>
  <c r="N20" i="28"/>
  <c r="M20" i="28"/>
  <c r="L20" i="28"/>
  <c r="K20" i="28"/>
  <c r="J20" i="28"/>
  <c r="I20" i="28"/>
  <c r="H20" i="28"/>
  <c r="G20" i="28"/>
  <c r="R19" i="28"/>
  <c r="Q19" i="28"/>
  <c r="P19" i="28"/>
  <c r="P17" i="28"/>
  <c r="O19" i="28"/>
  <c r="N19" i="28"/>
  <c r="M19" i="28"/>
  <c r="L19" i="28"/>
  <c r="K19" i="28"/>
  <c r="J19" i="28"/>
  <c r="I19" i="28"/>
  <c r="H19" i="28"/>
  <c r="G19" i="28"/>
  <c r="AG17" i="28"/>
  <c r="AF17" i="28"/>
  <c r="AE17" i="28"/>
  <c r="AD17" i="28"/>
  <c r="AC17" i="28"/>
  <c r="AA17" i="28"/>
  <c r="Z17" i="28"/>
  <c r="Y17" i="28"/>
  <c r="X17" i="28"/>
  <c r="W17" i="28"/>
  <c r="V17" i="28"/>
  <c r="R17" i="28"/>
  <c r="Q17" i="28"/>
  <c r="O17" i="28"/>
  <c r="N17" i="28"/>
  <c r="M17" i="28"/>
  <c r="L17" i="28"/>
  <c r="K17" i="28"/>
  <c r="J17" i="28"/>
  <c r="I17" i="28"/>
  <c r="H17" i="28"/>
  <c r="G17" i="28"/>
  <c r="AG15" i="28"/>
  <c r="AF15" i="28"/>
  <c r="AE15" i="28"/>
  <c r="AD15" i="28"/>
  <c r="AC15" i="28"/>
  <c r="AA15" i="28"/>
  <c r="Z15" i="28"/>
  <c r="Y15" i="28"/>
  <c r="X15" i="28"/>
  <c r="W15" i="28"/>
  <c r="V15" i="28"/>
  <c r="AG14" i="28"/>
  <c r="AF14" i="28"/>
  <c r="AE14" i="28"/>
  <c r="AD14" i="28"/>
  <c r="AC14" i="28"/>
  <c r="AA14" i="28"/>
  <c r="Z14" i="28"/>
  <c r="Y14" i="28"/>
  <c r="X14" i="28"/>
  <c r="W14" i="28"/>
  <c r="V14" i="28"/>
  <c r="AG13" i="28"/>
  <c r="AF13" i="28"/>
  <c r="AE13" i="28"/>
  <c r="AD13" i="28"/>
  <c r="AC13" i="28"/>
  <c r="AA13" i="28"/>
  <c r="Z13" i="28"/>
  <c r="Y13" i="28"/>
  <c r="X13" i="28"/>
  <c r="W13" i="28"/>
  <c r="V13" i="28"/>
  <c r="R14" i="28"/>
  <c r="Q14" i="28"/>
  <c r="P14" i="28"/>
  <c r="O14" i="28"/>
  <c r="N14" i="28"/>
  <c r="M14" i="28"/>
  <c r="L14" i="28"/>
  <c r="K14" i="28"/>
  <c r="J14" i="28"/>
  <c r="I14" i="28"/>
  <c r="H14" i="28"/>
  <c r="G14" i="28"/>
  <c r="R13" i="28"/>
  <c r="Q13" i="28"/>
  <c r="P13" i="28"/>
  <c r="O13" i="28"/>
  <c r="N13" i="28"/>
  <c r="M13" i="28"/>
  <c r="L13" i="28"/>
  <c r="K13" i="28"/>
  <c r="J13" i="28"/>
  <c r="I13" i="28"/>
  <c r="H13" i="28"/>
  <c r="G13" i="28"/>
  <c r="AG11" i="28"/>
  <c r="AF11" i="28"/>
  <c r="AE11" i="28"/>
  <c r="AD11" i="28"/>
  <c r="AC11" i="28"/>
  <c r="AA11" i="28"/>
  <c r="Z11" i="28"/>
  <c r="Y11" i="28"/>
  <c r="X11" i="28"/>
  <c r="W11" i="28"/>
  <c r="V11" i="28"/>
  <c r="AG10" i="28"/>
  <c r="AF10" i="28"/>
  <c r="AE10" i="28"/>
  <c r="AD10" i="28"/>
  <c r="AC10" i="28"/>
  <c r="AA10" i="28"/>
  <c r="Z10" i="28"/>
  <c r="Y10" i="28"/>
  <c r="X10" i="28"/>
  <c r="W10" i="28"/>
  <c r="V10" i="28"/>
  <c r="R11" i="28"/>
  <c r="Q11" i="28"/>
  <c r="P11" i="28"/>
  <c r="O11" i="28"/>
  <c r="N11" i="28"/>
  <c r="M11" i="28"/>
  <c r="L11" i="28"/>
  <c r="K11" i="28"/>
  <c r="J11" i="28"/>
  <c r="I11" i="28"/>
  <c r="H11" i="28"/>
  <c r="G11" i="28"/>
  <c r="R10" i="28"/>
  <c r="P10" i="28"/>
  <c r="O10" i="28"/>
  <c r="N10" i="28"/>
  <c r="M10" i="28"/>
  <c r="L10" i="28"/>
  <c r="K10" i="28"/>
  <c r="J10" i="28"/>
  <c r="I10" i="28"/>
  <c r="H10" i="28"/>
  <c r="AG9" i="28"/>
  <c r="AF9" i="28"/>
  <c r="AE9" i="28"/>
  <c r="AD9" i="28"/>
  <c r="AC9" i="28"/>
  <c r="AA9" i="28"/>
  <c r="Z9" i="28"/>
  <c r="Y9" i="28"/>
  <c r="X9" i="28"/>
  <c r="W9" i="28"/>
  <c r="V9" i="28"/>
  <c r="R9" i="28"/>
  <c r="Q9" i="28"/>
  <c r="P9" i="28"/>
  <c r="O9" i="28"/>
  <c r="N9" i="28"/>
  <c r="M9" i="28"/>
  <c r="L9" i="28"/>
  <c r="K9" i="28"/>
  <c r="J9" i="28"/>
  <c r="I9" i="28"/>
  <c r="H9" i="28"/>
  <c r="C94" i="28"/>
  <c r="C92" i="28"/>
  <c r="C91" i="28"/>
  <c r="C90" i="28"/>
  <c r="C89" i="28"/>
  <c r="R15" i="28"/>
  <c r="Q15" i="28"/>
  <c r="P15" i="28"/>
  <c r="O15" i="28"/>
  <c r="N15" i="28"/>
  <c r="M15" i="28"/>
  <c r="L15" i="28"/>
  <c r="K15" i="28"/>
  <c r="I15" i="28"/>
  <c r="H15" i="28"/>
  <c r="AH26" i="28"/>
  <c r="T26" i="28"/>
  <c r="D61" i="28"/>
  <c r="D63" i="28"/>
  <c r="AH21" i="28"/>
  <c r="T21" i="28"/>
  <c r="D66" i="28"/>
  <c r="C66" i="28"/>
  <c r="D56" i="28"/>
  <c r="D64" i="28"/>
  <c r="C64" i="28"/>
  <c r="C55" i="28"/>
  <c r="AH54" i="28"/>
  <c r="AG54" i="28"/>
  <c r="AF54" i="28"/>
  <c r="AE54" i="28"/>
  <c r="AD54" i="28"/>
  <c r="AC54" i="28"/>
  <c r="AB54" i="28"/>
  <c r="AA54" i="28"/>
  <c r="Z54" i="28"/>
  <c r="Y54" i="28"/>
  <c r="X54" i="28"/>
  <c r="W54" i="28"/>
  <c r="V54" i="28"/>
  <c r="T54" i="28"/>
  <c r="S54" i="28"/>
  <c r="R54" i="28"/>
  <c r="Q54" i="28"/>
  <c r="P54" i="28"/>
  <c r="O54" i="28"/>
  <c r="N54" i="28"/>
  <c r="M54" i="28"/>
  <c r="L54" i="28"/>
  <c r="K54" i="28"/>
  <c r="J54" i="28"/>
  <c r="I54" i="28"/>
  <c r="H54" i="28"/>
  <c r="G54" i="28"/>
  <c r="C52" i="28"/>
  <c r="C49" i="28"/>
  <c r="C48" i="28"/>
  <c r="C47" i="28"/>
  <c r="C46" i="28"/>
  <c r="C45" i="28"/>
  <c r="C43" i="28"/>
  <c r="C41" i="28"/>
  <c r="C39" i="28"/>
  <c r="C38" i="28"/>
  <c r="C37" i="28"/>
  <c r="C36" i="28"/>
  <c r="C35" i="28"/>
  <c r="C34" i="28"/>
  <c r="C33" i="28"/>
  <c r="C32" i="28"/>
  <c r="C31" i="28"/>
  <c r="C30" i="28"/>
  <c r="C29" i="28"/>
  <c r="C28" i="28"/>
  <c r="C27" i="28"/>
  <c r="C26" i="28"/>
  <c r="C25" i="28"/>
  <c r="C23" i="28"/>
  <c r="C21" i="28"/>
  <c r="C20" i="28"/>
  <c r="C19" i="28"/>
  <c r="C18" i="28"/>
  <c r="C17" i="28"/>
  <c r="C16" i="28"/>
  <c r="C15" i="28"/>
  <c r="C14" i="28"/>
  <c r="C13" i="28"/>
  <c r="C12" i="28"/>
  <c r="C11" i="28"/>
  <c r="C9" i="28"/>
  <c r="C8" i="28"/>
  <c r="AH6" i="28"/>
  <c r="AG6" i="28"/>
  <c r="AF6" i="28"/>
  <c r="AE6" i="28"/>
  <c r="AD6" i="28"/>
  <c r="AC6" i="28"/>
  <c r="AB6" i="28"/>
  <c r="AA6" i="28"/>
  <c r="Z6" i="28"/>
  <c r="Y6" i="28"/>
  <c r="X6" i="28"/>
  <c r="W6" i="28"/>
  <c r="V6" i="28"/>
  <c r="T6" i="28"/>
  <c r="S6" i="28"/>
  <c r="R6" i="28"/>
  <c r="Q6" i="28"/>
  <c r="P6" i="28"/>
  <c r="O6" i="28"/>
  <c r="N6" i="28"/>
  <c r="M6" i="28"/>
  <c r="L6" i="28"/>
  <c r="K6" i="28"/>
  <c r="J6" i="28"/>
  <c r="I6" i="28"/>
  <c r="H6" i="28"/>
  <c r="G6" i="28"/>
  <c r="AH4" i="28"/>
  <c r="G64" i="17"/>
  <c r="F64" i="17"/>
  <c r="G62" i="17"/>
  <c r="F62" i="17"/>
  <c r="G61" i="17"/>
  <c r="F61" i="17"/>
  <c r="G60" i="17"/>
  <c r="F60" i="17"/>
  <c r="G59" i="17"/>
  <c r="F59" i="17"/>
  <c r="G58" i="17"/>
  <c r="F58" i="17"/>
  <c r="G57" i="17"/>
  <c r="F57" i="17"/>
  <c r="G56" i="17"/>
  <c r="F56" i="17"/>
  <c r="G55" i="17"/>
  <c r="F55" i="17"/>
  <c r="G54" i="17"/>
  <c r="F54" i="17"/>
  <c r="G53" i="17"/>
  <c r="F53" i="17"/>
  <c r="G52" i="17"/>
  <c r="F52" i="17"/>
  <c r="G51" i="17"/>
  <c r="F51" i="17"/>
  <c r="G50" i="17"/>
  <c r="F50" i="17"/>
  <c r="G49" i="17"/>
  <c r="F49" i="17"/>
  <c r="G48" i="17"/>
  <c r="F48" i="17"/>
  <c r="G47" i="17"/>
  <c r="F47" i="17"/>
  <c r="G46" i="17"/>
  <c r="F46" i="17"/>
  <c r="G45" i="17"/>
  <c r="F45" i="17"/>
  <c r="G43" i="17"/>
  <c r="F43" i="17"/>
  <c r="G41" i="17"/>
  <c r="F41" i="17"/>
  <c r="G40" i="17"/>
  <c r="F40" i="17"/>
  <c r="G39" i="17"/>
  <c r="F39" i="17"/>
  <c r="G38" i="17"/>
  <c r="F38" i="17"/>
  <c r="G37" i="17"/>
  <c r="F37" i="17"/>
  <c r="G36" i="17"/>
  <c r="F36" i="17"/>
  <c r="G35" i="17"/>
  <c r="F35" i="17"/>
  <c r="G33" i="17"/>
  <c r="F33" i="17"/>
  <c r="G32" i="17"/>
  <c r="F32" i="17"/>
  <c r="G31" i="17"/>
  <c r="F31" i="17"/>
  <c r="G30" i="17"/>
  <c r="F30" i="17"/>
  <c r="G29" i="17"/>
  <c r="F29" i="17"/>
  <c r="G28" i="17"/>
  <c r="F28" i="17"/>
  <c r="G27" i="17"/>
  <c r="F27" i="17"/>
  <c r="G26" i="17"/>
  <c r="F26" i="17"/>
  <c r="G24" i="17"/>
  <c r="F24" i="17"/>
  <c r="G23" i="17"/>
  <c r="F23" i="17"/>
  <c r="G22" i="17"/>
  <c r="F22" i="17"/>
  <c r="G21" i="17"/>
  <c r="F21" i="17"/>
  <c r="G19" i="17"/>
  <c r="F19" i="17"/>
  <c r="G18" i="17"/>
  <c r="F18" i="17"/>
  <c r="G17" i="17"/>
  <c r="F17" i="17"/>
  <c r="G16" i="17"/>
  <c r="F16" i="17"/>
  <c r="G15" i="17"/>
  <c r="F15" i="17"/>
  <c r="G14" i="17"/>
  <c r="F14" i="17"/>
  <c r="G13" i="17"/>
  <c r="F13" i="17"/>
  <c r="G12" i="17"/>
  <c r="F12" i="17"/>
  <c r="G11" i="17"/>
  <c r="F11" i="17"/>
  <c r="G10" i="17"/>
  <c r="F10" i="17"/>
  <c r="G9" i="17"/>
  <c r="F9" i="17"/>
  <c r="G8" i="17"/>
  <c r="F8" i="17"/>
  <c r="I53" i="10"/>
  <c r="D70" i="27"/>
  <c r="C592" i="27"/>
  <c r="I5" i="15"/>
  <c r="I5" i="14"/>
  <c r="G30" i="13"/>
  <c r="H30" i="13"/>
  <c r="G36" i="13"/>
  <c r="H36" i="13"/>
  <c r="F36" i="13"/>
  <c r="F30" i="13"/>
  <c r="I42" i="13"/>
  <c r="I41" i="13"/>
  <c r="I40" i="13"/>
  <c r="I39" i="13"/>
  <c r="I38" i="13"/>
  <c r="I35" i="13"/>
  <c r="I34" i="13"/>
  <c r="I33" i="13"/>
  <c r="I32" i="13"/>
  <c r="I31" i="13"/>
  <c r="I25" i="13"/>
  <c r="I22" i="13"/>
  <c r="I21" i="13"/>
  <c r="I20" i="13"/>
  <c r="I19" i="13"/>
  <c r="I18" i="13"/>
  <c r="D111" i="27"/>
  <c r="D110" i="27"/>
  <c r="D106" i="27"/>
  <c r="D105" i="27"/>
  <c r="D104" i="27"/>
  <c r="D103" i="27"/>
  <c r="D102" i="27"/>
  <c r="D101" i="27"/>
  <c r="D100" i="27"/>
  <c r="D547" i="27"/>
  <c r="D546" i="27"/>
  <c r="D544" i="27"/>
  <c r="D543" i="27"/>
  <c r="D542" i="27"/>
  <c r="D541" i="27"/>
  <c r="D540" i="27"/>
  <c r="D539" i="27"/>
  <c r="D538" i="27"/>
  <c r="D537" i="27"/>
  <c r="D536" i="27"/>
  <c r="D410" i="27"/>
  <c r="D409" i="27"/>
  <c r="D408" i="27"/>
  <c r="D407" i="27"/>
  <c r="D406" i="27"/>
  <c r="D405" i="27"/>
  <c r="D404" i="27"/>
  <c r="D403" i="27"/>
  <c r="D402" i="27"/>
  <c r="D401" i="27"/>
  <c r="D400" i="27"/>
  <c r="D399" i="27"/>
  <c r="D260" i="27"/>
  <c r="D259" i="27"/>
  <c r="D258" i="27"/>
  <c r="D257" i="27"/>
  <c r="D256" i="27"/>
  <c r="D255" i="27"/>
  <c r="D254" i="27"/>
  <c r="D253" i="27"/>
  <c r="D252" i="27"/>
  <c r="D251" i="27"/>
  <c r="D250" i="27"/>
  <c r="D249" i="27"/>
  <c r="P454" i="27"/>
  <c r="O454" i="27"/>
  <c r="C590" i="27"/>
  <c r="C598" i="27"/>
  <c r="C591" i="27"/>
  <c r="J454" i="27"/>
  <c r="E454" i="27"/>
  <c r="M456" i="27"/>
  <c r="L456" i="27"/>
  <c r="K456" i="27"/>
  <c r="J456" i="27"/>
  <c r="N455" i="27"/>
  <c r="J455" i="27"/>
  <c r="E455" i="27"/>
  <c r="I455" i="27"/>
  <c r="H456" i="27"/>
  <c r="G456" i="27"/>
  <c r="F456" i="27"/>
  <c r="E456" i="27"/>
  <c r="J305" i="27"/>
  <c r="J304" i="27"/>
  <c r="P304" i="27"/>
  <c r="O304" i="27"/>
  <c r="N305" i="27"/>
  <c r="M306" i="27"/>
  <c r="L306" i="27"/>
  <c r="K306" i="27"/>
  <c r="J306" i="27"/>
  <c r="I305" i="27"/>
  <c r="H306" i="27"/>
  <c r="G306" i="27"/>
  <c r="F306" i="27"/>
  <c r="E306" i="27"/>
  <c r="E305" i="27"/>
  <c r="E304" i="27"/>
  <c r="C303" i="27"/>
  <c r="K155" i="27"/>
  <c r="K154" i="27"/>
  <c r="I155" i="27"/>
  <c r="H156" i="27"/>
  <c r="G156" i="27"/>
  <c r="F156" i="27"/>
  <c r="E156" i="27"/>
  <c r="E155" i="27"/>
  <c r="D495" i="27"/>
  <c r="D494" i="27"/>
  <c r="D493" i="27"/>
  <c r="D492" i="27"/>
  <c r="D491" i="27"/>
  <c r="D490" i="27"/>
  <c r="D489" i="27"/>
  <c r="D488" i="27"/>
  <c r="D487" i="27"/>
  <c r="D486" i="27"/>
  <c r="D485" i="27"/>
  <c r="D484" i="27"/>
  <c r="D482" i="27"/>
  <c r="D481" i="27"/>
  <c r="D480" i="27"/>
  <c r="D479" i="27"/>
  <c r="D478" i="27"/>
  <c r="D477" i="27"/>
  <c r="D476" i="27"/>
  <c r="D475" i="27"/>
  <c r="D474" i="27"/>
  <c r="D473" i="27"/>
  <c r="D472" i="27"/>
  <c r="D471" i="27"/>
  <c r="D469" i="27"/>
  <c r="D468" i="27"/>
  <c r="D467" i="27"/>
  <c r="D466" i="27"/>
  <c r="D465" i="27"/>
  <c r="D464" i="27"/>
  <c r="D463" i="27"/>
  <c r="D462" i="27"/>
  <c r="D461" i="27"/>
  <c r="D460" i="27"/>
  <c r="D459" i="27"/>
  <c r="D458" i="27"/>
  <c r="D358" i="27"/>
  <c r="D357" i="27"/>
  <c r="D356" i="27"/>
  <c r="D355" i="27"/>
  <c r="D354" i="27"/>
  <c r="D353" i="27"/>
  <c r="D352" i="27"/>
  <c r="D351" i="27"/>
  <c r="D350" i="27"/>
  <c r="D349" i="27"/>
  <c r="D348" i="27"/>
  <c r="D347" i="27"/>
  <c r="D345" i="27"/>
  <c r="D344" i="27"/>
  <c r="D343" i="27"/>
  <c r="D342" i="27"/>
  <c r="D341" i="27"/>
  <c r="D340" i="27"/>
  <c r="D339" i="27"/>
  <c r="D338" i="27"/>
  <c r="D337" i="27"/>
  <c r="D336" i="27"/>
  <c r="D335" i="27"/>
  <c r="D334" i="27"/>
  <c r="D332" i="27"/>
  <c r="D331" i="27"/>
  <c r="D330" i="27"/>
  <c r="D329" i="27"/>
  <c r="D328" i="27"/>
  <c r="D327" i="27"/>
  <c r="D326" i="27"/>
  <c r="D325" i="27"/>
  <c r="D324" i="27"/>
  <c r="D323" i="27"/>
  <c r="D322" i="27"/>
  <c r="D321" i="27"/>
  <c r="D319" i="27"/>
  <c r="D318" i="27"/>
  <c r="D317" i="27"/>
  <c r="D316" i="27"/>
  <c r="D315" i="27"/>
  <c r="D314" i="27"/>
  <c r="D313" i="27"/>
  <c r="D312" i="27"/>
  <c r="D311" i="27"/>
  <c r="D310" i="27"/>
  <c r="D309" i="27"/>
  <c r="D308" i="27"/>
  <c r="D208" i="27"/>
  <c r="D207" i="27"/>
  <c r="D206" i="27"/>
  <c r="D205" i="27"/>
  <c r="D204" i="27"/>
  <c r="D203" i="27"/>
  <c r="D202" i="27"/>
  <c r="D201" i="27"/>
  <c r="D200" i="27"/>
  <c r="D199" i="27"/>
  <c r="D198" i="27"/>
  <c r="D197" i="27"/>
  <c r="D195" i="27"/>
  <c r="D194" i="27"/>
  <c r="D193" i="27"/>
  <c r="D192" i="27"/>
  <c r="D191" i="27"/>
  <c r="D190" i="27"/>
  <c r="D189" i="27"/>
  <c r="D188" i="27"/>
  <c r="D187" i="27"/>
  <c r="D186" i="27"/>
  <c r="D185" i="27"/>
  <c r="D184" i="27"/>
  <c r="D182" i="27"/>
  <c r="D181" i="27"/>
  <c r="D180" i="27"/>
  <c r="D179" i="27"/>
  <c r="D178" i="27"/>
  <c r="D177" i="27"/>
  <c r="D176" i="27"/>
  <c r="D175" i="27"/>
  <c r="D174" i="27"/>
  <c r="D173" i="27"/>
  <c r="D172" i="27"/>
  <c r="D171" i="27"/>
  <c r="D169" i="27"/>
  <c r="D168" i="27"/>
  <c r="D167" i="27"/>
  <c r="D166" i="27"/>
  <c r="D165" i="27"/>
  <c r="D164" i="27"/>
  <c r="D163" i="27"/>
  <c r="D162" i="27"/>
  <c r="D161" i="27"/>
  <c r="D160" i="27"/>
  <c r="D159" i="27"/>
  <c r="D158" i="27"/>
  <c r="D59" i="27"/>
  <c r="D58" i="27"/>
  <c r="D57" i="27"/>
  <c r="D56" i="27"/>
  <c r="D55" i="27"/>
  <c r="D54" i="27"/>
  <c r="D53" i="27"/>
  <c r="D52" i="27"/>
  <c r="D51" i="27"/>
  <c r="D50" i="27"/>
  <c r="D49" i="27"/>
  <c r="D48" i="27"/>
  <c r="D46" i="27"/>
  <c r="D45" i="27"/>
  <c r="D44" i="27"/>
  <c r="D43" i="27"/>
  <c r="D42" i="27"/>
  <c r="D41" i="27"/>
  <c r="D40" i="27"/>
  <c r="D39" i="27"/>
  <c r="D38" i="27"/>
  <c r="D37" i="27"/>
  <c r="D36" i="27"/>
  <c r="D35" i="27"/>
  <c r="D33" i="27"/>
  <c r="D32" i="27"/>
  <c r="D31" i="27"/>
  <c r="D30" i="27"/>
  <c r="D29" i="27"/>
  <c r="D28" i="27"/>
  <c r="D27" i="27"/>
  <c r="D26" i="27"/>
  <c r="D25" i="27"/>
  <c r="D24" i="27"/>
  <c r="D23" i="27"/>
  <c r="D22" i="27"/>
  <c r="D20" i="27"/>
  <c r="D19" i="27"/>
  <c r="D18" i="27"/>
  <c r="D17" i="27"/>
  <c r="D16" i="27"/>
  <c r="D15" i="27"/>
  <c r="D14" i="27"/>
  <c r="D13" i="27"/>
  <c r="D12" i="27"/>
  <c r="D11" i="27"/>
  <c r="D10" i="27"/>
  <c r="D9" i="27"/>
  <c r="D533" i="27"/>
  <c r="D532" i="27"/>
  <c r="D531" i="27"/>
  <c r="D530" i="27"/>
  <c r="D529" i="27"/>
  <c r="D528" i="27"/>
  <c r="D527" i="27"/>
  <c r="D526" i="27"/>
  <c r="D525" i="27"/>
  <c r="D524" i="27"/>
  <c r="D523" i="27"/>
  <c r="D521" i="27"/>
  <c r="D520" i="27"/>
  <c r="D519" i="27"/>
  <c r="D518" i="27"/>
  <c r="D517" i="27"/>
  <c r="D516" i="27"/>
  <c r="D515" i="27"/>
  <c r="D514" i="27"/>
  <c r="D513" i="27"/>
  <c r="D512" i="27"/>
  <c r="D511" i="27"/>
  <c r="D510" i="27"/>
  <c r="D508" i="27"/>
  <c r="D507" i="27"/>
  <c r="D506" i="27"/>
  <c r="D505" i="27"/>
  <c r="D504" i="27"/>
  <c r="D503" i="27"/>
  <c r="D502" i="27"/>
  <c r="D501" i="27"/>
  <c r="D500" i="27"/>
  <c r="D499" i="27"/>
  <c r="D498" i="27"/>
  <c r="D497" i="27"/>
  <c r="D397" i="27"/>
  <c r="D396" i="27"/>
  <c r="D395" i="27"/>
  <c r="D394" i="27"/>
  <c r="D393" i="27"/>
  <c r="D392" i="27"/>
  <c r="D391" i="27"/>
  <c r="D390" i="27"/>
  <c r="D389" i="27"/>
  <c r="D388" i="27"/>
  <c r="D387" i="27"/>
  <c r="D386" i="27"/>
  <c r="D384" i="27"/>
  <c r="D383" i="27"/>
  <c r="D382" i="27"/>
  <c r="D381" i="27"/>
  <c r="D380" i="27"/>
  <c r="D379" i="27"/>
  <c r="D378" i="27"/>
  <c r="D377" i="27"/>
  <c r="D376" i="27"/>
  <c r="D375" i="27"/>
  <c r="D374" i="27"/>
  <c r="D373" i="27"/>
  <c r="D371" i="27"/>
  <c r="D370" i="27"/>
  <c r="D369" i="27"/>
  <c r="D368" i="27"/>
  <c r="D367" i="27"/>
  <c r="D366" i="27"/>
  <c r="D365" i="27"/>
  <c r="D364" i="27"/>
  <c r="D363" i="27"/>
  <c r="D362" i="27"/>
  <c r="D361" i="27"/>
  <c r="D360" i="27"/>
  <c r="D247" i="27"/>
  <c r="D246" i="27"/>
  <c r="D245" i="27"/>
  <c r="D244" i="27"/>
  <c r="D243" i="27"/>
  <c r="D242" i="27"/>
  <c r="D241" i="27"/>
  <c r="D240" i="27"/>
  <c r="D239" i="27"/>
  <c r="D238" i="27"/>
  <c r="D237" i="27"/>
  <c r="D236" i="27"/>
  <c r="D234" i="27"/>
  <c r="D233" i="27"/>
  <c r="D232" i="27"/>
  <c r="D231" i="27"/>
  <c r="D230" i="27"/>
  <c r="D229" i="27"/>
  <c r="D228" i="27"/>
  <c r="D227" i="27"/>
  <c r="D226" i="27"/>
  <c r="D225" i="27"/>
  <c r="D224" i="27"/>
  <c r="D223" i="27"/>
  <c r="D221" i="27"/>
  <c r="D220" i="27"/>
  <c r="D219" i="27"/>
  <c r="D218" i="27"/>
  <c r="D217" i="27"/>
  <c r="D216" i="27"/>
  <c r="D215" i="27"/>
  <c r="D214" i="27"/>
  <c r="D213" i="27"/>
  <c r="D212" i="27"/>
  <c r="D211" i="27"/>
  <c r="D210" i="27"/>
  <c r="D98" i="27"/>
  <c r="D96" i="27"/>
  <c r="D94" i="27"/>
  <c r="D93" i="27"/>
  <c r="D92" i="27"/>
  <c r="D91" i="27"/>
  <c r="D90" i="27"/>
  <c r="D89" i="27"/>
  <c r="D88" i="27"/>
  <c r="D87" i="27"/>
  <c r="D85" i="27"/>
  <c r="D84" i="27"/>
  <c r="D83" i="27"/>
  <c r="D80" i="27"/>
  <c r="D79" i="27"/>
  <c r="D78" i="27"/>
  <c r="D77" i="27"/>
  <c r="D76" i="27"/>
  <c r="D75" i="27"/>
  <c r="D74" i="27"/>
  <c r="D72" i="27"/>
  <c r="D71" i="27"/>
  <c r="D69" i="27"/>
  <c r="D68" i="27"/>
  <c r="D67" i="27"/>
  <c r="D66" i="27"/>
  <c r="D65" i="27"/>
  <c r="D64" i="27"/>
  <c r="D63" i="27"/>
  <c r="D62" i="27"/>
  <c r="D61" i="27"/>
  <c r="K5" i="27"/>
  <c r="K6" i="27"/>
  <c r="I6" i="27"/>
  <c r="H7" i="27"/>
  <c r="G7" i="27"/>
  <c r="F7" i="27"/>
  <c r="E6" i="27"/>
  <c r="E7" i="27"/>
  <c r="C5" i="27"/>
  <c r="C17" i="18"/>
  <c r="C13" i="18"/>
  <c r="C11" i="18"/>
  <c r="C23" i="18"/>
  <c r="C19" i="18"/>
  <c r="C30" i="18"/>
  <c r="C27" i="18"/>
  <c r="C25" i="18"/>
  <c r="C26" i="18"/>
  <c r="C20" i="18"/>
  <c r="C18" i="18"/>
  <c r="C16" i="18"/>
  <c r="C15" i="18"/>
  <c r="C14" i="18"/>
  <c r="C10" i="18"/>
  <c r="C9" i="18"/>
  <c r="C24" i="17"/>
  <c r="C35" i="17"/>
  <c r="C34" i="17"/>
  <c r="C33" i="17"/>
  <c r="C21" i="17"/>
  <c r="C19" i="17"/>
  <c r="C32" i="18"/>
  <c r="J5" i="7"/>
  <c r="I47" i="7"/>
  <c r="I45" i="7"/>
  <c r="I43" i="7"/>
  <c r="I39" i="7"/>
  <c r="I38" i="7"/>
  <c r="I37" i="7"/>
  <c r="I35" i="7"/>
  <c r="I33" i="7"/>
  <c r="I32" i="7"/>
  <c r="I31" i="7"/>
  <c r="I24" i="7"/>
  <c r="I22" i="7"/>
  <c r="I20" i="7"/>
  <c r="I16" i="7"/>
  <c r="I15" i="7"/>
  <c r="I13" i="7"/>
  <c r="I11" i="7"/>
  <c r="D40" i="20"/>
  <c r="C2" i="25"/>
  <c r="J5" i="25"/>
  <c r="C45" i="25"/>
  <c r="C44" i="25"/>
  <c r="C43" i="25"/>
  <c r="C42" i="25"/>
  <c r="C41" i="25"/>
  <c r="C37" i="25"/>
  <c r="C36" i="25"/>
  <c r="C35" i="25"/>
  <c r="C34" i="25"/>
  <c r="C33" i="25"/>
  <c r="C32" i="25"/>
  <c r="C31" i="25"/>
  <c r="C30" i="25"/>
  <c r="C29" i="25"/>
  <c r="C28" i="25"/>
  <c r="C27" i="25"/>
  <c r="C26" i="25"/>
  <c r="C25" i="25"/>
  <c r="C21" i="25"/>
  <c r="C17" i="25"/>
  <c r="C16" i="25"/>
  <c r="C15" i="25"/>
  <c r="C13" i="25"/>
  <c r="C10" i="25"/>
  <c r="C9" i="25"/>
  <c r="C2" i="24"/>
  <c r="L8" i="24"/>
  <c r="F19" i="24"/>
  <c r="E19" i="24"/>
  <c r="F18" i="24"/>
  <c r="E18" i="24"/>
  <c r="F17" i="24"/>
  <c r="E17" i="24"/>
  <c r="F16" i="24"/>
  <c r="E16" i="24"/>
  <c r="F14" i="24"/>
  <c r="E14" i="24"/>
  <c r="F13" i="24"/>
  <c r="E13" i="24"/>
  <c r="D56" i="20"/>
  <c r="D55" i="20"/>
  <c r="D53" i="20"/>
  <c r="D52" i="20"/>
  <c r="D51" i="20"/>
  <c r="D50" i="20"/>
  <c r="D49" i="20"/>
  <c r="D48" i="20"/>
  <c r="D47" i="20"/>
  <c r="D46" i="20"/>
  <c r="D45" i="20"/>
  <c r="D44" i="20"/>
  <c r="R41" i="20"/>
  <c r="D31" i="20"/>
  <c r="D30" i="20"/>
  <c r="R7" i="20"/>
  <c r="D6" i="20"/>
  <c r="C42" i="19"/>
  <c r="C40" i="19"/>
  <c r="C36" i="19"/>
  <c r="C35" i="19"/>
  <c r="C34" i="19"/>
  <c r="C33" i="19"/>
  <c r="C32" i="19"/>
  <c r="C31" i="19"/>
  <c r="C30" i="19"/>
  <c r="C29" i="19"/>
  <c r="C28" i="19"/>
  <c r="C27" i="19"/>
  <c r="C26" i="19"/>
  <c r="C25" i="19"/>
  <c r="C24" i="19"/>
  <c r="C23" i="19"/>
  <c r="C22" i="19"/>
  <c r="C21" i="19"/>
  <c r="C20" i="19"/>
  <c r="C19" i="19"/>
  <c r="C15" i="19"/>
  <c r="C14" i="19"/>
  <c r="C13" i="19"/>
  <c r="C12" i="19"/>
  <c r="C11" i="19"/>
  <c r="C10" i="19"/>
  <c r="C9" i="19"/>
  <c r="I7" i="19"/>
  <c r="I5" i="19"/>
  <c r="C82" i="17"/>
  <c r="C81" i="17"/>
  <c r="C80" i="17"/>
  <c r="C78" i="17"/>
  <c r="C77" i="17"/>
  <c r="C76" i="17"/>
  <c r="C75" i="17"/>
  <c r="C74" i="17"/>
  <c r="C73" i="17"/>
  <c r="C72" i="17"/>
  <c r="C71" i="17"/>
  <c r="C70" i="17"/>
  <c r="C69" i="17"/>
  <c r="C68" i="17"/>
  <c r="C66" i="17"/>
  <c r="C64" i="17"/>
  <c r="C62" i="17"/>
  <c r="C61" i="17"/>
  <c r="C60" i="17"/>
  <c r="C59" i="17"/>
  <c r="C58" i="17"/>
  <c r="C57" i="17"/>
  <c r="C56" i="17"/>
  <c r="C55" i="17"/>
  <c r="C54" i="17"/>
  <c r="C53" i="17"/>
  <c r="C52" i="17"/>
  <c r="C51" i="17"/>
  <c r="C50" i="17"/>
  <c r="C49" i="17"/>
  <c r="C48" i="17"/>
  <c r="C47" i="17"/>
  <c r="C46" i="17"/>
  <c r="C45" i="17"/>
  <c r="C43" i="17"/>
  <c r="C41" i="17"/>
  <c r="C40" i="17"/>
  <c r="C39" i="17"/>
  <c r="C38" i="17"/>
  <c r="C36" i="17"/>
  <c r="C32" i="17"/>
  <c r="C31" i="17"/>
  <c r="C30" i="17"/>
  <c r="C29" i="17"/>
  <c r="C28" i="17"/>
  <c r="C27" i="17"/>
  <c r="C26" i="17"/>
  <c r="C23" i="17"/>
  <c r="C22" i="17"/>
  <c r="C18" i="17"/>
  <c r="C17" i="17"/>
  <c r="C16" i="17"/>
  <c r="C15" i="17"/>
  <c r="C14" i="17"/>
  <c r="C13" i="17"/>
  <c r="C12" i="17"/>
  <c r="C9" i="17"/>
  <c r="C8" i="17"/>
  <c r="G7" i="17"/>
  <c r="G5" i="17"/>
  <c r="C72" i="15"/>
  <c r="C71" i="15"/>
  <c r="C70" i="15"/>
  <c r="C68" i="15"/>
  <c r="C67" i="15"/>
  <c r="C66" i="15"/>
  <c r="C65" i="15"/>
  <c r="C64" i="15"/>
  <c r="C63" i="15"/>
  <c r="C61" i="15"/>
  <c r="C60" i="15"/>
  <c r="C59" i="15"/>
  <c r="C58" i="15"/>
  <c r="C56" i="15"/>
  <c r="C54" i="15"/>
  <c r="C52" i="15"/>
  <c r="C51" i="15"/>
  <c r="C50" i="15"/>
  <c r="C49" i="15"/>
  <c r="C48" i="15"/>
  <c r="C47" i="15"/>
  <c r="C46" i="15"/>
  <c r="C45" i="15"/>
  <c r="C44" i="15"/>
  <c r="C43" i="15"/>
  <c r="C42" i="15"/>
  <c r="C41" i="15"/>
  <c r="C40" i="15"/>
  <c r="C39" i="15"/>
  <c r="C38" i="15"/>
  <c r="C37" i="15"/>
  <c r="C36" i="15"/>
  <c r="C35" i="15"/>
  <c r="C34" i="15"/>
  <c r="C33" i="15"/>
  <c r="C32" i="15"/>
  <c r="C31" i="15"/>
  <c r="C29" i="15"/>
  <c r="C27" i="15"/>
  <c r="C26" i="15"/>
  <c r="C25" i="15"/>
  <c r="C24" i="15"/>
  <c r="C23" i="15"/>
  <c r="C22" i="15"/>
  <c r="C21" i="15"/>
  <c r="C20" i="15"/>
  <c r="C19" i="15"/>
  <c r="C18" i="15"/>
  <c r="C17" i="15"/>
  <c r="C16" i="15"/>
  <c r="C15" i="15"/>
  <c r="C14" i="15"/>
  <c r="C13" i="15"/>
  <c r="C12" i="15"/>
  <c r="C11" i="15"/>
  <c r="C10" i="15"/>
  <c r="C9" i="15"/>
  <c r="C8" i="15"/>
  <c r="C82" i="14"/>
  <c r="C78" i="14"/>
  <c r="C77" i="14"/>
  <c r="C76" i="14"/>
  <c r="C74" i="14"/>
  <c r="C73" i="14"/>
  <c r="C72" i="14"/>
  <c r="C71" i="14"/>
  <c r="C69" i="14"/>
  <c r="C67" i="14"/>
  <c r="C65" i="14"/>
  <c r="C64" i="14"/>
  <c r="C63" i="14"/>
  <c r="C62" i="14"/>
  <c r="C61" i="14"/>
  <c r="C60" i="14"/>
  <c r="C59" i="14"/>
  <c r="C58" i="14"/>
  <c r="C57" i="14"/>
  <c r="C56" i="14"/>
  <c r="C55" i="14"/>
  <c r="C53" i="14"/>
  <c r="C52" i="14"/>
  <c r="C51" i="14"/>
  <c r="C47" i="14"/>
  <c r="C46" i="14"/>
  <c r="C45" i="14"/>
  <c r="C44" i="14"/>
  <c r="C43" i="14"/>
  <c r="C42" i="14"/>
  <c r="C41" i="14"/>
  <c r="C40" i="14"/>
  <c r="C39" i="14"/>
  <c r="C38" i="14"/>
  <c r="C37" i="14"/>
  <c r="C36" i="14"/>
  <c r="C35" i="14"/>
  <c r="C34" i="14"/>
  <c r="C32" i="14"/>
  <c r="C30" i="14"/>
  <c r="C29" i="14"/>
  <c r="C28" i="14"/>
  <c r="C27" i="14"/>
  <c r="C26" i="14"/>
  <c r="C23" i="14"/>
  <c r="C22" i="14"/>
  <c r="C19" i="14"/>
  <c r="C18" i="14"/>
  <c r="C15" i="14"/>
  <c r="C14" i="14"/>
  <c r="C13" i="14"/>
  <c r="C12" i="14"/>
  <c r="C11" i="14"/>
  <c r="C10" i="14"/>
  <c r="C9" i="14"/>
  <c r="C56" i="13"/>
  <c r="C53" i="13"/>
  <c r="C51" i="13"/>
  <c r="C50" i="13"/>
  <c r="C49" i="13"/>
  <c r="C47" i="13"/>
  <c r="C45" i="13"/>
  <c r="I43" i="13"/>
  <c r="C43" i="13"/>
  <c r="C42" i="13"/>
  <c r="C41" i="13"/>
  <c r="C40" i="13"/>
  <c r="C39" i="13"/>
  <c r="C38" i="13"/>
  <c r="C37" i="13"/>
  <c r="C36" i="13"/>
  <c r="C35" i="13"/>
  <c r="C34" i="13"/>
  <c r="C33" i="13"/>
  <c r="C32" i="13"/>
  <c r="C31" i="13"/>
  <c r="C30" i="13"/>
  <c r="C29" i="13"/>
  <c r="C27" i="13"/>
  <c r="C25" i="13"/>
  <c r="C24" i="13"/>
  <c r="C23" i="13"/>
  <c r="C22" i="13"/>
  <c r="C21" i="13"/>
  <c r="C20" i="13"/>
  <c r="C19" i="13"/>
  <c r="C18" i="13"/>
  <c r="C17" i="13"/>
  <c r="C16" i="13"/>
  <c r="C15" i="13"/>
  <c r="C14" i="13"/>
  <c r="C13" i="13"/>
  <c r="C12" i="13"/>
  <c r="C11" i="13"/>
  <c r="C10" i="13"/>
  <c r="C9" i="13"/>
  <c r="C8" i="13"/>
  <c r="C88" i="12"/>
  <c r="C78" i="12"/>
  <c r="C75" i="12"/>
  <c r="C73" i="12"/>
  <c r="C72" i="12"/>
  <c r="I71" i="12"/>
  <c r="C71" i="12"/>
  <c r="I70" i="12"/>
  <c r="C70" i="12"/>
  <c r="C69" i="12"/>
  <c r="C68" i="12"/>
  <c r="C66" i="12"/>
  <c r="C65" i="12"/>
  <c r="C64" i="12"/>
  <c r="C63" i="12"/>
  <c r="C61" i="12"/>
  <c r="C59" i="12"/>
  <c r="C57" i="12"/>
  <c r="I56" i="12"/>
  <c r="C56" i="12"/>
  <c r="I55" i="12"/>
  <c r="C55" i="12"/>
  <c r="I54" i="12"/>
  <c r="C54" i="12"/>
  <c r="I53" i="12"/>
  <c r="C53" i="12"/>
  <c r="I52" i="12"/>
  <c r="C52" i="12"/>
  <c r="G51" i="12"/>
  <c r="H51" i="12"/>
  <c r="F51" i="12"/>
  <c r="C51" i="12"/>
  <c r="I50" i="12"/>
  <c r="C50" i="12"/>
  <c r="C49" i="12"/>
  <c r="C48" i="12"/>
  <c r="I47" i="12"/>
  <c r="C47" i="12"/>
  <c r="I46" i="12"/>
  <c r="C46" i="12"/>
  <c r="I45" i="12"/>
  <c r="C45" i="12"/>
  <c r="I44" i="12"/>
  <c r="C44" i="12"/>
  <c r="I43" i="12"/>
  <c r="C43" i="12"/>
  <c r="I42" i="12"/>
  <c r="C42" i="12"/>
  <c r="G41" i="12"/>
  <c r="G34" i="12" s="1"/>
  <c r="F41" i="12"/>
  <c r="C41" i="12"/>
  <c r="I40" i="12"/>
  <c r="C40" i="12"/>
  <c r="I39" i="12"/>
  <c r="C39" i="12"/>
  <c r="I38" i="12"/>
  <c r="C38" i="12"/>
  <c r="I37" i="12"/>
  <c r="C37" i="12"/>
  <c r="I36" i="12"/>
  <c r="C36" i="12"/>
  <c r="G35" i="12"/>
  <c r="H35" i="12"/>
  <c r="C35" i="12"/>
  <c r="C34" i="12"/>
  <c r="C32" i="12"/>
  <c r="C30" i="12"/>
  <c r="I29" i="12"/>
  <c r="C29" i="12"/>
  <c r="I28" i="12"/>
  <c r="C28" i="12"/>
  <c r="I27" i="12"/>
  <c r="C27" i="12"/>
  <c r="I26" i="12"/>
  <c r="C26" i="12"/>
  <c r="I25" i="12"/>
  <c r="C25" i="12"/>
  <c r="G24" i="12"/>
  <c r="F24" i="12"/>
  <c r="C24" i="12"/>
  <c r="I23" i="12"/>
  <c r="C23" i="12"/>
  <c r="C22" i="12"/>
  <c r="C21" i="12"/>
  <c r="I20" i="12"/>
  <c r="C20" i="12"/>
  <c r="I19" i="12"/>
  <c r="C19" i="12"/>
  <c r="I18" i="12"/>
  <c r="C18" i="12"/>
  <c r="I17" i="12"/>
  <c r="C17" i="12"/>
  <c r="C16" i="12"/>
  <c r="C15" i="12"/>
  <c r="I14" i="12"/>
  <c r="C14" i="12"/>
  <c r="I13" i="12"/>
  <c r="C13" i="12"/>
  <c r="I12" i="12"/>
  <c r="C12" i="12"/>
  <c r="I11" i="12"/>
  <c r="C11" i="12"/>
  <c r="G10" i="12"/>
  <c r="H10" i="12"/>
  <c r="F10" i="12"/>
  <c r="C10" i="12"/>
  <c r="C9" i="12"/>
  <c r="C78" i="11"/>
  <c r="C75" i="11"/>
  <c r="C73" i="11"/>
  <c r="C72" i="11"/>
  <c r="I71" i="11"/>
  <c r="C71" i="11"/>
  <c r="I70" i="11"/>
  <c r="C70" i="11"/>
  <c r="C69" i="11"/>
  <c r="C68" i="11"/>
  <c r="C66" i="11"/>
  <c r="C65" i="11"/>
  <c r="C64" i="11"/>
  <c r="C63" i="11"/>
  <c r="C61" i="11"/>
  <c r="C59" i="11"/>
  <c r="C57" i="11"/>
  <c r="I56" i="11"/>
  <c r="C56" i="11"/>
  <c r="C55" i="11"/>
  <c r="I54" i="11"/>
  <c r="C54" i="11"/>
  <c r="C53" i="11"/>
  <c r="C52" i="11"/>
  <c r="C51" i="11"/>
  <c r="I50" i="11"/>
  <c r="C50" i="11"/>
  <c r="C49" i="11"/>
  <c r="C48" i="11"/>
  <c r="I47" i="11"/>
  <c r="C47" i="11"/>
  <c r="I46" i="11"/>
  <c r="C46" i="11"/>
  <c r="C45" i="11"/>
  <c r="I44" i="11"/>
  <c r="C44" i="11"/>
  <c r="C43" i="11"/>
  <c r="I42" i="11"/>
  <c r="C42" i="11"/>
  <c r="C41" i="11"/>
  <c r="I40" i="11"/>
  <c r="C40" i="11"/>
  <c r="I39" i="11"/>
  <c r="C39" i="11"/>
  <c r="I38" i="11"/>
  <c r="C38" i="11"/>
  <c r="I37" i="11"/>
  <c r="C37" i="11"/>
  <c r="I36" i="11"/>
  <c r="C36" i="11"/>
  <c r="G35" i="11"/>
  <c r="H35" i="11"/>
  <c r="F35" i="11"/>
  <c r="C35" i="11"/>
  <c r="C34" i="11"/>
  <c r="C32" i="11"/>
  <c r="C30" i="11"/>
  <c r="I29" i="11"/>
  <c r="C29" i="11"/>
  <c r="I28" i="11"/>
  <c r="C28" i="11"/>
  <c r="I27" i="11"/>
  <c r="C27" i="11"/>
  <c r="I26" i="11"/>
  <c r="C26" i="11"/>
  <c r="I25" i="11"/>
  <c r="C25" i="11"/>
  <c r="G24" i="11"/>
  <c r="H24" i="11"/>
  <c r="F24" i="11"/>
  <c r="C24" i="11"/>
  <c r="I23" i="11"/>
  <c r="C23" i="11"/>
  <c r="C22" i="11"/>
  <c r="C21" i="11"/>
  <c r="I20" i="11"/>
  <c r="C20" i="11"/>
  <c r="I19" i="11"/>
  <c r="C19" i="11"/>
  <c r="I18" i="11"/>
  <c r="C18" i="11"/>
  <c r="I17" i="11"/>
  <c r="C17" i="11"/>
  <c r="I16" i="11"/>
  <c r="C16" i="11"/>
  <c r="C15" i="11"/>
  <c r="I14" i="11"/>
  <c r="C14" i="11"/>
  <c r="I13" i="11"/>
  <c r="C13" i="11"/>
  <c r="I12" i="11"/>
  <c r="C12" i="11"/>
  <c r="I11" i="11"/>
  <c r="C11" i="11"/>
  <c r="G10" i="11"/>
  <c r="H10" i="11" s="1"/>
  <c r="F10" i="11"/>
  <c r="C10" i="11"/>
  <c r="C9" i="11"/>
  <c r="C74" i="10"/>
  <c r="C70" i="10"/>
  <c r="I68" i="10"/>
  <c r="C68" i="10"/>
  <c r="I67" i="10"/>
  <c r="C67" i="10"/>
  <c r="I66" i="10"/>
  <c r="C66" i="10"/>
  <c r="I65" i="10"/>
  <c r="C65" i="10"/>
  <c r="C64" i="10"/>
  <c r="C63" i="10"/>
  <c r="C62" i="10"/>
  <c r="C60" i="10"/>
  <c r="I59" i="10"/>
  <c r="C59" i="10"/>
  <c r="I58" i="10"/>
  <c r="C58" i="10"/>
  <c r="I57" i="10"/>
  <c r="C57" i="10"/>
  <c r="I56" i="10"/>
  <c r="C56" i="10"/>
  <c r="I55" i="10"/>
  <c r="C55" i="10"/>
  <c r="C54" i="10"/>
  <c r="C53" i="10"/>
  <c r="C51" i="10"/>
  <c r="I50" i="10"/>
  <c r="C50" i="10"/>
  <c r="I49" i="10"/>
  <c r="C49" i="10"/>
  <c r="I48" i="10"/>
  <c r="C48" i="10"/>
  <c r="I47" i="10"/>
  <c r="C47" i="10"/>
  <c r="I46" i="10"/>
  <c r="C46" i="10"/>
  <c r="C45" i="10"/>
  <c r="I44" i="10"/>
  <c r="C44" i="10"/>
  <c r="I43" i="10"/>
  <c r="C43" i="10"/>
  <c r="I42" i="10"/>
  <c r="C42" i="10"/>
  <c r="I41" i="10"/>
  <c r="C41" i="10"/>
  <c r="I40" i="10"/>
  <c r="C40" i="10"/>
  <c r="C39" i="10"/>
  <c r="I38" i="10"/>
  <c r="C38" i="10"/>
  <c r="I37" i="10"/>
  <c r="C37" i="10"/>
  <c r="I36" i="10"/>
  <c r="C36" i="10"/>
  <c r="G35" i="10"/>
  <c r="H35" i="10" s="1"/>
  <c r="C35" i="10"/>
  <c r="I34" i="10"/>
  <c r="C34" i="10"/>
  <c r="I33" i="10"/>
  <c r="C33" i="10"/>
  <c r="I32" i="10"/>
  <c r="C32" i="10"/>
  <c r="I31" i="10"/>
  <c r="C31" i="10"/>
  <c r="C30" i="10"/>
  <c r="C29" i="10"/>
  <c r="C28" i="10"/>
  <c r="I26" i="10"/>
  <c r="C26" i="10"/>
  <c r="I25" i="10"/>
  <c r="C25" i="10"/>
  <c r="G24" i="10"/>
  <c r="F24" i="10"/>
  <c r="F13" i="9"/>
  <c r="C24" i="10"/>
  <c r="I22" i="10"/>
  <c r="C22" i="10"/>
  <c r="I21" i="10"/>
  <c r="C21" i="10"/>
  <c r="I20" i="10"/>
  <c r="C20" i="10"/>
  <c r="I19" i="10"/>
  <c r="C19" i="10"/>
  <c r="I18" i="10"/>
  <c r="C18" i="10"/>
  <c r="I17" i="10"/>
  <c r="C17" i="10"/>
  <c r="I16" i="10"/>
  <c r="C16" i="10"/>
  <c r="I15" i="10"/>
  <c r="C14" i="10"/>
  <c r="I13" i="10"/>
  <c r="C13" i="10"/>
  <c r="I12" i="10"/>
  <c r="C12" i="10"/>
  <c r="C11" i="10"/>
  <c r="F11" i="9"/>
  <c r="C10" i="10"/>
  <c r="C9" i="10"/>
  <c r="I7" i="10"/>
  <c r="G6" i="10"/>
  <c r="C78" i="9"/>
  <c r="C72" i="9"/>
  <c r="C71" i="9"/>
  <c r="C70" i="9"/>
  <c r="C69" i="9"/>
  <c r="C68" i="9"/>
  <c r="C66" i="9"/>
  <c r="C65" i="9"/>
  <c r="C64" i="9"/>
  <c r="C63" i="9"/>
  <c r="C61" i="9"/>
  <c r="C59" i="9"/>
  <c r="C57" i="9"/>
  <c r="I56" i="9"/>
  <c r="C56" i="9"/>
  <c r="I55" i="9"/>
  <c r="C55" i="9"/>
  <c r="I54" i="9"/>
  <c r="C54" i="9"/>
  <c r="I53" i="9"/>
  <c r="C53" i="9"/>
  <c r="I52" i="9"/>
  <c r="C52" i="9"/>
  <c r="G51" i="9"/>
  <c r="H51" i="9"/>
  <c r="F51" i="9"/>
  <c r="C51" i="9"/>
  <c r="I50" i="9"/>
  <c r="C50" i="9"/>
  <c r="C49" i="9"/>
  <c r="C48" i="9"/>
  <c r="I47" i="9"/>
  <c r="C47" i="9"/>
  <c r="I46" i="9"/>
  <c r="C46" i="9"/>
  <c r="I45" i="9"/>
  <c r="C45" i="9"/>
  <c r="I44" i="9"/>
  <c r="C44" i="9"/>
  <c r="I43" i="9"/>
  <c r="C43" i="9"/>
  <c r="I42" i="9"/>
  <c r="C42" i="9"/>
  <c r="G41" i="9"/>
  <c r="H41" i="9"/>
  <c r="F41" i="9"/>
  <c r="C41" i="9"/>
  <c r="I40" i="9"/>
  <c r="C40" i="9"/>
  <c r="I39" i="9"/>
  <c r="C39" i="9"/>
  <c r="I38" i="9"/>
  <c r="C38" i="9"/>
  <c r="I37" i="9"/>
  <c r="C37" i="9"/>
  <c r="I36" i="9"/>
  <c r="C36" i="9"/>
  <c r="G35" i="9"/>
  <c r="H35" i="9"/>
  <c r="F35" i="9"/>
  <c r="C35" i="9"/>
  <c r="C34" i="9"/>
  <c r="C32" i="9"/>
  <c r="C30" i="9"/>
  <c r="C29" i="9"/>
  <c r="C28" i="9"/>
  <c r="C27" i="9"/>
  <c r="C26" i="9"/>
  <c r="C25" i="9"/>
  <c r="C24" i="9"/>
  <c r="C23" i="9"/>
  <c r="C22" i="9"/>
  <c r="C21" i="9"/>
  <c r="C20" i="9"/>
  <c r="C19" i="9"/>
  <c r="C18" i="9"/>
  <c r="C17" i="9"/>
  <c r="C16" i="9"/>
  <c r="C15" i="9"/>
  <c r="C14" i="9"/>
  <c r="C13" i="9"/>
  <c r="C12" i="9"/>
  <c r="C11" i="9"/>
  <c r="C10" i="9"/>
  <c r="C9" i="9"/>
  <c r="C61" i="8"/>
  <c r="C56" i="8"/>
  <c r="C55" i="8"/>
  <c r="C54" i="8"/>
  <c r="C53" i="8"/>
  <c r="C52" i="8"/>
  <c r="C51" i="8"/>
  <c r="C49" i="8"/>
  <c r="C47" i="8"/>
  <c r="I46" i="8"/>
  <c r="C46" i="8"/>
  <c r="I45" i="8"/>
  <c r="C45" i="8"/>
  <c r="I44" i="8"/>
  <c r="C44" i="8"/>
  <c r="G43" i="8"/>
  <c r="H43" i="8"/>
  <c r="F43" i="8"/>
  <c r="C43" i="8"/>
  <c r="I42" i="8"/>
  <c r="C42" i="8"/>
  <c r="C41" i="8"/>
  <c r="C40" i="8"/>
  <c r="I39" i="8"/>
  <c r="C39" i="8"/>
  <c r="I38" i="8"/>
  <c r="C38" i="8"/>
  <c r="I37" i="8"/>
  <c r="C37" i="8"/>
  <c r="I36" i="8"/>
  <c r="C36" i="8"/>
  <c r="G35" i="8"/>
  <c r="H35" i="8"/>
  <c r="F35" i="8"/>
  <c r="C35" i="8"/>
  <c r="I34" i="8"/>
  <c r="C34" i="8"/>
  <c r="I33" i="8"/>
  <c r="C33" i="8"/>
  <c r="I32" i="8"/>
  <c r="C32" i="8"/>
  <c r="I31" i="8"/>
  <c r="C31" i="8"/>
  <c r="I30" i="8"/>
  <c r="C30" i="8"/>
  <c r="G29" i="8"/>
  <c r="H29" i="8"/>
  <c r="F29" i="8"/>
  <c r="C29" i="8"/>
  <c r="C28" i="8"/>
  <c r="C26" i="8"/>
  <c r="C24" i="8"/>
  <c r="I23" i="8"/>
  <c r="C23" i="8"/>
  <c r="I22" i="8"/>
  <c r="C22" i="8"/>
  <c r="I21" i="8"/>
  <c r="C21" i="8"/>
  <c r="G20" i="8"/>
  <c r="H20" i="8"/>
  <c r="F20" i="8"/>
  <c r="C20" i="8"/>
  <c r="I19" i="8"/>
  <c r="C19" i="8"/>
  <c r="C18" i="8"/>
  <c r="C17" i="8"/>
  <c r="I16" i="8"/>
  <c r="C16" i="8"/>
  <c r="I15" i="8"/>
  <c r="C15" i="8"/>
  <c r="I14" i="8"/>
  <c r="C14" i="8"/>
  <c r="G13" i="8"/>
  <c r="H13" i="8"/>
  <c r="F13" i="8"/>
  <c r="C13" i="8"/>
  <c r="I12" i="8"/>
  <c r="I11" i="8"/>
  <c r="C11" i="8"/>
  <c r="I10" i="8"/>
  <c r="C10" i="8"/>
  <c r="G9" i="8"/>
  <c r="H9" i="8"/>
  <c r="F9" i="8"/>
  <c r="C9" i="8"/>
  <c r="C8" i="8"/>
  <c r="C61" i="7"/>
  <c r="C60" i="7"/>
  <c r="C59" i="7"/>
  <c r="C58" i="7"/>
  <c r="C57" i="7"/>
  <c r="C56" i="7"/>
  <c r="C55" i="7"/>
  <c r="C54" i="7"/>
  <c r="C52" i="7"/>
  <c r="C50" i="7"/>
  <c r="C48" i="7"/>
  <c r="C47" i="7"/>
  <c r="I46" i="7"/>
  <c r="C46" i="7"/>
  <c r="C45" i="7"/>
  <c r="G44" i="7"/>
  <c r="H44" i="7"/>
  <c r="F44" i="7"/>
  <c r="C44" i="7"/>
  <c r="C43" i="7"/>
  <c r="C42" i="7"/>
  <c r="C41" i="7"/>
  <c r="I40" i="7"/>
  <c r="C40" i="7"/>
  <c r="C39" i="7"/>
  <c r="C38" i="7"/>
  <c r="C37" i="7"/>
  <c r="G36" i="7"/>
  <c r="H36" i="7"/>
  <c r="F36" i="7"/>
  <c r="C36" i="7"/>
  <c r="I34" i="7"/>
  <c r="C34" i="7"/>
  <c r="C33" i="7"/>
  <c r="C32" i="7"/>
  <c r="C31" i="7"/>
  <c r="G30" i="7"/>
  <c r="H30" i="7"/>
  <c r="F30" i="7"/>
  <c r="C30" i="7"/>
  <c r="C29" i="7"/>
  <c r="C27" i="7"/>
  <c r="C25" i="7"/>
  <c r="C24" i="7"/>
  <c r="I23" i="7"/>
  <c r="C23" i="7"/>
  <c r="C22" i="7"/>
  <c r="G21" i="7"/>
  <c r="H21" i="7"/>
  <c r="F21" i="7"/>
  <c r="C21" i="7"/>
  <c r="C20" i="7"/>
  <c r="C19" i="7"/>
  <c r="C18" i="7"/>
  <c r="I17" i="7"/>
  <c r="C17" i="7"/>
  <c r="C16" i="7"/>
  <c r="C15" i="7"/>
  <c r="C14" i="7"/>
  <c r="C13" i="7"/>
  <c r="I12" i="7"/>
  <c r="C12" i="7"/>
  <c r="C11" i="7"/>
  <c r="G10" i="7"/>
  <c r="H10" i="7"/>
  <c r="F10" i="7"/>
  <c r="C10" i="7"/>
  <c r="C9" i="7"/>
  <c r="I7" i="7"/>
  <c r="C2" i="6"/>
  <c r="C7" i="4"/>
  <c r="C6" i="4"/>
  <c r="G4" i="4"/>
  <c r="I16" i="12"/>
  <c r="Q10" i="28"/>
  <c r="G15" i="28"/>
  <c r="H31" i="28"/>
  <c r="J15" i="28"/>
  <c r="I23" i="13"/>
  <c r="I45" i="11"/>
  <c r="F41" i="11"/>
  <c r="F51" i="11"/>
  <c r="G51" i="11"/>
  <c r="G49" i="11" s="1"/>
  <c r="I55" i="11"/>
  <c r="I43" i="11"/>
  <c r="G41" i="11"/>
  <c r="H41" i="11" s="1"/>
  <c r="I53" i="11"/>
  <c r="I52" i="11"/>
  <c r="AE27" i="28"/>
  <c r="F20" i="15"/>
  <c r="S30" i="28"/>
  <c r="H22" i="15"/>
  <c r="G20" i="15"/>
  <c r="F9" i="13"/>
  <c r="AH31" i="28"/>
  <c r="I74" i="33"/>
  <c r="G83" i="33"/>
  <c r="I60" i="33"/>
  <c r="I17" i="33"/>
  <c r="I78" i="33"/>
  <c r="G34" i="14"/>
  <c r="F68" i="9"/>
  <c r="G11" i="9"/>
  <c r="H11" i="9" s="1"/>
  <c r="H10" i="10"/>
  <c r="G12" i="9"/>
  <c r="I12" i="9" s="1"/>
  <c r="H14" i="10"/>
  <c r="G13" i="9"/>
  <c r="H13" i="9" s="1"/>
  <c r="H24" i="10"/>
  <c r="K14" i="24"/>
  <c r="I16" i="33"/>
  <c r="H71" i="33"/>
  <c r="H83" i="33"/>
  <c r="G19" i="7"/>
  <c r="H19" i="7"/>
  <c r="Y18" i="28"/>
  <c r="I76" i="33"/>
  <c r="I40" i="33"/>
  <c r="I26" i="33"/>
  <c r="I62" i="33"/>
  <c r="I75" i="33"/>
  <c r="I45" i="33"/>
  <c r="I79" i="33"/>
  <c r="I77" i="33"/>
  <c r="I80" i="33"/>
  <c r="D26" i="25"/>
  <c r="I13" i="8"/>
  <c r="AD18" i="28"/>
  <c r="AD16" i="28"/>
  <c r="W29" i="28"/>
  <c r="I45" i="10"/>
  <c r="G9" i="10"/>
  <c r="H9" i="10" s="1"/>
  <c r="M100" i="6"/>
  <c r="Q88" i="6"/>
  <c r="X36" i="28"/>
  <c r="X34" i="28"/>
  <c r="G12" i="28"/>
  <c r="G8" i="28"/>
  <c r="Q18" i="28"/>
  <c r="Q16" i="28"/>
  <c r="R12" i="28"/>
  <c r="R8" i="28"/>
  <c r="J12" i="28"/>
  <c r="J8" i="28"/>
  <c r="AG18" i="28"/>
  <c r="AG16" i="28"/>
  <c r="J36" i="28"/>
  <c r="AF18" i="28"/>
  <c r="AF16" i="28"/>
  <c r="L12" i="28"/>
  <c r="L8" i="28"/>
  <c r="D203" i="32"/>
  <c r="G16" i="25"/>
  <c r="N15" i="34"/>
  <c r="I35" i="11"/>
  <c r="G20" i="9"/>
  <c r="G68" i="6"/>
  <c r="I24" i="11"/>
  <c r="G42" i="7"/>
  <c r="H42" i="7"/>
  <c r="E12" i="24"/>
  <c r="F19" i="7"/>
  <c r="G9" i="7"/>
  <c r="H9" i="7" s="1"/>
  <c r="Z18" i="28"/>
  <c r="Z16" i="28"/>
  <c r="M68" i="6"/>
  <c r="F9" i="11"/>
  <c r="G36" i="28"/>
  <c r="G34" i="28"/>
  <c r="M9" i="6"/>
  <c r="G34" i="11"/>
  <c r="H34" i="11"/>
  <c r="AE12" i="28"/>
  <c r="AE8" i="28"/>
  <c r="AE18" i="28"/>
  <c r="AE16" i="28"/>
  <c r="H36" i="28"/>
  <c r="H34" i="28"/>
  <c r="G30" i="25"/>
  <c r="N12" i="28"/>
  <c r="N8" i="28"/>
  <c r="N36" i="28"/>
  <c r="N34" i="28"/>
  <c r="Y36" i="28"/>
  <c r="Y34" i="28"/>
  <c r="O12" i="28"/>
  <c r="O8" i="28"/>
  <c r="O36" i="28"/>
  <c r="O34" i="28"/>
  <c r="W12" i="28"/>
  <c r="W8" i="28"/>
  <c r="P36" i="28"/>
  <c r="P34" i="28"/>
  <c r="AA36" i="28"/>
  <c r="AA34" i="28"/>
  <c r="G41" i="8"/>
  <c r="H41" i="8"/>
  <c r="F8" i="8"/>
  <c r="G8" i="8"/>
  <c r="H8" i="8"/>
  <c r="I9" i="8"/>
  <c r="I19" i="9"/>
  <c r="I70" i="9"/>
  <c r="G49" i="9"/>
  <c r="H49" i="9"/>
  <c r="F34" i="9"/>
  <c r="I16" i="24"/>
  <c r="K36" i="28"/>
  <c r="K34" i="28"/>
  <c r="V36" i="28"/>
  <c r="V34" i="28"/>
  <c r="AG29" i="28"/>
  <c r="AG25" i="28"/>
  <c r="L36" i="28"/>
  <c r="W36" i="28"/>
  <c r="W34" i="28"/>
  <c r="H15" i="34"/>
  <c r="N14" i="34"/>
  <c r="V29" i="28"/>
  <c r="V25" i="28"/>
  <c r="AA12" i="28"/>
  <c r="AA8" i="28"/>
  <c r="AE36" i="28"/>
  <c r="AE34" i="28"/>
  <c r="Z29" i="28"/>
  <c r="Z25" i="28"/>
  <c r="AF36" i="28"/>
  <c r="AF34" i="28"/>
  <c r="R18" i="28"/>
  <c r="R16" i="28"/>
  <c r="AC18" i="28"/>
  <c r="AC16" i="28"/>
  <c r="AA29" i="28"/>
  <c r="AA25" i="28"/>
  <c r="G18" i="25"/>
  <c r="I18" i="25" s="1"/>
  <c r="I39" i="10"/>
  <c r="AG12" i="28"/>
  <c r="AG8" i="28"/>
  <c r="T9" i="28"/>
  <c r="V18" i="28"/>
  <c r="V16" i="28"/>
  <c r="K29" i="28"/>
  <c r="K25" i="28"/>
  <c r="O29" i="28"/>
  <c r="O25" i="28"/>
  <c r="V12" i="28"/>
  <c r="V8" i="28"/>
  <c r="P29" i="28"/>
  <c r="P25" i="28"/>
  <c r="I18" i="28"/>
  <c r="I16" i="28"/>
  <c r="F31" i="15"/>
  <c r="I41" i="11"/>
  <c r="I30" i="10"/>
  <c r="I20" i="8"/>
  <c r="I10" i="7"/>
  <c r="E15" i="24"/>
  <c r="I18" i="24"/>
  <c r="I14" i="7"/>
  <c r="I14" i="24"/>
  <c r="K18" i="24"/>
  <c r="F29" i="7"/>
  <c r="E143" i="32"/>
  <c r="E30" i="32"/>
  <c r="I24" i="10"/>
  <c r="G24" i="9"/>
  <c r="D210" i="32"/>
  <c r="I18" i="9"/>
  <c r="F15" i="9"/>
  <c r="AG36" i="28"/>
  <c r="AG34" i="28"/>
  <c r="H29" i="28"/>
  <c r="H25" i="28"/>
  <c r="I29" i="28"/>
  <c r="I25" i="28"/>
  <c r="T33" i="28"/>
  <c r="L18" i="28"/>
  <c r="L16" i="28"/>
  <c r="L29" i="28"/>
  <c r="L25" i="28"/>
  <c r="AH9" i="28"/>
  <c r="N29" i="28"/>
  <c r="N25" i="28"/>
  <c r="AH38" i="28"/>
  <c r="AH36" i="28"/>
  <c r="AH33" i="28"/>
  <c r="R36" i="28"/>
  <c r="R34" i="28"/>
  <c r="S36" i="28"/>
  <c r="S34" i="28"/>
  <c r="G100" i="6"/>
  <c r="Q77" i="6"/>
  <c r="K55" i="6"/>
  <c r="I29" i="6"/>
  <c r="M29" i="6"/>
  <c r="J29" i="6"/>
  <c r="G55" i="6"/>
  <c r="E17" i="25"/>
  <c r="D17" i="25"/>
  <c r="N9" i="6"/>
  <c r="H67" i="6" s="1"/>
  <c r="I9" i="6"/>
  <c r="H32" i="15"/>
  <c r="H9" i="15"/>
  <c r="H36" i="14"/>
  <c r="I19" i="14"/>
  <c r="I29" i="14"/>
  <c r="I15" i="14"/>
  <c r="I25" i="14"/>
  <c r="I30" i="14"/>
  <c r="I9" i="14"/>
  <c r="I11" i="14"/>
  <c r="I28" i="14"/>
  <c r="I23" i="14"/>
  <c r="I30" i="13"/>
  <c r="F29" i="13"/>
  <c r="G9" i="13"/>
  <c r="H9" i="13"/>
  <c r="F22" i="12"/>
  <c r="F9" i="12"/>
  <c r="F49" i="11"/>
  <c r="F65" i="11" s="1"/>
  <c r="F34" i="11"/>
  <c r="F22" i="11"/>
  <c r="F32" i="11" s="1"/>
  <c r="J28" i="11" s="1"/>
  <c r="I35" i="9"/>
  <c r="F41" i="8"/>
  <c r="I29" i="8"/>
  <c r="G18" i="8"/>
  <c r="H18" i="8"/>
  <c r="F18" i="8"/>
  <c r="F42" i="7"/>
  <c r="G29" i="7"/>
  <c r="H29" i="7"/>
  <c r="I21" i="7"/>
  <c r="F9" i="7"/>
  <c r="I36" i="7"/>
  <c r="F15" i="24"/>
  <c r="I43" i="8"/>
  <c r="I15" i="11"/>
  <c r="E28" i="32"/>
  <c r="C194" i="32"/>
  <c r="E48" i="32"/>
  <c r="D197" i="32"/>
  <c r="E102" i="32"/>
  <c r="D202" i="32"/>
  <c r="E139" i="32"/>
  <c r="D206" i="32"/>
  <c r="G31" i="15"/>
  <c r="G8" i="15"/>
  <c r="H9" i="14"/>
  <c r="G32" i="14"/>
  <c r="I14" i="9"/>
  <c r="G9" i="12"/>
  <c r="I10" i="12"/>
  <c r="G49" i="12"/>
  <c r="H49" i="12" s="1"/>
  <c r="I28" i="9"/>
  <c r="G35" i="25"/>
  <c r="H63" i="14"/>
  <c r="T15" i="28"/>
  <c r="G18" i="28"/>
  <c r="G16" i="28"/>
  <c r="G19" i="25"/>
  <c r="I19" i="25" s="1"/>
  <c r="G29" i="25"/>
  <c r="I17" i="14"/>
  <c r="I22" i="14"/>
  <c r="I10" i="14"/>
  <c r="I26" i="14"/>
  <c r="I11" i="13"/>
  <c r="K77" i="6"/>
  <c r="H20" i="15"/>
  <c r="I15" i="12"/>
  <c r="AC34" i="28"/>
  <c r="G88" i="6"/>
  <c r="J100" i="6"/>
  <c r="T30" i="28"/>
  <c r="T29" i="28"/>
  <c r="AH27" i="28"/>
  <c r="I12" i="14"/>
  <c r="I20" i="14"/>
  <c r="I24" i="14"/>
  <c r="I16" i="14"/>
  <c r="I27" i="14"/>
  <c r="D204" i="32"/>
  <c r="J18" i="28"/>
  <c r="J16" i="28"/>
  <c r="M18" i="28"/>
  <c r="M16" i="28"/>
  <c r="AH30" i="28"/>
  <c r="AH29" i="28"/>
  <c r="I14" i="34"/>
  <c r="S27" i="28"/>
  <c r="G67" i="14"/>
  <c r="I51" i="11"/>
  <c r="N68" i="6"/>
  <c r="I30" i="7"/>
  <c r="D211" i="32"/>
  <c r="F35" i="14"/>
  <c r="K16" i="24"/>
  <c r="I19" i="24"/>
  <c r="Y29" i="28"/>
  <c r="Y25" i="28"/>
  <c r="O14" i="34"/>
  <c r="F214" i="32"/>
  <c r="H14" i="14"/>
  <c r="H68" i="6"/>
  <c r="H38" i="15"/>
  <c r="F12" i="24"/>
  <c r="J88" i="6"/>
  <c r="AA18" i="28"/>
  <c r="AA16" i="28"/>
  <c r="H55" i="6"/>
  <c r="I14" i="10"/>
  <c r="I26" i="9"/>
  <c r="I44" i="7"/>
  <c r="I35" i="12"/>
  <c r="F28" i="8"/>
  <c r="H18" i="28"/>
  <c r="H16" i="28"/>
  <c r="G21" i="25"/>
  <c r="M77" i="6"/>
  <c r="T27" i="28"/>
  <c r="I10" i="10"/>
  <c r="H100" i="6"/>
  <c r="J27" i="28"/>
  <c r="AD29" i="28"/>
  <c r="AD25" i="28"/>
  <c r="F34" i="12"/>
  <c r="AH10" i="28"/>
  <c r="AH15" i="28"/>
  <c r="S18" i="28"/>
  <c r="S16" i="28"/>
  <c r="F29" i="10"/>
  <c r="I71" i="9"/>
  <c r="F20" i="9"/>
  <c r="I17" i="9"/>
  <c r="F9" i="10"/>
  <c r="AH12" i="28"/>
  <c r="AH18" i="28"/>
  <c r="AH16" i="28"/>
  <c r="N100" i="6"/>
  <c r="G29" i="6"/>
  <c r="M87" i="6" s="1"/>
  <c r="G77" i="6"/>
  <c r="M55" i="6"/>
  <c r="G13" i="25"/>
  <c r="P100" i="6"/>
  <c r="E55" i="6"/>
  <c r="E29" i="6"/>
  <c r="P29" i="6"/>
  <c r="P87" i="6" s="1"/>
  <c r="H29" i="6"/>
  <c r="H50" i="6" s="1"/>
  <c r="K29" i="6"/>
  <c r="N55" i="6"/>
  <c r="H113" i="6" s="1"/>
  <c r="N77" i="6"/>
  <c r="H9" i="6"/>
  <c r="D10" i="25"/>
  <c r="G9" i="6"/>
  <c r="J9" i="6"/>
  <c r="E9" i="6"/>
  <c r="E54" i="6" s="1"/>
  <c r="I17" i="24"/>
  <c r="K17" i="24"/>
  <c r="G34" i="9"/>
  <c r="I41" i="9"/>
  <c r="I11" i="9"/>
  <c r="I13" i="24"/>
  <c r="K13" i="24"/>
  <c r="Q68" i="6"/>
  <c r="K68" i="6"/>
  <c r="N29" i="6"/>
  <c r="N87" i="6" s="1"/>
  <c r="I14" i="14"/>
  <c r="G22" i="11"/>
  <c r="G10" i="9"/>
  <c r="I35" i="8"/>
  <c r="I23" i="9"/>
  <c r="I24" i="13"/>
  <c r="I36" i="13"/>
  <c r="G29" i="13"/>
  <c r="H29" i="13"/>
  <c r="K12" i="28"/>
  <c r="K8" i="28"/>
  <c r="K100" i="6"/>
  <c r="Q100" i="6"/>
  <c r="O9" i="6"/>
  <c r="T10" i="28"/>
  <c r="I16" i="9"/>
  <c r="I25" i="9"/>
  <c r="H28" i="14"/>
  <c r="G28" i="8"/>
  <c r="H28" i="8"/>
  <c r="R29" i="28"/>
  <c r="R25" i="28"/>
  <c r="AE29" i="28"/>
  <c r="AE25" i="28"/>
  <c r="Q29" i="6"/>
  <c r="Q87" i="6" s="1"/>
  <c r="E26" i="25"/>
  <c r="K88" i="6"/>
  <c r="I21" i="14"/>
  <c r="I18" i="14"/>
  <c r="E21" i="32"/>
  <c r="C193" i="32"/>
  <c r="J77" i="6"/>
  <c r="P55" i="6"/>
  <c r="I88" i="6"/>
  <c r="O88" i="6"/>
  <c r="O15" i="34"/>
  <c r="I15" i="34"/>
  <c r="M12" i="28"/>
  <c r="M8" i="28"/>
  <c r="O18" i="28"/>
  <c r="O16" i="28"/>
  <c r="W18" i="28"/>
  <c r="W16" i="28"/>
  <c r="G25" i="28"/>
  <c r="M29" i="28"/>
  <c r="M25" i="28"/>
  <c r="Q36" i="28"/>
  <c r="Q34" i="28"/>
  <c r="Y16" i="28"/>
  <c r="X18" i="28"/>
  <c r="X16" i="28"/>
  <c r="I12" i="28"/>
  <c r="I8" i="28"/>
  <c r="J29" i="28"/>
  <c r="X29" i="28"/>
  <c r="X25" i="28"/>
  <c r="M36" i="28"/>
  <c r="M34" i="28"/>
  <c r="L34" i="28"/>
  <c r="X12" i="28"/>
  <c r="X8" i="28"/>
  <c r="N18" i="28"/>
  <c r="N16" i="28"/>
  <c r="AC29" i="28"/>
  <c r="AC25" i="28"/>
  <c r="J34" i="28"/>
  <c r="Z12" i="28"/>
  <c r="Z8" i="28"/>
  <c r="Z36" i="28"/>
  <c r="Z34" i="28"/>
  <c r="Y12" i="28"/>
  <c r="Y8" i="28"/>
  <c r="AC12" i="28"/>
  <c r="AC8" i="28"/>
  <c r="W25" i="28"/>
  <c r="AF29" i="28"/>
  <c r="AF25" i="28"/>
  <c r="AD36" i="28"/>
  <c r="AD34" i="28"/>
  <c r="AD12" i="28"/>
  <c r="AD8" i="28"/>
  <c r="AF12" i="28"/>
  <c r="AF8" i="28"/>
  <c r="T12" i="28"/>
  <c r="T18" i="28"/>
  <c r="T16" i="28"/>
  <c r="T36" i="28"/>
  <c r="P18" i="28"/>
  <c r="P16" i="28"/>
  <c r="I36" i="28"/>
  <c r="I34" i="28"/>
  <c r="Q12" i="28"/>
  <c r="Q8" i="28"/>
  <c r="H12" i="28"/>
  <c r="H8" i="28"/>
  <c r="P12" i="28"/>
  <c r="P8" i="28"/>
  <c r="S12" i="28"/>
  <c r="S8" i="28"/>
  <c r="K18" i="28"/>
  <c r="K16" i="28"/>
  <c r="Q29" i="28"/>
  <c r="Q25" i="28"/>
  <c r="S29" i="28"/>
  <c r="H14" i="34"/>
  <c r="F66" i="33"/>
  <c r="E66" i="33"/>
  <c r="I46" i="33"/>
  <c r="I22" i="33"/>
  <c r="I35" i="25"/>
  <c r="I29" i="25"/>
  <c r="I30" i="25"/>
  <c r="I11" i="25"/>
  <c r="G56" i="7"/>
  <c r="I19" i="7"/>
  <c r="S25" i="28"/>
  <c r="S41" i="28"/>
  <c r="S99" i="28"/>
  <c r="I48" i="33"/>
  <c r="I34" i="33"/>
  <c r="I57" i="33"/>
  <c r="I53" i="33"/>
  <c r="I20" i="33"/>
  <c r="I54" i="33"/>
  <c r="I81" i="33"/>
  <c r="I58" i="33"/>
  <c r="I47" i="33"/>
  <c r="E81" i="33"/>
  <c r="I39" i="33"/>
  <c r="I18" i="33"/>
  <c r="I29" i="33"/>
  <c r="I37" i="33"/>
  <c r="I64" i="33"/>
  <c r="I50" i="33"/>
  <c r="I56" i="33"/>
  <c r="G27" i="7"/>
  <c r="M27" i="6"/>
  <c r="J25" i="13"/>
  <c r="E22" i="24"/>
  <c r="L13" i="24"/>
  <c r="I12" i="24"/>
  <c r="I8" i="8"/>
  <c r="F55" i="8"/>
  <c r="J50" i="6"/>
  <c r="J53" i="6" s="1"/>
  <c r="M50" i="6"/>
  <c r="M53" i="6" s="1"/>
  <c r="AC41" i="28"/>
  <c r="AC99" i="28"/>
  <c r="Y47" i="28"/>
  <c r="F56" i="7"/>
  <c r="I42" i="7"/>
  <c r="G55" i="7"/>
  <c r="G50" i="7"/>
  <c r="H50" i="7"/>
  <c r="K15" i="24"/>
  <c r="I9" i="7"/>
  <c r="N47" i="28"/>
  <c r="N41" i="28"/>
  <c r="N99" i="28"/>
  <c r="V47" i="28"/>
  <c r="K41" i="28"/>
  <c r="K99" i="28"/>
  <c r="L46" i="28"/>
  <c r="AA41" i="28"/>
  <c r="AA99" i="28"/>
  <c r="I41" i="8"/>
  <c r="F54" i="8"/>
  <c r="G26" i="8"/>
  <c r="H26" i="8"/>
  <c r="I9" i="12"/>
  <c r="W41" i="28"/>
  <c r="W99" i="28"/>
  <c r="F22" i="24"/>
  <c r="F32" i="12"/>
  <c r="J12" i="12" s="1"/>
  <c r="I15" i="24"/>
  <c r="W47" i="28"/>
  <c r="O46" i="28"/>
  <c r="M41" i="28"/>
  <c r="M99" i="28"/>
  <c r="X47" i="28"/>
  <c r="L41" i="28"/>
  <c r="L99" i="28"/>
  <c r="Z46" i="28"/>
  <c r="X41" i="28"/>
  <c r="X99" i="28"/>
  <c r="AC47" i="28"/>
  <c r="AA23" i="28"/>
  <c r="AA98" i="28"/>
  <c r="P47" i="28"/>
  <c r="H41" i="28"/>
  <c r="H99" i="28"/>
  <c r="G55" i="8"/>
  <c r="I29" i="7"/>
  <c r="K12" i="24"/>
  <c r="F50" i="7"/>
  <c r="AG41" i="28"/>
  <c r="AG99" i="28"/>
  <c r="AG47" i="28"/>
  <c r="AE47" i="28"/>
  <c r="O41" i="28"/>
  <c r="O99" i="28"/>
  <c r="G41" i="28"/>
  <c r="G99" i="28"/>
  <c r="AB47" i="28"/>
  <c r="J25" i="28"/>
  <c r="J41" i="28"/>
  <c r="J99" i="28"/>
  <c r="L23" i="28"/>
  <c r="L98" i="28"/>
  <c r="V41" i="28"/>
  <c r="V99" i="28"/>
  <c r="O47" i="28"/>
  <c r="AE41" i="28"/>
  <c r="AE99" i="28"/>
  <c r="P41" i="28"/>
  <c r="P99" i="28"/>
  <c r="M23" i="28"/>
  <c r="M98" i="28"/>
  <c r="S47" i="28"/>
  <c r="R47" i="28"/>
  <c r="M54" i="6"/>
  <c r="I50" i="6"/>
  <c r="I53" i="6" s="1"/>
  <c r="H31" i="15"/>
  <c r="G60" i="15"/>
  <c r="G29" i="15"/>
  <c r="G69" i="14"/>
  <c r="F45" i="13"/>
  <c r="I9" i="13"/>
  <c r="F49" i="8"/>
  <c r="J34" i="8" s="1"/>
  <c r="F26" i="8"/>
  <c r="I18" i="8"/>
  <c r="F27" i="7"/>
  <c r="I27" i="7" s="1"/>
  <c r="F55" i="7"/>
  <c r="I41" i="28"/>
  <c r="I99" i="28"/>
  <c r="AG23" i="28"/>
  <c r="AG98" i="28"/>
  <c r="H32" i="14"/>
  <c r="Z41" i="28"/>
  <c r="Z99" i="28"/>
  <c r="J23" i="28"/>
  <c r="J98" i="28"/>
  <c r="AB99" i="28"/>
  <c r="K46" i="28"/>
  <c r="V46" i="28"/>
  <c r="J47" i="28"/>
  <c r="F34" i="14"/>
  <c r="F67" i="14" s="1"/>
  <c r="I63" i="14" s="1"/>
  <c r="H35" i="14"/>
  <c r="Y41" i="28"/>
  <c r="Y99" i="28"/>
  <c r="L47" i="28"/>
  <c r="M47" i="28"/>
  <c r="Q47" i="28"/>
  <c r="AE23" i="28"/>
  <c r="AE98" i="28"/>
  <c r="O23" i="28"/>
  <c r="O98" i="28"/>
  <c r="I47" i="28"/>
  <c r="W23" i="28"/>
  <c r="W98" i="28"/>
  <c r="S23" i="28"/>
  <c r="S98" i="28"/>
  <c r="I9" i="10"/>
  <c r="AF41" i="28"/>
  <c r="AF99" i="28"/>
  <c r="AF47" i="28"/>
  <c r="P50" i="6"/>
  <c r="J108" i="6" s="1"/>
  <c r="D25" i="25"/>
  <c r="J87" i="6"/>
  <c r="G27" i="6"/>
  <c r="J54" i="6"/>
  <c r="N67" i="6"/>
  <c r="H23" i="28"/>
  <c r="H98" i="28"/>
  <c r="H46" i="28"/>
  <c r="O67" i="6"/>
  <c r="AG46" i="28"/>
  <c r="W46" i="28"/>
  <c r="E25" i="25"/>
  <c r="G25" i="25" s="1"/>
  <c r="I25" i="25" s="1"/>
  <c r="K87" i="6"/>
  <c r="I22" i="11"/>
  <c r="AA46" i="28"/>
  <c r="R41" i="28"/>
  <c r="R99" i="28"/>
  <c r="N50" i="6"/>
  <c r="H108" i="6" s="1"/>
  <c r="Q41" i="28"/>
  <c r="Q99" i="28"/>
  <c r="H47" i="28"/>
  <c r="I29" i="13"/>
  <c r="G45" i="13"/>
  <c r="H45" i="13"/>
  <c r="AD41" i="28"/>
  <c r="AD99" i="28"/>
  <c r="I28" i="8"/>
  <c r="G49" i="8"/>
  <c r="H49" i="8"/>
  <c r="G54" i="8"/>
  <c r="X23" i="28"/>
  <c r="X98" i="28"/>
  <c r="X46" i="28"/>
  <c r="AC23" i="28"/>
  <c r="AC98" i="28"/>
  <c r="AC46" i="28"/>
  <c r="AC49" i="28"/>
  <c r="AD23" i="28"/>
  <c r="AD98" i="28"/>
  <c r="AD46" i="28"/>
  <c r="AD47" i="28"/>
  <c r="AE46" i="28"/>
  <c r="P23" i="28"/>
  <c r="P98" i="28"/>
  <c r="P46" i="28"/>
  <c r="T34" i="28"/>
  <c r="T47" i="28"/>
  <c r="G47" i="28"/>
  <c r="AF46" i="28"/>
  <c r="AF23" i="28"/>
  <c r="AF98" i="28"/>
  <c r="AB46" i="28"/>
  <c r="AB98" i="28"/>
  <c r="R46" i="28"/>
  <c r="R23" i="28"/>
  <c r="R98" i="28"/>
  <c r="G46" i="28"/>
  <c r="T8" i="28"/>
  <c r="G23" i="28"/>
  <c r="G98" i="28"/>
  <c r="K47" i="28"/>
  <c r="K23" i="28"/>
  <c r="K98" i="28"/>
  <c r="Q46" i="28"/>
  <c r="Q23" i="28"/>
  <c r="Q98" i="28"/>
  <c r="I46" i="28"/>
  <c r="I23" i="28"/>
  <c r="I98" i="28"/>
  <c r="V23" i="28"/>
  <c r="V98" i="28"/>
  <c r="M46" i="28"/>
  <c r="AH34" i="28"/>
  <c r="AH8" i="28"/>
  <c r="Z47" i="28"/>
  <c r="Z23" i="28"/>
  <c r="Z98" i="28"/>
  <c r="Y23" i="28"/>
  <c r="Y98" i="28"/>
  <c r="Y46" i="28"/>
  <c r="N46" i="28"/>
  <c r="N23" i="28"/>
  <c r="N98" i="28"/>
  <c r="AA47" i="28"/>
  <c r="E71" i="33"/>
  <c r="F71" i="33"/>
  <c r="F83" i="33" s="1"/>
  <c r="K8" i="34"/>
  <c r="I8" i="34" s="1"/>
  <c r="L12" i="24"/>
  <c r="L18" i="24"/>
  <c r="G52" i="7"/>
  <c r="G57" i="7" s="1"/>
  <c r="J35" i="7"/>
  <c r="I22" i="24"/>
  <c r="J23" i="13"/>
  <c r="E21" i="24"/>
  <c r="L15" i="24"/>
  <c r="L14" i="24"/>
  <c r="L16" i="24"/>
  <c r="I51" i="33"/>
  <c r="I52" i="33"/>
  <c r="I32" i="33"/>
  <c r="I19" i="33"/>
  <c r="I24" i="33"/>
  <c r="I33" i="33"/>
  <c r="J17" i="13"/>
  <c r="J24" i="13"/>
  <c r="J10" i="13"/>
  <c r="H49" i="28"/>
  <c r="L17" i="24"/>
  <c r="M8" i="34"/>
  <c r="F47" i="13"/>
  <c r="F51" i="13" s="1"/>
  <c r="J11" i="12"/>
  <c r="J15" i="12"/>
  <c r="J29" i="12"/>
  <c r="J14" i="12"/>
  <c r="J10" i="12"/>
  <c r="J19" i="12"/>
  <c r="J23" i="12"/>
  <c r="J17" i="12"/>
  <c r="J29" i="11"/>
  <c r="K9" i="34"/>
  <c r="J27" i="12"/>
  <c r="J13" i="12"/>
  <c r="W49" i="28"/>
  <c r="T25" i="28"/>
  <c r="T46" i="28"/>
  <c r="J43" i="28"/>
  <c r="P49" i="28"/>
  <c r="AG49" i="28"/>
  <c r="AF49" i="28"/>
  <c r="AB49" i="28"/>
  <c r="Y49" i="28"/>
  <c r="N49" i="28"/>
  <c r="X49" i="28"/>
  <c r="AD49" i="28"/>
  <c r="J49" i="28"/>
  <c r="W43" i="28"/>
  <c r="W48" i="28"/>
  <c r="G54" i="7"/>
  <c r="H54" i="7" s="1"/>
  <c r="L49" i="28"/>
  <c r="I50" i="7"/>
  <c r="J29" i="7"/>
  <c r="F21" i="24"/>
  <c r="K22" i="24"/>
  <c r="J44" i="7"/>
  <c r="J36" i="7"/>
  <c r="J42" i="7"/>
  <c r="V49" i="28"/>
  <c r="K49" i="28"/>
  <c r="M43" i="28"/>
  <c r="M48" i="28"/>
  <c r="AA49" i="28"/>
  <c r="M49" i="28"/>
  <c r="AA43" i="28"/>
  <c r="AA48" i="28"/>
  <c r="J19" i="8"/>
  <c r="J16" i="8"/>
  <c r="G49" i="28"/>
  <c r="Z49" i="28"/>
  <c r="L43" i="28"/>
  <c r="H43" i="28"/>
  <c r="I49" i="28"/>
  <c r="AE49" i="28"/>
  <c r="O43" i="28"/>
  <c r="S46" i="28"/>
  <c r="J46" i="28"/>
  <c r="O49" i="28"/>
  <c r="J29" i="13"/>
  <c r="J32" i="8"/>
  <c r="J13" i="8"/>
  <c r="J15" i="8"/>
  <c r="F51" i="8"/>
  <c r="J10" i="8"/>
  <c r="J20" i="8"/>
  <c r="J8" i="8"/>
  <c r="J14" i="8"/>
  <c r="J9" i="34"/>
  <c r="J12" i="8"/>
  <c r="J22" i="8"/>
  <c r="J11" i="8"/>
  <c r="J9" i="8"/>
  <c r="J18" i="8"/>
  <c r="J23" i="8"/>
  <c r="J21" i="8"/>
  <c r="J46" i="7"/>
  <c r="J34" i="7"/>
  <c r="J32" i="7"/>
  <c r="J40" i="7"/>
  <c r="J37" i="7"/>
  <c r="F54" i="7"/>
  <c r="J31" i="7"/>
  <c r="J33" i="7"/>
  <c r="L8" i="34"/>
  <c r="O8" i="34"/>
  <c r="J30" i="7"/>
  <c r="J38" i="7"/>
  <c r="J39" i="7"/>
  <c r="J43" i="7"/>
  <c r="J45" i="7"/>
  <c r="J47" i="7"/>
  <c r="F52" i="7"/>
  <c r="Q49" i="28"/>
  <c r="S43" i="28"/>
  <c r="S49" i="28"/>
  <c r="AG43" i="28"/>
  <c r="K13" i="34"/>
  <c r="G74" i="14"/>
  <c r="J30" i="13"/>
  <c r="J37" i="13"/>
  <c r="J41" i="13"/>
  <c r="J35" i="13"/>
  <c r="J38" i="13"/>
  <c r="J39" i="13"/>
  <c r="J40" i="13"/>
  <c r="J31" i="13"/>
  <c r="J43" i="13"/>
  <c r="J34" i="13"/>
  <c r="J36" i="13"/>
  <c r="J32" i="13"/>
  <c r="J42" i="13"/>
  <c r="J33" i="13"/>
  <c r="F53" i="8"/>
  <c r="J31" i="8"/>
  <c r="J33" i="8"/>
  <c r="J44" i="8"/>
  <c r="J38" i="8"/>
  <c r="J43" i="8"/>
  <c r="J45" i="8"/>
  <c r="J46" i="8"/>
  <c r="I26" i="8"/>
  <c r="J23" i="7"/>
  <c r="J11" i="7"/>
  <c r="J22" i="7"/>
  <c r="J8" i="34"/>
  <c r="H8" i="34" s="1"/>
  <c r="J20" i="7"/>
  <c r="J21" i="7"/>
  <c r="J12" i="7"/>
  <c r="J24" i="7"/>
  <c r="J9" i="7"/>
  <c r="J15" i="7"/>
  <c r="J19" i="7"/>
  <c r="J13" i="7"/>
  <c r="J17" i="7"/>
  <c r="J14" i="7"/>
  <c r="J16" i="7"/>
  <c r="J10" i="7"/>
  <c r="H34" i="14"/>
  <c r="AE43" i="28"/>
  <c r="P53" i="6"/>
  <c r="P108" i="6"/>
  <c r="P43" i="28"/>
  <c r="G53" i="8"/>
  <c r="H53" i="8"/>
  <c r="M9" i="34"/>
  <c r="I49" i="8"/>
  <c r="G51" i="8"/>
  <c r="I45" i="13"/>
  <c r="R49" i="28"/>
  <c r="X43" i="28"/>
  <c r="AC43" i="28"/>
  <c r="AD43" i="28"/>
  <c r="K43" i="28"/>
  <c r="Z43" i="28"/>
  <c r="T23" i="28"/>
  <c r="T98" i="28"/>
  <c r="R43" i="28"/>
  <c r="Q43" i="28"/>
  <c r="N43" i="28"/>
  <c r="AH41" i="28"/>
  <c r="AH99" i="28"/>
  <c r="AH47" i="28"/>
  <c r="V43" i="28"/>
  <c r="AH23" i="28"/>
  <c r="AH98" i="28"/>
  <c r="AH46" i="28"/>
  <c r="I43" i="28"/>
  <c r="AF43" i="28"/>
  <c r="J48" i="28"/>
  <c r="Y43" i="28"/>
  <c r="G43" i="28"/>
  <c r="E83" i="33"/>
  <c r="K21" i="24"/>
  <c r="J54" i="7"/>
  <c r="I66" i="33"/>
  <c r="I71" i="33" s="1"/>
  <c r="I83" i="33" s="1"/>
  <c r="T41" i="28"/>
  <c r="T99" i="28"/>
  <c r="L21" i="24"/>
  <c r="F56" i="8"/>
  <c r="AG97" i="28"/>
  <c r="O97" i="28"/>
  <c r="S97" i="28"/>
  <c r="X97" i="28"/>
  <c r="AA97" i="28"/>
  <c r="H97" i="28"/>
  <c r="W97" i="28"/>
  <c r="L97" i="28"/>
  <c r="M97" i="28"/>
  <c r="AD97" i="28"/>
  <c r="N97" i="28"/>
  <c r="Q97" i="28"/>
  <c r="AB97" i="28"/>
  <c r="R97" i="28"/>
  <c r="V97" i="28"/>
  <c r="G97" i="28"/>
  <c r="I97" i="28"/>
  <c r="Y97" i="28"/>
  <c r="Z97" i="28"/>
  <c r="P97" i="28"/>
  <c r="AE97" i="28"/>
  <c r="K97" i="28"/>
  <c r="J97" i="28"/>
  <c r="AC97" i="28"/>
  <c r="AF97" i="28"/>
  <c r="S48" i="28"/>
  <c r="AH49" i="28"/>
  <c r="I21" i="24"/>
  <c r="I54" i="7"/>
  <c r="F57" i="7"/>
  <c r="L48" i="28"/>
  <c r="O48" i="28"/>
  <c r="N9" i="34"/>
  <c r="H48" i="28"/>
  <c r="AG48" i="28"/>
  <c r="G56" i="8"/>
  <c r="N8" i="34"/>
  <c r="AE48" i="28"/>
  <c r="T49" i="28"/>
  <c r="I39" i="14"/>
  <c r="I40" i="14"/>
  <c r="I57" i="14"/>
  <c r="I48" i="14"/>
  <c r="I9" i="34"/>
  <c r="P48" i="28"/>
  <c r="AC48" i="28"/>
  <c r="X48" i="28"/>
  <c r="AD48" i="28"/>
  <c r="N48" i="28"/>
  <c r="K48" i="28"/>
  <c r="Y48" i="28"/>
  <c r="AH43" i="28"/>
  <c r="R48" i="28"/>
  <c r="AF48" i="28"/>
  <c r="I48" i="28"/>
  <c r="AB48" i="28"/>
  <c r="Z48" i="28"/>
  <c r="G48" i="28"/>
  <c r="V48" i="28"/>
  <c r="Q48" i="28"/>
  <c r="T43" i="28"/>
  <c r="AH97" i="28"/>
  <c r="T97" i="28"/>
  <c r="T48" i="28"/>
  <c r="AH48" i="28"/>
  <c r="F60" i="15" l="1"/>
  <c r="F29" i="15"/>
  <c r="H8" i="15"/>
  <c r="E8" i="15"/>
  <c r="H14" i="15"/>
  <c r="D29" i="15"/>
  <c r="E60" i="15"/>
  <c r="E29" i="15"/>
  <c r="H29" i="15"/>
  <c r="I25" i="15"/>
  <c r="I10" i="15"/>
  <c r="I9" i="15"/>
  <c r="I8" i="15"/>
  <c r="I24" i="15"/>
  <c r="I26" i="15"/>
  <c r="I12" i="15"/>
  <c r="I22" i="15"/>
  <c r="I13" i="15"/>
  <c r="I14" i="15"/>
  <c r="I21" i="15"/>
  <c r="I20" i="15"/>
  <c r="I23" i="15"/>
  <c r="I27" i="15"/>
  <c r="I16" i="15"/>
  <c r="I17" i="15"/>
  <c r="I11" i="15"/>
  <c r="H47" i="15"/>
  <c r="E61" i="15"/>
  <c r="F54" i="15"/>
  <c r="F56" i="15" s="1"/>
  <c r="F61" i="15"/>
  <c r="D61" i="15"/>
  <c r="D54" i="15"/>
  <c r="E56" i="15"/>
  <c r="E44" i="25"/>
  <c r="G33" i="25"/>
  <c r="I33" i="25" s="1"/>
  <c r="I55" i="6"/>
  <c r="Q50" i="6"/>
  <c r="K50" i="6"/>
  <c r="D39" i="25" s="1"/>
  <c r="Q55" i="6"/>
  <c r="K113" i="6" s="1"/>
  <c r="I100" i="6"/>
  <c r="G113" i="6"/>
  <c r="I113" i="6"/>
  <c r="S50" i="6"/>
  <c r="S53" i="6" s="1"/>
  <c r="S55" i="6"/>
  <c r="P111" i="6"/>
  <c r="M56" i="6"/>
  <c r="H53" i="6"/>
  <c r="N108" i="6"/>
  <c r="O50" i="6"/>
  <c r="I87" i="6"/>
  <c r="O54" i="6"/>
  <c r="O87" i="6"/>
  <c r="J111" i="6"/>
  <c r="H87" i="6"/>
  <c r="N54" i="6"/>
  <c r="H54" i="6"/>
  <c r="H112" i="6" s="1"/>
  <c r="G50" i="6"/>
  <c r="G53" i="6" s="1"/>
  <c r="G111" i="6" s="1"/>
  <c r="G26" i="25"/>
  <c r="H88" i="6"/>
  <c r="N53" i="6"/>
  <c r="M52" i="6"/>
  <c r="N27" i="6"/>
  <c r="I77" i="6"/>
  <c r="I27" i="6"/>
  <c r="O27" i="6"/>
  <c r="J27" i="6"/>
  <c r="J52" i="6" s="1"/>
  <c r="O77" i="6"/>
  <c r="G85" i="6"/>
  <c r="P77" i="6"/>
  <c r="I56" i="6"/>
  <c r="O85" i="6"/>
  <c r="I52" i="6"/>
  <c r="I85" i="6"/>
  <c r="K27" i="6"/>
  <c r="D23" i="25" s="1"/>
  <c r="J18" i="25" s="1"/>
  <c r="D9" i="25"/>
  <c r="D43" i="25" s="1"/>
  <c r="K54" i="6"/>
  <c r="I67" i="6"/>
  <c r="I54" i="6"/>
  <c r="J56" i="6"/>
  <c r="H27" i="6"/>
  <c r="O68" i="6"/>
  <c r="P9" i="6"/>
  <c r="P68" i="6"/>
  <c r="Q9" i="6"/>
  <c r="G14" i="25"/>
  <c r="I14" i="25" s="1"/>
  <c r="D198" i="32"/>
  <c r="E37" i="32"/>
  <c r="C5" i="9"/>
  <c r="E106" i="37"/>
  <c r="D151" i="37"/>
  <c r="D200" i="32"/>
  <c r="D209" i="32"/>
  <c r="E31" i="37"/>
  <c r="D147" i="37"/>
  <c r="E20" i="37"/>
  <c r="E91" i="32"/>
  <c r="E36" i="32"/>
  <c r="D205" i="32"/>
  <c r="Z55" i="28"/>
  <c r="Z96" i="28" s="1"/>
  <c r="E60" i="32"/>
  <c r="E26" i="37"/>
  <c r="K55" i="28"/>
  <c r="K96" i="28" s="1"/>
  <c r="AD55" i="28"/>
  <c r="AD96" i="28" s="1"/>
  <c r="V55" i="28"/>
  <c r="V96" i="28" s="1"/>
  <c r="M55" i="28"/>
  <c r="M96" i="28" s="1"/>
  <c r="Q55" i="28"/>
  <c r="Q96" i="28" s="1"/>
  <c r="I55" i="28"/>
  <c r="I96" i="28" s="1"/>
  <c r="S55" i="28"/>
  <c r="S96" i="28" s="1"/>
  <c r="E11" i="37"/>
  <c r="Y55" i="28"/>
  <c r="Y96" i="28" s="1"/>
  <c r="E119" i="37"/>
  <c r="D156" i="37"/>
  <c r="E43" i="37"/>
  <c r="I27" i="25"/>
  <c r="J12" i="25"/>
  <c r="I26" i="25"/>
  <c r="I34" i="12"/>
  <c r="G59" i="12"/>
  <c r="H34" i="12"/>
  <c r="G64" i="12"/>
  <c r="H29" i="9"/>
  <c r="I29" i="9"/>
  <c r="E61" i="12"/>
  <c r="E32" i="12"/>
  <c r="E64" i="12"/>
  <c r="H9" i="12"/>
  <c r="F69" i="14"/>
  <c r="F74" i="14" s="1"/>
  <c r="H34" i="9"/>
  <c r="I34" i="9"/>
  <c r="G59" i="9"/>
  <c r="I13" i="25"/>
  <c r="F9" i="9"/>
  <c r="D73" i="12"/>
  <c r="D66" i="12"/>
  <c r="S27" i="6"/>
  <c r="S54" i="6"/>
  <c r="I44" i="14"/>
  <c r="G22" i="9"/>
  <c r="F49" i="12"/>
  <c r="I51" i="12"/>
  <c r="E65" i="9"/>
  <c r="G184" i="32"/>
  <c r="G214" i="32" s="1"/>
  <c r="F137" i="37"/>
  <c r="F164" i="37" s="1"/>
  <c r="I51" i="15"/>
  <c r="I47" i="15"/>
  <c r="I37" i="15"/>
  <c r="I46" i="15"/>
  <c r="I34" i="15"/>
  <c r="I44" i="15"/>
  <c r="I43" i="15"/>
  <c r="I49" i="15"/>
  <c r="I39" i="15"/>
  <c r="L13" i="34"/>
  <c r="I40" i="15"/>
  <c r="I36" i="15"/>
  <c r="I48" i="15"/>
  <c r="I38" i="15"/>
  <c r="I31" i="15"/>
  <c r="I38" i="14"/>
  <c r="F59" i="9"/>
  <c r="J34" i="9" s="1"/>
  <c r="I34" i="11"/>
  <c r="G59" i="11"/>
  <c r="G22" i="12"/>
  <c r="I24" i="12"/>
  <c r="J24" i="12"/>
  <c r="H24" i="12"/>
  <c r="G20" i="30"/>
  <c r="G40" i="30" s="1"/>
  <c r="E59" i="9"/>
  <c r="E63" i="9" s="1"/>
  <c r="D160" i="37"/>
  <c r="E129" i="37"/>
  <c r="I36" i="25"/>
  <c r="C5" i="13"/>
  <c r="I13" i="9"/>
  <c r="H17" i="13"/>
  <c r="G15" i="13"/>
  <c r="I17" i="13"/>
  <c r="D62" i="10"/>
  <c r="D9" i="9"/>
  <c r="I54" i="10"/>
  <c r="F52" i="10"/>
  <c r="E64" i="11"/>
  <c r="K53" i="6"/>
  <c r="Q108" i="6"/>
  <c r="C6" i="33"/>
  <c r="D192" i="32"/>
  <c r="E13" i="32"/>
  <c r="D208" i="32"/>
  <c r="E158" i="32"/>
  <c r="J18" i="13"/>
  <c r="J21" i="13"/>
  <c r="J9" i="13"/>
  <c r="J19" i="13"/>
  <c r="J12" i="13"/>
  <c r="J20" i="13"/>
  <c r="J11" i="13"/>
  <c r="J13" i="13"/>
  <c r="J16" i="13"/>
  <c r="J22" i="13"/>
  <c r="E65" i="11"/>
  <c r="E32" i="11"/>
  <c r="H22" i="11"/>
  <c r="G9" i="9"/>
  <c r="I10" i="9"/>
  <c r="I45" i="14"/>
  <c r="I42" i="14"/>
  <c r="J53" i="8"/>
  <c r="I53" i="8"/>
  <c r="I41" i="15"/>
  <c r="J18" i="11"/>
  <c r="G61" i="15"/>
  <c r="G54" i="15"/>
  <c r="H45" i="15"/>
  <c r="I45" i="15"/>
  <c r="I20" i="9"/>
  <c r="H20" i="9"/>
  <c r="I27" i="9"/>
  <c r="F24" i="9"/>
  <c r="D155" i="37"/>
  <c r="E88" i="37"/>
  <c r="I35" i="14"/>
  <c r="I56" i="14"/>
  <c r="J24" i="11"/>
  <c r="M67" i="6"/>
  <c r="G67" i="6"/>
  <c r="G54" i="6"/>
  <c r="G112" i="6" s="1"/>
  <c r="D44" i="25"/>
  <c r="G44" i="25" s="1"/>
  <c r="G17" i="25"/>
  <c r="C6" i="35"/>
  <c r="C5" i="12"/>
  <c r="C64" i="6"/>
  <c r="C5" i="31"/>
  <c r="C5" i="30"/>
  <c r="C5" i="11"/>
  <c r="C5" i="19"/>
  <c r="C5" i="17"/>
  <c r="C5" i="34"/>
  <c r="C5" i="18"/>
  <c r="C5" i="15"/>
  <c r="C5" i="10"/>
  <c r="C5" i="6"/>
  <c r="C4" i="8"/>
  <c r="C8" i="24" s="1"/>
  <c r="C5" i="14"/>
  <c r="H41" i="12"/>
  <c r="I41" i="12"/>
  <c r="G55" i="28"/>
  <c r="G96" i="28" s="1"/>
  <c r="N55" i="28"/>
  <c r="N96" i="28" s="1"/>
  <c r="W55" i="28"/>
  <c r="W96" i="28" s="1"/>
  <c r="O55" i="28"/>
  <c r="O96" i="28" s="1"/>
  <c r="P55" i="28"/>
  <c r="P96" i="28" s="1"/>
  <c r="AE55" i="28"/>
  <c r="AE96" i="28" s="1"/>
  <c r="AF55" i="28"/>
  <c r="AF96" i="28" s="1"/>
  <c r="L55" i="28"/>
  <c r="L96" i="28" s="1"/>
  <c r="AA55" i="28"/>
  <c r="AA96" i="28" s="1"/>
  <c r="H55" i="28"/>
  <c r="H96" i="28" s="1"/>
  <c r="AC55" i="28"/>
  <c r="AC96" i="28" s="1"/>
  <c r="AG55" i="28"/>
  <c r="AG96" i="28" s="1"/>
  <c r="T55" i="28"/>
  <c r="T96" i="28" s="1"/>
  <c r="R55" i="28"/>
  <c r="R96" i="28" s="1"/>
  <c r="J55" i="28"/>
  <c r="J96" i="28" s="1"/>
  <c r="AH55" i="28"/>
  <c r="AH96" i="28" s="1"/>
  <c r="AB55" i="28"/>
  <c r="AB96" i="28" s="1"/>
  <c r="X55" i="28"/>
  <c r="X96" i="28" s="1"/>
  <c r="J27" i="11"/>
  <c r="J19" i="11"/>
  <c r="J16" i="11"/>
  <c r="J23" i="11"/>
  <c r="J26" i="11"/>
  <c r="J14" i="11"/>
  <c r="J11" i="11"/>
  <c r="J20" i="11"/>
  <c r="J11" i="34"/>
  <c r="J13" i="11"/>
  <c r="J12" i="11"/>
  <c r="J22" i="11"/>
  <c r="J25" i="11"/>
  <c r="J17" i="11"/>
  <c r="J15" i="11"/>
  <c r="I41" i="14"/>
  <c r="I64" i="14"/>
  <c r="I46" i="14"/>
  <c r="I51" i="14"/>
  <c r="I49" i="14"/>
  <c r="I52" i="14"/>
  <c r="I54" i="14"/>
  <c r="I50" i="14"/>
  <c r="I61" i="14"/>
  <c r="I65" i="14"/>
  <c r="I53" i="14"/>
  <c r="I60" i="14"/>
  <c r="I62" i="14"/>
  <c r="I43" i="14"/>
  <c r="I47" i="14"/>
  <c r="I37" i="14"/>
  <c r="I36" i="14"/>
  <c r="I34" i="14"/>
  <c r="I58" i="14"/>
  <c r="I55" i="14"/>
  <c r="H67" i="14"/>
  <c r="F61" i="11"/>
  <c r="F59" i="11"/>
  <c r="F64" i="11"/>
  <c r="H51" i="11"/>
  <c r="I15" i="9"/>
  <c r="H15" i="9"/>
  <c r="D61" i="11"/>
  <c r="D32" i="11"/>
  <c r="D64" i="11"/>
  <c r="E62" i="10"/>
  <c r="F40" i="30"/>
  <c r="M85" i="6"/>
  <c r="C5" i="20"/>
  <c r="G65" i="11"/>
  <c r="H49" i="11"/>
  <c r="I49" i="11"/>
  <c r="F49" i="9"/>
  <c r="I51" i="9"/>
  <c r="I35" i="10"/>
  <c r="G29" i="10"/>
  <c r="I10" i="11"/>
  <c r="G9" i="11"/>
  <c r="J10" i="11"/>
  <c r="C73" i="15"/>
  <c r="H24" i="9"/>
  <c r="C76" i="12"/>
  <c r="R44" i="20"/>
  <c r="E12" i="9"/>
  <c r="C54" i="13"/>
  <c r="E29" i="10"/>
  <c r="E28" i="10" s="1"/>
  <c r="J42" i="8"/>
  <c r="J35" i="8"/>
  <c r="J9" i="12"/>
  <c r="J18" i="12"/>
  <c r="F64" i="12"/>
  <c r="G87" i="6"/>
  <c r="H16" i="9"/>
  <c r="C59" i="8"/>
  <c r="J30" i="8"/>
  <c r="J41" i="8"/>
  <c r="J37" i="8"/>
  <c r="J12" i="34"/>
  <c r="J25" i="12"/>
  <c r="I24" i="9"/>
  <c r="C79" i="14"/>
  <c r="E61" i="11"/>
  <c r="J36" i="8"/>
  <c r="J29" i="8"/>
  <c r="J28" i="8"/>
  <c r="J39" i="8"/>
  <c r="L9" i="34"/>
  <c r="J28" i="12"/>
  <c r="J16" i="12"/>
  <c r="Q67" i="6"/>
  <c r="E27" i="6"/>
  <c r="E27" i="7"/>
  <c r="E52" i="7" s="1"/>
  <c r="E57" i="7" s="1"/>
  <c r="J26" i="12"/>
  <c r="J20" i="12"/>
  <c r="C47" i="30"/>
  <c r="I15" i="15" l="1"/>
  <c r="J13" i="34"/>
  <c r="N13" i="34" s="1"/>
  <c r="I19" i="15"/>
  <c r="I18" i="15"/>
  <c r="I35" i="15"/>
  <c r="I42" i="15"/>
  <c r="E59" i="15"/>
  <c r="E68" i="15"/>
  <c r="D56" i="15"/>
  <c r="D58" i="15"/>
  <c r="I52" i="15"/>
  <c r="I50" i="15"/>
  <c r="F58" i="15"/>
  <c r="I33" i="15"/>
  <c r="I32" i="15"/>
  <c r="J27" i="25"/>
  <c r="J32" i="25"/>
  <c r="K52" i="6"/>
  <c r="L16" i="34"/>
  <c r="E39" i="25"/>
  <c r="E42" i="25" s="1"/>
  <c r="K108" i="6"/>
  <c r="M16" i="34"/>
  <c r="Q53" i="6"/>
  <c r="K111" i="6" s="1"/>
  <c r="I112" i="6"/>
  <c r="M108" i="6"/>
  <c r="G56" i="6"/>
  <c r="G114" i="6" s="1"/>
  <c r="J36" i="25"/>
  <c r="N111" i="6"/>
  <c r="H111" i="6"/>
  <c r="K56" i="6"/>
  <c r="O108" i="6"/>
  <c r="O53" i="6"/>
  <c r="I108" i="6"/>
  <c r="G52" i="6"/>
  <c r="G110" i="6" s="1"/>
  <c r="J26" i="25"/>
  <c r="G108" i="6"/>
  <c r="M111" i="6"/>
  <c r="J21" i="25"/>
  <c r="J16" i="25"/>
  <c r="J13" i="25"/>
  <c r="J10" i="25"/>
  <c r="N52" i="6"/>
  <c r="N56" i="6"/>
  <c r="J20" i="25"/>
  <c r="O52" i="6"/>
  <c r="I110" i="6" s="1"/>
  <c r="J16" i="34"/>
  <c r="J14" i="25"/>
  <c r="J19" i="25"/>
  <c r="H52" i="6"/>
  <c r="H56" i="6"/>
  <c r="H85" i="6"/>
  <c r="K67" i="6"/>
  <c r="Q54" i="6"/>
  <c r="K112" i="6" s="1"/>
  <c r="Q27" i="6"/>
  <c r="E9" i="25"/>
  <c r="J11" i="25"/>
  <c r="J15" i="25"/>
  <c r="N85" i="6"/>
  <c r="P27" i="6"/>
  <c r="J67" i="6"/>
  <c r="P67" i="6"/>
  <c r="P54" i="6"/>
  <c r="J112" i="6" s="1"/>
  <c r="E73" i="12"/>
  <c r="E66" i="12"/>
  <c r="I52" i="10"/>
  <c r="J52" i="10"/>
  <c r="F28" i="10"/>
  <c r="F62" i="10" s="1"/>
  <c r="E56" i="6"/>
  <c r="E52" i="6"/>
  <c r="J51" i="9"/>
  <c r="F59" i="12"/>
  <c r="F65" i="12"/>
  <c r="D41" i="25"/>
  <c r="D45" i="25" s="1"/>
  <c r="D32" i="9"/>
  <c r="D61" i="9" s="1"/>
  <c r="D66" i="9" s="1"/>
  <c r="D64" i="9"/>
  <c r="F59" i="15"/>
  <c r="F68" i="15"/>
  <c r="G65" i="9"/>
  <c r="H22" i="9"/>
  <c r="G63" i="9"/>
  <c r="M10" i="34"/>
  <c r="O10" i="34" s="1"/>
  <c r="I59" i="9"/>
  <c r="H59" i="9"/>
  <c r="G28" i="10"/>
  <c r="H29" i="10"/>
  <c r="J29" i="10"/>
  <c r="I29" i="10"/>
  <c r="H12" i="9"/>
  <c r="E10" i="9"/>
  <c r="I49" i="9"/>
  <c r="J49" i="9"/>
  <c r="F73" i="11"/>
  <c r="F66" i="11"/>
  <c r="J17" i="25"/>
  <c r="I17" i="25"/>
  <c r="F22" i="9"/>
  <c r="F65" i="9" s="1"/>
  <c r="I49" i="12"/>
  <c r="H15" i="13"/>
  <c r="I15" i="13"/>
  <c r="J15" i="13"/>
  <c r="G14" i="13"/>
  <c r="G63" i="12"/>
  <c r="H63" i="12" s="1"/>
  <c r="M12" i="34"/>
  <c r="H59" i="12"/>
  <c r="J36" i="11"/>
  <c r="J55" i="11"/>
  <c r="J38" i="11"/>
  <c r="J42" i="11"/>
  <c r="J53" i="11"/>
  <c r="J52" i="11"/>
  <c r="J40" i="11"/>
  <c r="L11" i="34"/>
  <c r="H11" i="34" s="1"/>
  <c r="F63" i="11"/>
  <c r="J43" i="11"/>
  <c r="J47" i="11"/>
  <c r="J41" i="11"/>
  <c r="J56" i="11"/>
  <c r="J45" i="11"/>
  <c r="J39" i="11"/>
  <c r="J50" i="11"/>
  <c r="I59" i="11"/>
  <c r="J54" i="11"/>
  <c r="J44" i="11"/>
  <c r="J37" i="11"/>
  <c r="J35" i="11"/>
  <c r="J46" i="11"/>
  <c r="J51" i="11"/>
  <c r="H9" i="34"/>
  <c r="O9" i="34"/>
  <c r="J49" i="11"/>
  <c r="H27" i="7"/>
  <c r="H22" i="12"/>
  <c r="G61" i="12"/>
  <c r="J22" i="12"/>
  <c r="I22" i="12"/>
  <c r="G32" i="12"/>
  <c r="G65" i="12"/>
  <c r="F61" i="12"/>
  <c r="F64" i="9"/>
  <c r="D73" i="11"/>
  <c r="D66" i="11"/>
  <c r="J34" i="11"/>
  <c r="S56" i="6"/>
  <c r="S52" i="6"/>
  <c r="J43" i="9"/>
  <c r="J54" i="9"/>
  <c r="J35" i="9"/>
  <c r="J53" i="9"/>
  <c r="J41" i="9"/>
  <c r="F63" i="9"/>
  <c r="J46" i="9"/>
  <c r="J36" i="9"/>
  <c r="J37" i="9"/>
  <c r="L10" i="34"/>
  <c r="J38" i="9"/>
  <c r="J39" i="9"/>
  <c r="J55" i="9"/>
  <c r="J52" i="9"/>
  <c r="J50" i="9"/>
  <c r="J56" i="9"/>
  <c r="J42" i="9"/>
  <c r="J47" i="9"/>
  <c r="J44" i="9"/>
  <c r="J45" i="9"/>
  <c r="J40" i="9"/>
  <c r="E73" i="11"/>
  <c r="E66" i="11"/>
  <c r="G64" i="11"/>
  <c r="I9" i="11"/>
  <c r="H9" i="11"/>
  <c r="J9" i="11"/>
  <c r="G32" i="11"/>
  <c r="G61" i="11"/>
  <c r="H16" i="34"/>
  <c r="J33" i="25"/>
  <c r="J35" i="25"/>
  <c r="J29" i="25"/>
  <c r="J37" i="25"/>
  <c r="J34" i="25"/>
  <c r="D42" i="25"/>
  <c r="G42" i="25" s="1"/>
  <c r="I42" i="25" s="1"/>
  <c r="J31" i="25"/>
  <c r="G39" i="25"/>
  <c r="I39" i="25" s="1"/>
  <c r="J30" i="25"/>
  <c r="J28" i="25"/>
  <c r="J25" i="25"/>
  <c r="H59" i="11"/>
  <c r="M11" i="34"/>
  <c r="G63" i="11"/>
  <c r="H63" i="11" s="1"/>
  <c r="H54" i="15"/>
  <c r="G58" i="15"/>
  <c r="M13" i="34"/>
  <c r="G56" i="15"/>
  <c r="G64" i="9"/>
  <c r="G32" i="9"/>
  <c r="I9" i="9"/>
  <c r="H13" i="34" l="1"/>
  <c r="H58" i="15"/>
  <c r="D68" i="15"/>
  <c r="D59" i="15"/>
  <c r="Q111" i="6"/>
  <c r="O16" i="34"/>
  <c r="I111" i="6"/>
  <c r="O111" i="6"/>
  <c r="O56" i="6"/>
  <c r="I114" i="6" s="1"/>
  <c r="H110" i="6"/>
  <c r="H114" i="6"/>
  <c r="P56" i="6"/>
  <c r="J114" i="6" s="1"/>
  <c r="P52" i="6"/>
  <c r="J110" i="6" s="1"/>
  <c r="P85" i="6"/>
  <c r="J85" i="6"/>
  <c r="K16" i="34"/>
  <c r="Q85" i="6"/>
  <c r="Q52" i="6"/>
  <c r="K110" i="6" s="1"/>
  <c r="Q56" i="6"/>
  <c r="K114" i="6" s="1"/>
  <c r="E23" i="25"/>
  <c r="K85" i="6"/>
  <c r="G9" i="25"/>
  <c r="E43" i="25"/>
  <c r="G43" i="25" s="1"/>
  <c r="J55" i="12"/>
  <c r="J35" i="12"/>
  <c r="J38" i="12"/>
  <c r="J54" i="12"/>
  <c r="J36" i="12"/>
  <c r="J42" i="12"/>
  <c r="L12" i="34"/>
  <c r="H12" i="34" s="1"/>
  <c r="J52" i="12"/>
  <c r="J47" i="12"/>
  <c r="J45" i="12"/>
  <c r="J56" i="12"/>
  <c r="J43" i="12"/>
  <c r="J44" i="12"/>
  <c r="J40" i="12"/>
  <c r="J50" i="12"/>
  <c r="I59" i="12"/>
  <c r="J46" i="12"/>
  <c r="J53" i="12"/>
  <c r="F63" i="12"/>
  <c r="I63" i="12" s="1"/>
  <c r="J37" i="12"/>
  <c r="J39" i="12"/>
  <c r="J41" i="12"/>
  <c r="J34" i="12"/>
  <c r="J51" i="12"/>
  <c r="I13" i="34"/>
  <c r="O13" i="34"/>
  <c r="G73" i="12"/>
  <c r="G66" i="12"/>
  <c r="H63" i="9"/>
  <c r="I63" i="9"/>
  <c r="G59" i="15"/>
  <c r="G68" i="15"/>
  <c r="I22" i="9"/>
  <c r="K12" i="34"/>
  <c r="I32" i="12"/>
  <c r="H32" i="12"/>
  <c r="H14" i="13"/>
  <c r="G8" i="13"/>
  <c r="J14" i="13"/>
  <c r="I14" i="13"/>
  <c r="J22" i="9"/>
  <c r="E9" i="9"/>
  <c r="H10" i="9"/>
  <c r="J49" i="12"/>
  <c r="J43" i="10"/>
  <c r="J12" i="10"/>
  <c r="J25" i="10"/>
  <c r="J9" i="10"/>
  <c r="J33" i="10"/>
  <c r="J55" i="10"/>
  <c r="J39" i="10"/>
  <c r="J17" i="10"/>
  <c r="J44" i="10"/>
  <c r="J22" i="10"/>
  <c r="J57" i="10"/>
  <c r="J38" i="10"/>
  <c r="J16" i="10"/>
  <c r="J36" i="10"/>
  <c r="J42" i="10"/>
  <c r="J37" i="10"/>
  <c r="J11" i="10"/>
  <c r="J40" i="10"/>
  <c r="J24" i="10"/>
  <c r="J21" i="10"/>
  <c r="J14" i="10"/>
  <c r="J26" i="10"/>
  <c r="J10" i="10"/>
  <c r="J58" i="10"/>
  <c r="J47" i="10"/>
  <c r="J32" i="10"/>
  <c r="J45" i="10"/>
  <c r="J56" i="10"/>
  <c r="J19" i="10"/>
  <c r="J46" i="10"/>
  <c r="J53" i="10"/>
  <c r="J48" i="10"/>
  <c r="J35" i="10"/>
  <c r="J50" i="10"/>
  <c r="J59" i="10"/>
  <c r="J54" i="10"/>
  <c r="J30" i="10"/>
  <c r="J34" i="10"/>
  <c r="J20" i="10"/>
  <c r="J49" i="10"/>
  <c r="J41" i="10"/>
  <c r="J13" i="10"/>
  <c r="J31" i="10"/>
  <c r="J15" i="10"/>
  <c r="J18" i="10"/>
  <c r="F32" i="9"/>
  <c r="O12" i="34"/>
  <c r="G66" i="11"/>
  <c r="G73" i="11"/>
  <c r="F66" i="12"/>
  <c r="F73" i="12"/>
  <c r="O11" i="34"/>
  <c r="G61" i="9"/>
  <c r="G66" i="9" s="1"/>
  <c r="K10" i="34"/>
  <c r="K11" i="34"/>
  <c r="H32" i="11"/>
  <c r="I32" i="11"/>
  <c r="I63" i="11"/>
  <c r="J28" i="10"/>
  <c r="I28" i="10"/>
  <c r="H28" i="10"/>
  <c r="G62" i="10"/>
  <c r="I9" i="25" l="1"/>
  <c r="J9" i="25"/>
  <c r="I16" i="34"/>
  <c r="N16" i="34"/>
  <c r="E41" i="25"/>
  <c r="G23" i="25"/>
  <c r="I23" i="25" s="1"/>
  <c r="J25" i="9"/>
  <c r="J26" i="9"/>
  <c r="J19" i="9"/>
  <c r="J11" i="9"/>
  <c r="F61" i="9"/>
  <c r="F66" i="9" s="1"/>
  <c r="J16" i="9"/>
  <c r="J23" i="9"/>
  <c r="J10" i="34"/>
  <c r="H10" i="34" s="1"/>
  <c r="J18" i="9"/>
  <c r="J12" i="9"/>
  <c r="J27" i="9"/>
  <c r="J17" i="9"/>
  <c r="J28" i="9"/>
  <c r="J14" i="9"/>
  <c r="J15" i="9"/>
  <c r="J10" i="9"/>
  <c r="J13" i="9"/>
  <c r="J29" i="9"/>
  <c r="J20" i="9"/>
  <c r="J24" i="9"/>
  <c r="J9" i="9"/>
  <c r="E64" i="9"/>
  <c r="E32" i="9"/>
  <c r="H9" i="9"/>
  <c r="N11" i="34"/>
  <c r="I11" i="34"/>
  <c r="I10" i="34"/>
  <c r="N12" i="34"/>
  <c r="I12" i="34"/>
  <c r="I8" i="13"/>
  <c r="H8" i="13"/>
  <c r="J8" i="13"/>
  <c r="G27" i="13"/>
  <c r="H62" i="10"/>
  <c r="I62" i="10"/>
  <c r="I32" i="9"/>
  <c r="E45" i="25" l="1"/>
  <c r="G45" i="25" s="1"/>
  <c r="G41" i="25"/>
  <c r="E61" i="9"/>
  <c r="E66" i="9" s="1"/>
  <c r="H32" i="9"/>
  <c r="G47" i="13"/>
  <c r="G51" i="13" s="1"/>
  <c r="H27" i="13"/>
  <c r="I27" i="13"/>
  <c r="N10" i="34"/>
</calcChain>
</file>

<file path=xl/sharedStrings.xml><?xml version="1.0" encoding="utf-8"?>
<sst xmlns="http://schemas.openxmlformats.org/spreadsheetml/2006/main" count="828" uniqueCount="599">
  <si>
    <t>Português</t>
  </si>
  <si>
    <t>English</t>
  </si>
  <si>
    <t>-</t>
  </si>
  <si>
    <t>Os valores da execução final de 2016 correspondem aos valores divulgados na Conta Geral do Estado, ajustados aos critérios de consolidação adotados em 2017 (os quais, face a 2016, foram alargados a subsídios, ativos e passivos financeiros, ainda que apenas o primeiro seja aplicável ao presente quadro).</t>
  </si>
  <si>
    <t xml:space="preserve"> </t>
  </si>
  <si>
    <t>Capital</t>
  </si>
  <si>
    <t>This estimate is used only in months in which there is a lack of report. In other months, the information considered is that effectively reported by the entities.</t>
  </si>
  <si>
    <t>Procedeu-se, a partir de abril de 2017, à individualização em linhas próprias das componentes indicadas, que se encontravam indevidamente adicionadas às “Outras prestações”:
- "Subsídios Correntes - Outros PO PT2020"; e
- "Subsídios Correntes - Programa Operacional de Apoio às Pessoas Mais Carenciadas – POAPMC".</t>
  </si>
  <si>
    <t>From April 2017 onward, the lines “Current subsidies – Other operational programs under the UE multiannual financial framework for the period 2014-2020” and “Current subsidies – Operational Program for Aid to the Most Deprived “ were identified separately, since these items were incorrectly included in “Social benefits – other benefits”.</t>
  </si>
  <si>
    <t>Subsector</t>
  </si>
  <si>
    <t>2012</t>
  </si>
  <si>
    <t>2013</t>
  </si>
  <si>
    <t>2014</t>
  </si>
  <si>
    <t>2015</t>
  </si>
  <si>
    <t>From the 1st July 2014, the responsibility on pension supplements, previously paid by the Military Forces Pension Fund, was transferred to the CGA. This is reflected in the "Survival and Other" component.</t>
  </si>
  <si>
    <t>set</t>
  </si>
  <si>
    <t>R01</t>
  </si>
  <si>
    <t>R02</t>
  </si>
  <si>
    <t>R03</t>
  </si>
  <si>
    <t>R06</t>
  </si>
  <si>
    <t>R0604 a R0605</t>
  </si>
  <si>
    <t>R0601/02/07 a 09</t>
  </si>
  <si>
    <t>R09</t>
  </si>
  <si>
    <t>R10</t>
  </si>
  <si>
    <t>R1004 a R1005</t>
  </si>
  <si>
    <t>R1001/02/07 a 09</t>
  </si>
  <si>
    <t>R13</t>
  </si>
  <si>
    <t>D01</t>
  </si>
  <si>
    <t>D02</t>
  </si>
  <si>
    <t>D03</t>
  </si>
  <si>
    <t>D04</t>
  </si>
  <si>
    <t>D0401/02/07 a 09</t>
  </si>
  <si>
    <t>D05</t>
  </si>
  <si>
    <t>D06</t>
  </si>
  <si>
    <t>D07</t>
  </si>
  <si>
    <t>D08</t>
  </si>
  <si>
    <t>D0804 a D0805</t>
  </si>
  <si>
    <t>D0801/02/07 a 09</t>
  </si>
  <si>
    <t>D11</t>
  </si>
  <si>
    <t xml:space="preserve">          </t>
  </si>
  <si>
    <t>Fonte: Direção-Geral Orçamento</t>
  </si>
  <si>
    <t>Despesa efetiva</t>
  </si>
  <si>
    <t>Despesa primária</t>
  </si>
  <si>
    <t>Diferenças de consolidação</t>
  </si>
  <si>
    <t>Outras despesas</t>
  </si>
  <si>
    <t>Investimento</t>
  </si>
  <si>
    <t>Subsídios</t>
  </si>
  <si>
    <t>Transferências</t>
  </si>
  <si>
    <t>Juros e outros encargos</t>
  </si>
  <si>
    <t xml:space="preserve">Aquisição de bens e serviços </t>
  </si>
  <si>
    <t>Despesas com o pessoal</t>
  </si>
  <si>
    <t>(%)</t>
  </si>
  <si>
    <t>Absoluta</t>
  </si>
  <si>
    <t>Natureza da Despesa</t>
  </si>
  <si>
    <t>Despesa da Administração Central e da Segurança Social</t>
  </si>
  <si>
    <t>O acréscimo verificado no número de pensionistas e na despesa com pensões na rubrica "Sobrevivência e Outras Pensões" a partir do mês de outubro de 2017 decorre da aplicação do Decreto-Lei n.º 95-2017, de 10 de agosto, que regula a transferência para a Caixa Geral de Aposentações, I. P., do encargo financeiro com os complementos de pensão dos trabalhadores da Carris. Estes complementos representam um impacto direto no decréscimo verificado na rubrica "Pensão média nova Sobrevivência e outras (€)".</t>
  </si>
  <si>
    <t>The increase in the number of pensioners and pension expenditure in the item "Survival and Others Pensions" as of October 2017 is the result of the transfer to Caixa Geral de Aposentações, IP, of the financial burden with the pension supplements of Carris’ employees (Law Decree nr. 95/2017 of August 10th). - These supplements have a direct impact on the decrease of the item "Average Value paid per new Survival and Others Pensioner".</t>
  </si>
  <si>
    <t xml:space="preserve">Decorrente da aplicação do  Decreto-Lei n.º 166-A/2013, de 27 de dezembro, que transferiu para a Caixa Geral de Aposentações, I.P., a partir de 1 de julho de 2014, a responsabilidade pelo processamento e pagamento dos complementos de pensão a cargo do Fundo de Pensões dos Militares das Forças Armadas, a rubrica de pensões de “Sobrevivência e outras" passou a considerar essa despesa. </t>
  </si>
  <si>
    <t>R04/R05/R07/R08/R15</t>
  </si>
  <si>
    <t>A linha de despesa "Pensão velhice do regime substitutivo dos bancários" inclui:
- a partir de agosto de 2017, os complementos de pensões dos trabalhadores da Companhia Carris de Ferro de Lisboa, S. A. (Carris), cujo processamento de despesa fica a cargo do Instituto da Segurança Social, I.P., em cumprimento do disposto no Decreto-Lei n.º 95/2017, de 10 de agosto;
- a partir de janeiro de 2020, os complementos de pensões dos trabalhadores da Sociedade de Transportes Coletivos do Porto, S.A. (STCP), cujo processamento de despesa fica a cargo do Instituto da Segurança Social, I.P., em cumprimento do disposto no Decreto-Lei n.º 151/2019,de 11 de outubro.</t>
  </si>
  <si>
    <t>The line “Old age pension scheme from Banking regime” includes:
- From August 2017 onward, supplemental pension benefits due to Companhia Carris de Ferro de Lisboa, S. A. (Carris) former employees, as Social Security is in charge of making these payments according to Decree-Law no. 95/2017 of August 10.
- From January 2020 onward, supplemental pension benefits due to Sociedade de Transportes Coletivos do Porto, S.A. (STCP) former employees, as Social Security is in charge of making these payments according to Decree-Law no. 151/2019 of October 11.</t>
  </si>
  <si>
    <t>(a) The values identified in this item correspond to those recorded by the NHS' entities in the information systems that support the budget execution monitoring. Negative monthly values derive from accumulated amounts lower than those of the previous month recorded by the entities.</t>
  </si>
  <si>
    <t>Notas:</t>
  </si>
  <si>
    <t>TOTAL</t>
  </si>
  <si>
    <t>(2)</t>
  </si>
  <si>
    <t>(1)</t>
  </si>
  <si>
    <t>Total</t>
  </si>
  <si>
    <t>2021</t>
  </si>
  <si>
    <t>Direção-Geral do Orçamento, Autoridade Tributária e Aduaneira, Ministério das Finanças, Instituto de Gestão Financeira da Segurança Social, I.P.,Entidades Coordenadoras dos Programas, Direção Regional do Orçamento e Tesouro da Região Autónoma dos Açores, Direção Regional do Orçamento e Tesouro da Região Autónoma da Madeira e Direção-Geral das Autarquias Locais.</t>
  </si>
  <si>
    <t>, criadas pela Circular Série A n.º 1398 da DGO, as Medidas 097 - 'Programa Ativar' e 098 - 'Incentivo Extraordinário à Normalização', criadas com a Lei n.º 27-A/2020, de 24 de julho, a Medida 099 - 'Universalização da Escola Digital', criada com a Lei nº75-B/2020, de 31 de dezembro) e Medida 102 - "Plano de Recuperação e Resiliência" prevista na Portaria n.º 48/2021, de 4 de março).</t>
  </si>
  <si>
    <t>The expenditure implementation results from the execution and reporting systems of the entities' budget execution (accounted in budgetary measures 095 - 'Contingency COVID-2019 - prevention, containment, mitigation and treatment' and 096 - 'Contingency COVID 2019 - ensuring normality', created by DGO Circular No. 1398, Measures 097 - 'Ativar Program' and 098 - 'Extraordinary Incentive to Normalization', created with Law No. 27-A/2020, of July 24 (2020 Supplementary State Budget Law), measure 099 - 'Universalization of the Digital School', created with Law nº 75-B / 2020, of December 31 - 2021 State Budget Law and measure 102 - "Recovery and Resilience plan").</t>
  </si>
  <si>
    <t>Return from the European Financial Stabilization Fund to the Portuguese State of the profitability of the prepaid margins retained when the loan was initially disbursed.</t>
  </si>
  <si>
    <t>Pagamento relativo ao princípio da onerosidade realizado pela Direção-Geral de Recursos da Defesa Nacional em dezembro de 2021, mas que diz respeito ao ano de 2020 (o montante em causa foi expurgado da despesa de 2021 e considerado em 2020, por forma a não afetar a comparabilidade homóloga).</t>
  </si>
  <si>
    <t>Directorate General for National Defence Resources - Payment made in December 2021, as a financial compensation for the use of public buildings, but which refers to the year 2020.</t>
  </si>
  <si>
    <t>2022</t>
  </si>
  <si>
    <t>Para as entidades identificadas considera-se na execução orçamental uma estimativa de execução para os meses em falta, esta estimativa consiste na correspondente previsão mensal.</t>
  </si>
  <si>
    <t>For the entities identified above an estimate is being used for the months without report, the estimate corresponds to the 2022 monthly budget implementation prediction.</t>
  </si>
  <si>
    <t>BANIF, S.A.</t>
  </si>
  <si>
    <t>As estimativas de execução consistem na correspondente previsão mensal inicial de execução do Orçamento para 2022. Estas estimativas são adicionadas à Conta da Administração Central para minimizar o efeito da falta de reporte de execução. Apenas inclui informação das entidades que disponibilizaram previsão de execução para os meses em causa.</t>
  </si>
  <si>
    <t xml:space="preserve"> Estimated amounts correspond to the 2022 monthly budget implementation prediction. These estimates are added to the Central Government account in order to minimize the impacts of missing information in the report of implementation. Only includes information of the entities that provided implementation prediction for the respective months.</t>
  </si>
  <si>
    <t>Devolução pelo Fundo Europeu de Estabilização Financeira (FEEF) ao Estado português, da rentabilidade das prepaid margins retida aquando do desembolso inicial do empréstimo do PAEF.</t>
  </si>
  <si>
    <t>(a) Os valores identificados neste item correspondem aos que foram registados pelas entidades nos sistemas de informação de suporte ao acompanhamento da execução orçamental. Valores mensais negativos resultam do registo, pelas entidades, de valores acumulados inferiores aos do mês precedente.</t>
  </si>
  <si>
    <t>Transferências correntes - compensação faseada às autarquias relativamente às transferências efetivadas em 2018 ao abrigo da Lei de Finanças Locais - art. 5.º da Lei n.º 73/2013, de 3 de setembro, na redação pela Lei n.º 51/2018, 16 de agosto.</t>
  </si>
  <si>
    <t>Compensation mechanism between 2019 and 2021 for the part of the transfers not delivered in 2018, due to the maximum growth limitation mechanism for each municipality and parish in the previous version of the Local Finances Law (current transfers).</t>
  </si>
  <si>
    <t>Transferências de capital - compensação faseada às autarquias relativamente às transferências efetivadas em 2018 ao abrigo da Lei de Finanças Locais - art.º 5.º da Lei n.º 73/2013, de 3 de setembro, na redação pela Lei n.º 51/2018, 16 de agosto.</t>
  </si>
  <si>
    <t>Compensation mechanism between 2019 and 2021 for the part of the transfers not delivered in 2018, due to the maximum growth limitation mechanism for each municipality and parish in the previous version of the Local Finances Law (capital transfers).</t>
  </si>
  <si>
    <t>D0404 e D0405</t>
  </si>
  <si>
    <t>Pagamentos de encargos para sistemas de segurança social, realizados em janeiro mas respeitantes ao ano anterior, pelos Estabelecimentos de Educação e Ensinos Básico e Secundário.</t>
  </si>
  <si>
    <t>Alteração da contabilização da despesa suportada pela Direção-Geral do Tesouro e Finanças no âmbito do programa “IVAucher”, de "Outras despesas correntes" para "Subsídios".</t>
  </si>
  <si>
    <t>Pagamentos realizados pelo Fundo de Resolução ao Novo Banco, ao abrigo do Acordo de Capitalização Contingente, celebrado entre as duas entidades em outubro de 2017.</t>
  </si>
  <si>
    <t>Payments made by the Resolution Fund to Novo Banco under the contingent capitalization agreement signed in october 2017 by the two parties.</t>
  </si>
  <si>
    <t>December’s employer social security contributions payed in january by the Basic and Secondary Education Establishments.</t>
  </si>
  <si>
    <t>Reclassification, in 2021, of spending related to “IVAucher”, a COVID-19 crisis response program, by the Directorate General of Treasury and Finance, from ‘other current expenditure’ to ‘subsidies’.</t>
  </si>
  <si>
    <t>Variação homóloga acumulada</t>
  </si>
  <si>
    <t>Execução acumulada</t>
  </si>
  <si>
    <t>Due to technical reasons, the budget implementation data regarding the Tributary and Customs Authority for February 2020, as well as the budget implementation data regarding the Army and General Staff of the Armed Forces for February 2021, was not fully transposed from the local to the central budget information systems. The required information was later sent by the aforementioned entities.</t>
  </si>
  <si>
    <t>EXÉRCITO a)</t>
  </si>
  <si>
    <t>Instituto Português do Mar e da Atmosfera, I.P. (5854)</t>
  </si>
  <si>
    <t>Fundo de Compensação Salarial dos Profissionais da Pesca (5942)</t>
  </si>
  <si>
    <t>Fundo Azul (5979)</t>
  </si>
  <si>
    <t>Estrutura de Missão para a Extensão da Plataforma Continental (3048)</t>
  </si>
  <si>
    <t>Direção-Geral de Recursos Naturais, Segurança e Serviços Marítimos (4221)</t>
  </si>
  <si>
    <t>Direção-Geral de Política do Mar (4199)</t>
  </si>
  <si>
    <t>Autoridade de Gestão do Programa Operacional Mar 2020 (4396)</t>
  </si>
  <si>
    <t>Instituto Nacional de Investigação Agrária e Veterinária, I.P. (5856)</t>
  </si>
  <si>
    <t>Instituto dos Vinhos do Douro e do Porto, I.P. (5693)</t>
  </si>
  <si>
    <t>Instituto de Financiamento da Agricultura e Pescas, I.P. (5736)</t>
  </si>
  <si>
    <t>Instituto da Vinha e do Vinho, I.P. (5286)</t>
  </si>
  <si>
    <t>Gabinete de Planeamento e Políticas (2961)</t>
  </si>
  <si>
    <t>Fundo Sanitário e de Segurança Alimentar Mais (5850)</t>
  </si>
  <si>
    <t>Estrutura de Missão para o Programa de Desenvolvimento Rural do Continente (4390)</t>
  </si>
  <si>
    <t>EDIA - Empresa de Desenvolvimento e Infraestruturas do Alqueva, S.A. (5934)</t>
  </si>
  <si>
    <t>Direção-Geral de Alimentação e Veterinária (2410)</t>
  </si>
  <si>
    <t>Direção-Geral da Agricultura e Desenvolvimento Rural (2940)</t>
  </si>
  <si>
    <t>Direção Regional de Agricultura e Pescas do Norte (2944)</t>
  </si>
  <si>
    <t>Direção Regional de Agricultura e Pescas do Centro (2949)</t>
  </si>
  <si>
    <t>Direção Regional de Agricultura e Pescas do Algarve (2404)</t>
  </si>
  <si>
    <t>Direção Regional de Agricultura e Pescas do Alentejo (2403)</t>
  </si>
  <si>
    <t>Direção Regional de Agricultura e Pescas de Lisboa e Vale do Tejo (2402)</t>
  </si>
  <si>
    <t>Metro - Mondego, S.A. (5904)</t>
  </si>
  <si>
    <t>Laboratório Nacional de Engenharia Civil (5723)</t>
  </si>
  <si>
    <t>Instituto dos Mercados Públicos, do Imobiliário e da Construção (5657)</t>
  </si>
  <si>
    <t>Instituto da Mobilidade e dos Transportes (5749)</t>
  </si>
  <si>
    <t>Infraestruturas de Portugal, S.A. (5791)</t>
  </si>
  <si>
    <t>Gabinetes dos Membros do Governo do Ministério das Infraestruturas e Habitação (4401)</t>
  </si>
  <si>
    <t>Gabinete de Prevenção e Investigação de Acidentes com Aeronaves e de Acidentes Ferroviários (4441)</t>
  </si>
  <si>
    <t>Fundo para o Serviço Público de Transportes (5004)</t>
  </si>
  <si>
    <t>Fundo Nacional de Reabilitação do Edificado (5024)</t>
  </si>
  <si>
    <t>Fundação Museu Nacional Ferroviário Armando Ginestal Machado (5903)</t>
  </si>
  <si>
    <t>CP - Comboios de Portugal, E.P.E. (5902)</t>
  </si>
  <si>
    <t>Comissão Nacional de Congressos da Estrada (5020)</t>
  </si>
  <si>
    <t>Autoridade Nacional das Comunicações (5270)</t>
  </si>
  <si>
    <t>Autoridade Nacional da Aviação Civil (5664)</t>
  </si>
  <si>
    <t>Autoridade da Mobilidade e dos Transportes (5900)</t>
  </si>
  <si>
    <t>Vianapolis, Sociedade para o Desenvolvimento do Programa Polis em Viana do Castelo, S.A. (5804)</t>
  </si>
  <si>
    <t>Transtejo - Transportes Tejo, S.A. (5871)</t>
  </si>
  <si>
    <t>Soflusa - Sociedade Fluvial de Transportes, S.A. (5872)</t>
  </si>
  <si>
    <t>Secretaria-Geral do Ministério do Ambiente (4253)</t>
  </si>
  <si>
    <t>Polis Litoral Ria Formosa, S.A. (5799)</t>
  </si>
  <si>
    <t>Polis Litoral Ria de Aveiro, S.A. (5798)</t>
  </si>
  <si>
    <t>Polis Litoral Norte, S.A. (5797)</t>
  </si>
  <si>
    <t>Nortrem - Aluguer de Material Ferroviário, A.C.E (5026)</t>
  </si>
  <si>
    <t>Metropolitano de Lisboa, E.P.E. (5790)</t>
  </si>
  <si>
    <t>Metro do Porto, S.A. (5789)</t>
  </si>
  <si>
    <t>Metro do Porto Consultoria - Consultoria em Transportes Urbanos e Participações, Unipessoal, Lda. (5905)</t>
  </si>
  <si>
    <t>Marina do Parque das Nações - Sociedade Concessionária da Marina Parque das Nações, S.A. (5936)</t>
  </si>
  <si>
    <t>Laboratório Nacional de Energia e Geologia, I.P. (5724)</t>
  </si>
  <si>
    <t>Instituto da Conservação da Natureza e das Florestas, I.P. (5855)</t>
  </si>
  <si>
    <t>Inspeção-Geral da Agricultura, do Mar, do Ambiente e do Ordenamento do Território (4223)</t>
  </si>
  <si>
    <t>Fundo para a Sustentabilidade Sistémica do Setor Energético (5941)</t>
  </si>
  <si>
    <t>Fundo Florestal Permanente (5883)</t>
  </si>
  <si>
    <t>Fundo de Eficiência Energética (5028)</t>
  </si>
  <si>
    <t>Fundo Ambiental (5982)</t>
  </si>
  <si>
    <t>Entidade Reguladora dos Serviços Energéticos, I.P. (5271)</t>
  </si>
  <si>
    <t>Entidade Reguladora dos Serviços das Águas e dos Resíduos (5681)</t>
  </si>
  <si>
    <t>Entidade Nacional para o Setor Energético, E.P.E. (5939)</t>
  </si>
  <si>
    <t>Direção-Geral do Território (4227)</t>
  </si>
  <si>
    <t>Direção-Geral de Energia e Geologia (4450)</t>
  </si>
  <si>
    <t>Costa Polis Sociedade para o Desenvolvimento do Programa Polis na Costa da Caparica, S.A. (5795)</t>
  </si>
  <si>
    <t>Conselho Nacional do Ambiente e Desenvolvimento Sustentável (2443)</t>
  </si>
  <si>
    <t>Conselho Nacional da Água (2450)</t>
  </si>
  <si>
    <t>AVEIROPOLIS - Sociedade para o Desenvolvimento do Programa Polis em Aveiro, S.A. (5988)</t>
  </si>
  <si>
    <t>Agência Portuguesa do Ambiente, I.P. (5849)</t>
  </si>
  <si>
    <t>Agência para a Energia (5015)</t>
  </si>
  <si>
    <t>Ação Governativa - Ministério Ambiente e da Ação Climática (MAAC) (4252)</t>
  </si>
  <si>
    <t>Unidade Local de Saúde do Norte Alentejano, E.P.E (6519)</t>
  </si>
  <si>
    <t>Unidade Local de Saúde do Nordeste, E.P.E (6540)</t>
  </si>
  <si>
    <t>Unidade Local de Saúde do Litoral Alentejano, E.P.E (6534)</t>
  </si>
  <si>
    <t>Unidade Local de Saúde do Baixo Alentejo, E.P.E (6527)</t>
  </si>
  <si>
    <t>Unidade Local de Saúde do Alto Minho, E.P.E (6525)</t>
  </si>
  <si>
    <t>Unidade Local de Saúde de Matosinhos, E.P.E. (6506)</t>
  </si>
  <si>
    <t>Unidade Local de Saúde de Castelo Branco, E.P.E (6533)</t>
  </si>
  <si>
    <t>Unidade Local de Saúde da Guarda, E.P.E (6526)</t>
  </si>
  <si>
    <t>SUCH - Serviço de Utilização Comum dos Hospitais (5899)</t>
  </si>
  <si>
    <t>Serviços Partilhados do Ministério da Saúde, E.P.E. (5842)</t>
  </si>
  <si>
    <t>Serviço de Intervenção nos Comportamentos Aditivos e nas Dependências (4201)</t>
  </si>
  <si>
    <t>Secretaria-Geral do Ministério da Saúde (2897)</t>
  </si>
  <si>
    <t>Instituto Português do Sangue e da Transplantação (5847)</t>
  </si>
  <si>
    <t>Instituto Português de Oncologia - Porto, E.P.E (6509)</t>
  </si>
  <si>
    <t>Instituto Português de Oncologia - Lisboa, E.P.E (6508)</t>
  </si>
  <si>
    <t>Instituto Português de Oncologia - Coimbra, E.P.E. (6507)</t>
  </si>
  <si>
    <t>Instituto Oftalmológico Dr. Gama Pinto (5504)</t>
  </si>
  <si>
    <t>Instituto Nacional de Saúde Dr. Ricardo Jorge, I.P. (5498)</t>
  </si>
  <si>
    <t>Instituto Nacional de Emergência Médica, I.P. (5491)</t>
  </si>
  <si>
    <t>Inspeção-Geral das Atividades em Saúde (1906)</t>
  </si>
  <si>
    <t>INFARMED - Autoridade Nacional do Medicamento e Produtos de Saúde, I.P. (5493)</t>
  </si>
  <si>
    <t>Hospital Santa Maria Maior - Barcelos, E.P.E (6503)</t>
  </si>
  <si>
    <t>Hospital Prof. Doutor Fernando Fonseca, E.P.E (6530)</t>
  </si>
  <si>
    <t>Hospital Magalhães Lemos - Porto, E.P.E (6528)</t>
  </si>
  <si>
    <t>Hospital Garcia da Orta, E.P.E. - Almada (6505)</t>
  </si>
  <si>
    <t>Hospital Dr. Francisco Zagalo - Ovar (5594)</t>
  </si>
  <si>
    <t>Hospital do Espirito Santo, de Évora, E.P.E (6513)</t>
  </si>
  <si>
    <t>Hospital Distrital de Santarém, E.P.E (6504)</t>
  </si>
  <si>
    <t>Hospital Distrital da Figueira da Foz, E.P.E (6502)</t>
  </si>
  <si>
    <t>Hospital de Braga, EPE (6564)</t>
  </si>
  <si>
    <t>Hospital da Senhora da Oliveira Guimarães, E.P.E (6517)</t>
  </si>
  <si>
    <t>Hospital Arcebispo João do Crisóstomo - Cantanhede (5587)</t>
  </si>
  <si>
    <t>Fundo para a Investigação em Saúde (5947)</t>
  </si>
  <si>
    <t>Entidade Reguladora da Saúde (5706)</t>
  </si>
  <si>
    <t>Direção-Geral da Saúde (2194)</t>
  </si>
  <si>
    <t>Centro Hospitalar Vila Nova de Gaia/Espinho, E.P.E (6518)</t>
  </si>
  <si>
    <t>Centro Hospitalar Universitário do Porto, E.P.E (6520)</t>
  </si>
  <si>
    <t>Centro Hospitalar Universitário de São João, E.P.E (6535)</t>
  </si>
  <si>
    <t>Centro Hospitalar Universitário de Lisboa Norte, E.P.E (6522)</t>
  </si>
  <si>
    <t>Centro Hospitalar Universitário de Lisboa Central, E.P.E (6514)</t>
  </si>
  <si>
    <t>Centro Hospitalar Trás-os-Montes e Alto Douro, E.P.E (6515)</t>
  </si>
  <si>
    <t>Centro Hospitalar Tondela- Viseu, E.P.E (6538)</t>
  </si>
  <si>
    <t>Centro Hospitalar Psiquiátrico de Lisboa (5752)</t>
  </si>
  <si>
    <t>Centro Hospitalar Póvoa do Varzim - Vila do Conde, E.P.E (6523)</t>
  </si>
  <si>
    <t>Centro Hospitalar e Universitário do Algarve, E.P.E (6559)</t>
  </si>
  <si>
    <t>Centro Hospitalar e Universitário de Coimbra, E.P.E (6536)</t>
  </si>
  <si>
    <t>Centro Hospitalar do Tâmega e Sousa, E.P.E (6521)</t>
  </si>
  <si>
    <t>Centro Hospitalar do Oeste,  E.P.E (6562)</t>
  </si>
  <si>
    <t>Centro Hospitalar do Médio Tejo, E.P.E (6501)</t>
  </si>
  <si>
    <t>Centro Hospitalar do Médio Ave, E.P.E (6516)</t>
  </si>
  <si>
    <t>Centro Hospitalar do Baixo Vouga, E.P.E (6537)</t>
  </si>
  <si>
    <t>Centro Hospitalar de Setúbal, E.P.E (6512)</t>
  </si>
  <si>
    <t>Centro Hospitalar de Lisboa Ocidental, E.P.E (6511)</t>
  </si>
  <si>
    <t>Centro Hospitalar de Leiria, E.P.E (6539)</t>
  </si>
  <si>
    <t>Centro Hospitalar de Entre Douro e Vouga, E.P.E (6529)</t>
  </si>
  <si>
    <t>Centro Hospitalar Barreiro Montijo, E.P.E (6531)</t>
  </si>
  <si>
    <t>Administração Regional de Saúde do Norte, I.P. (5512)</t>
  </si>
  <si>
    <t>Administração Regional de Saúde do Centro, I.P. (5510)</t>
  </si>
  <si>
    <t>Administração Regional de Saúde do Algarve, I.P. (5509)</t>
  </si>
  <si>
    <t>Administração Regional de Saúde do Alentejo, I.P. (5508)</t>
  </si>
  <si>
    <t>Administração Regional de Saúde de Lisboa e Vale do Tejo, I.P. (5511)</t>
  </si>
  <si>
    <t>Administração Central do Sistema de Saúde, I.P. (5494)</t>
  </si>
  <si>
    <t>Ação Governativa - Ministério da Saúde (MS) (4261)</t>
  </si>
  <si>
    <t>Secretaria -Geral do MTSSS (1978)</t>
  </si>
  <si>
    <t>Santa Casa da Misericórdia de Lisboa, I.P. (5810)</t>
  </si>
  <si>
    <t>Instituto Nacional para a Reabilitação, I.P. (2236)</t>
  </si>
  <si>
    <t>Instituto do Emprego e Formação Profissional, I.P. (5619)</t>
  </si>
  <si>
    <t>Inspeção-geral do MTSSS (2528)</t>
  </si>
  <si>
    <t>Gabinete de Estratégia e Planeamento (2938)</t>
  </si>
  <si>
    <t>Fundo de Reestruturação do Setor Solidário (6561)</t>
  </si>
  <si>
    <t>Direção-Geral da Segurança Social (2233)</t>
  </si>
  <si>
    <t>Direção-Geral do Emprego e das Relações de Trabalho (2611)</t>
  </si>
  <si>
    <t>Cooperativa António Sérgio para a Economia Social (5873)</t>
  </si>
  <si>
    <t>Comissão para a Igualdade no Trabalho e Emprego (2538)</t>
  </si>
  <si>
    <t>Comissão Nacional de Promoção dos Direitos e Proteção das Crianças e Jovens (4395)</t>
  </si>
  <si>
    <t>Centro Relações Laborais (4385)</t>
  </si>
  <si>
    <t>Centro Protocolar de Formação Profissional para o Sector da Justiça (5834)</t>
  </si>
  <si>
    <t>Centro Protocolar de Formação Profissional para Jornalistas (5837)</t>
  </si>
  <si>
    <t>Centro de Reabilitação Profissional de Gaia (5835)</t>
  </si>
  <si>
    <t>Centro de Formação Sindical e Aperfeiçoamento Profissional (5784)</t>
  </si>
  <si>
    <t>Centro de Formação Profissional para Setor da Construção Civil e Obras Públicas do Norte (5827)</t>
  </si>
  <si>
    <t>Centro de Formação Profissional para o Sector Alimentar (5832)</t>
  </si>
  <si>
    <t>Centro de Formação Profissional para o Comércio e Afins (5831)</t>
  </si>
  <si>
    <t>Centro de Formação Profissional para o Artesanato e Património (5824)</t>
  </si>
  <si>
    <t>Centro de Formação Profissional para a Indústria de Cerâmica (5828)</t>
  </si>
  <si>
    <t>Centro de Formação Profissional dos Trabalhadores de Escritório, Comércio, Serviços e Novas Tecnologias (5825)</t>
  </si>
  <si>
    <t>Centro de Formação Profissional das Pescas e do Mar (5836)</t>
  </si>
  <si>
    <t>Centro de Formação Profissional das Indústrias da Madeira e Mobiliário (5823)</t>
  </si>
  <si>
    <t>Centro de Formação Profissional da Reparação Automóvel (5822)</t>
  </si>
  <si>
    <t>Centro de Formação Profissional da Indústria Têxtil, Vestuário, Confeção e Lanifícios (5813)</t>
  </si>
  <si>
    <t>Centro de Formação Profissional da Indústria Metalúrgica e Metalomecânica (5820)</t>
  </si>
  <si>
    <t>Centro de Formação Profissional da Indústria Eletrónica (5819)</t>
  </si>
  <si>
    <t>Centro de Formação Profissional da Indústria de Ourivesaria e Relojoaria (CINDOR) (5818)</t>
  </si>
  <si>
    <t>Centro de Formação Profissional da Indústria de Fundição (5817)</t>
  </si>
  <si>
    <t>Centro de Formação Profissional da Indústria de Cortiça (5816)</t>
  </si>
  <si>
    <t>Centro de Formação Profissional da Indústria de Construção Civil e Obras Públicas do Sul (5814)</t>
  </si>
  <si>
    <t>Centro de Formação Profissional da Indústria de Calçado (5815)</t>
  </si>
  <si>
    <t>Centro de Formação Profissional CESAE Digital (5031)</t>
  </si>
  <si>
    <t>Centro de Formação e Inovação Tecnológica (INOVINTER) (5811)</t>
  </si>
  <si>
    <t>Centro de Educação e Formação Profissional Integrada (CEFPI) (5812)</t>
  </si>
  <si>
    <t>Casa Pia de Lisboa, I.P. (5809)</t>
  </si>
  <si>
    <t>Caixa-Geral de Aposentações, I.P. (5222)</t>
  </si>
  <si>
    <t>Autoridade para as Condições de Trabalho (2965)</t>
  </si>
  <si>
    <t>Ação Governativa - Ministério do Trabalho, Solidariedade e Segurança Social (MTSSS) (4262)</t>
  </si>
  <si>
    <t>Secretaria-Geral do Ministério da Educação (2618)</t>
  </si>
  <si>
    <t>Parque Escolar - E.P.E. (5808)</t>
  </si>
  <si>
    <t>Instituto de Gestão Financeira da Educação, I.P. (5950)</t>
  </si>
  <si>
    <t>Instituto de Avaliação Educativa, I.P. (5874)</t>
  </si>
  <si>
    <t>Inspeção Geral da Educação e Ciência (1902)</t>
  </si>
  <si>
    <t>Fundação do Desporto (5997)</t>
  </si>
  <si>
    <t>Estabelecimentos de Educação e Ensinos Básico e Secundário (4266)</t>
  </si>
  <si>
    <t>Escola Portuguesa de S. Tomé e Príncipe - CELP (5980)</t>
  </si>
  <si>
    <t>Escola Portuguesa de Moçambique (5697)</t>
  </si>
  <si>
    <t>Escola Portuguesa de Luanda - Centro de Ensino e Língua Portuguesa (5037)</t>
  </si>
  <si>
    <t>Escola Portuguesa de Díli - CELP - Ruy Cinatti (5767)</t>
  </si>
  <si>
    <t>Escola Portuguesa de Cabo Verde - CELP (5981)</t>
  </si>
  <si>
    <t>Editorial do Ministério da Educação e Ciência (5294)</t>
  </si>
  <si>
    <t>Direção-Geral dos Estabelecimentos Escolares (4239)</t>
  </si>
  <si>
    <t>Direção-Geral de Estatísticas da Educação e Ciência (2941)</t>
  </si>
  <si>
    <t>Direção-Geral da Educação (2641)</t>
  </si>
  <si>
    <t>Direção-Geral da Administração Escolar (2530)</t>
  </si>
  <si>
    <t>Conselho Nacional de Educação (2625)</t>
  </si>
  <si>
    <t>Agência Nacional para a Qualificação e o Ensino Profissional, I.P. (5737)</t>
  </si>
  <si>
    <t>Agência Nacional Erasmus + Juventude/Desporto e Corpo Europeu de Solidariedade (5964)</t>
  </si>
  <si>
    <t>Ação Governativa - Ministério da Educação (ME) (4268)</t>
  </si>
  <si>
    <t>Universidade Nova de Lisboa - Fundação Pública (5987)</t>
  </si>
  <si>
    <t>Universidade dos Açores (5305)</t>
  </si>
  <si>
    <t>Universidade do Porto - Fundação Pública (5807)</t>
  </si>
  <si>
    <t>Universidade do Minho - Fundação Pública (5326)</t>
  </si>
  <si>
    <t>Universidade do Algarve (5306)</t>
  </si>
  <si>
    <t>Universidade de Trás-os-Montes e Alto Douro (5360)</t>
  </si>
  <si>
    <t>Universidade de Lisboa (UL) - Reitoria (5865)</t>
  </si>
  <si>
    <t>Universidade de Évora (5312)</t>
  </si>
  <si>
    <t>Universidade de Coimbra (5309)</t>
  </si>
  <si>
    <t>Universidade de Aveiro - Fundação Pública (5841)</t>
  </si>
  <si>
    <t>Universidade da Madeira (5325)</t>
  </si>
  <si>
    <t>Universidade da Beira Interior (5308)</t>
  </si>
  <si>
    <t>Universidade Aberta (5304)</t>
  </si>
  <si>
    <t>UNINOVA - Instituto de Desenvolvimento de Novas Tecnologias (5019)</t>
  </si>
  <si>
    <t>UL - Instituto Superior Técnico (5353)</t>
  </si>
  <si>
    <t>UL - Instituto Superior de Economia e Gestão (5354)</t>
  </si>
  <si>
    <t>UL - Instituto Superior de Agronomia (5355)</t>
  </si>
  <si>
    <t>UL - Instituto Superior Ciências Sociais Políticas (5357)</t>
  </si>
  <si>
    <t>UL - Instituto de Geografia e Ordenamento do Território (5765)</t>
  </si>
  <si>
    <t>UL - Instituto de Educação (5764)</t>
  </si>
  <si>
    <t>UL - Instituto de Ciências Sociais (5322)</t>
  </si>
  <si>
    <t>UL - Faculdade de Psicologia (5763)</t>
  </si>
  <si>
    <t>UL - Faculdade de Motricidade Humana (5359)</t>
  </si>
  <si>
    <t>UL - Faculdade de Medicina Veterinária (5356)</t>
  </si>
  <si>
    <t>UL - Faculdade de Medicina Dentária (5320)</t>
  </si>
  <si>
    <t>UL - Faculdade de Medicina (5316)</t>
  </si>
  <si>
    <t>UL - Faculdade de Letras (5314)</t>
  </si>
  <si>
    <t>UL - Faculdade de Farmácia (5318)</t>
  </si>
  <si>
    <t>UL - Faculdade de Direito (5315)</t>
  </si>
  <si>
    <t>UL - Faculdade de Ciências (5317)</t>
  </si>
  <si>
    <t>UL - Faculdade de Belas-Artes (5321)</t>
  </si>
  <si>
    <t>UL - Faculdade de Arquitetura (5358)</t>
  </si>
  <si>
    <t>SAS - Universidade dos Açores (5433)</t>
  </si>
  <si>
    <t>SAS - Universidade do Minho (5441)</t>
  </si>
  <si>
    <t>SAS - Universidade do Algarve (5434)</t>
  </si>
  <si>
    <t>SAS - Universidade de Trás-os-Montes e Alto Douro (5445)</t>
  </si>
  <si>
    <t>SAS - Universidade de Lisboa (UL) (5866)</t>
  </si>
  <si>
    <t>SAS - Universidade de Évora (5438)</t>
  </si>
  <si>
    <t>SAS - Universidade de Coimbra (5437)</t>
  </si>
  <si>
    <t>SAS - Universidade da Madeira (5440)</t>
  </si>
  <si>
    <t>SAS - Universidade Beira Interior (5436)</t>
  </si>
  <si>
    <t>SAS - Instituto Politécnico do Porto (5456)</t>
  </si>
  <si>
    <t>SAS - Instituto Politécnico de Viseu (5461)</t>
  </si>
  <si>
    <t>SAS - Instituto Politécnico de Viana do Castelo (5460)</t>
  </si>
  <si>
    <t>SAS - Instituto Politécnico de Tomar (5459)</t>
  </si>
  <si>
    <t>SAS - Instituto Politécnico de Setúbal (5458)</t>
  </si>
  <si>
    <t>SAS - Instituto Politécnico de Santarém (5457)</t>
  </si>
  <si>
    <t>SAS - Instituto Politécnico de Portalegre (5455)</t>
  </si>
  <si>
    <t>SAS - Instituto Politécnico de Lisboa (5454)</t>
  </si>
  <si>
    <t>SAS - Instituto Politécnico de Leiria (5453)</t>
  </si>
  <si>
    <t>SAS - Instituto Politécnico de Coimbra (5451)</t>
  </si>
  <si>
    <t>SAS - Instituto Politécnico de Castelo Branco (5450)</t>
  </si>
  <si>
    <t>SAS - Instituto Politécnico de Bragança (5449)</t>
  </si>
  <si>
    <t>SAS - Instituto Politécnico de Beja (5448)</t>
  </si>
  <si>
    <t>SAS - Instituto Politécnico da Guarda (5452)</t>
  </si>
  <si>
    <t>ISCTE - Instituto Universitário de Lisboa - Fundação Pública (5840)</t>
  </si>
  <si>
    <t>Instituto Superior de Engenharia do Porto (5410)</t>
  </si>
  <si>
    <t>Instituto Superior de Engenharia de Lisboa (5400)</t>
  </si>
  <si>
    <t>Instituto Politécnico do Porto (5406)</t>
  </si>
  <si>
    <t>Instituto Politécnico do Cávado e do Ave - Fundação Pública (5379)</t>
  </si>
  <si>
    <t>Instituto Politécnico de Viseu (5426)</t>
  </si>
  <si>
    <t>Instituto Politécnico de Viana do Castelo (5421)</t>
  </si>
  <si>
    <t>Instituto Politécnico de Tomar (5420)</t>
  </si>
  <si>
    <t>Instituto Politécnico de Setúbal (5416)</t>
  </si>
  <si>
    <t>Instituto Politécnico de Santarém (5411)</t>
  </si>
  <si>
    <t>Instituto Politécnico de Portalegre (5401)</t>
  </si>
  <si>
    <t>Instituto Politécnico de Lisboa (5393)</t>
  </si>
  <si>
    <t>Instituto Politécnico de Leiria (5389)</t>
  </si>
  <si>
    <t>Instituto Politécnico de Coimbra (5380)</t>
  </si>
  <si>
    <t>Instituto Politécnico de Castelo Branco (5374)</t>
  </si>
  <si>
    <t>Instituto Politécnico de Bragança (5372)</t>
  </si>
  <si>
    <t>Instituto Politécnico de Beja (5367)</t>
  </si>
  <si>
    <t>Instituto Politécnico da Guarda (5385)</t>
  </si>
  <si>
    <t>IMAR - Instituto do Mar (5879)</t>
  </si>
  <si>
    <t>Fundação para o Desenvolvimento Ciências Económicas Financeiras e Empresariais (5882)</t>
  </si>
  <si>
    <t>Fundação para a Ciência e Tecnologia, I.P. (5298)</t>
  </si>
  <si>
    <t>Fundação Gaspar Frutuoso (5960)</t>
  </si>
  <si>
    <t>Escola Superior Náutica Infante D. Henrique (5747)</t>
  </si>
  <si>
    <t>Escola Superior de Hotelaria e Turismo do Estoril (5278)</t>
  </si>
  <si>
    <t>Escola Superior de Enfermagem do Porto (5732)</t>
  </si>
  <si>
    <t>Escola Superior de Enfermagem de Lisboa (5748)</t>
  </si>
  <si>
    <t>Escola Superior de Enfermagem de Coimbra (5731)</t>
  </si>
  <si>
    <t>Direção-Geral do Ensino Superior (2561)</t>
  </si>
  <si>
    <t>Centro Científico e Cultural de Macau, I.P. (2168)</t>
  </si>
  <si>
    <t>AUP - Associação das Universidades Portuguesas (5008)</t>
  </si>
  <si>
    <t>Agência Nacional para a Gestão do Programa Erasmus + Educação e Formação (5963)</t>
  </si>
  <si>
    <t>Agência Espacial Portuguesa - Portugal SPACE (5025)</t>
  </si>
  <si>
    <t>Ação Governativa - Ministério da Ciência, Tecnologia e Ensino Superior (MCTES) (4404)</t>
  </si>
  <si>
    <t>Academia das Ciências de Lisboa (2164)</t>
  </si>
  <si>
    <t>Teatro Nacional de São João, E.P.E (5778)</t>
  </si>
  <si>
    <t>Teatro Nacional D. Maria II, E.P.E. (5968)</t>
  </si>
  <si>
    <t>Rádio e Televisão de Portugal, S.A. (5777)</t>
  </si>
  <si>
    <t>OPART- Organismo de Produção Artística, E.P.E. (5862)</t>
  </si>
  <si>
    <t>Instituto do Cinema e do Audiovisual, I.P. (5487)</t>
  </si>
  <si>
    <t>Gestão Administrativa e Financeira do Ministério da Cultura (4403)</t>
  </si>
  <si>
    <t>Gabinetes dos Membros do Governo do Ministério da Cultura (4400)</t>
  </si>
  <si>
    <t>Fundo de Salvaguarda do Património Cultural (5766)</t>
  </si>
  <si>
    <t>Fundo de Fomento Cultural (5484)</t>
  </si>
  <si>
    <t>Fundação Centro Cultural de Belém (5885)</t>
  </si>
  <si>
    <t>Direção-Geral do Património Cultural (5858)</t>
  </si>
  <si>
    <t>Direção Regional de Cultura do Norte (2286)</t>
  </si>
  <si>
    <t>Direção Regional de Cultura do Centro (2287)</t>
  </si>
  <si>
    <t>Direção Regional de Cultura do Algarve (2289)</t>
  </si>
  <si>
    <t>Direção Regional de Cultura do Alentejo (2288)</t>
  </si>
  <si>
    <t>Côa Parque- Fundação para a Salvaguarda e Valorização do Vale do Côa (5957)</t>
  </si>
  <si>
    <t>Cinemateca Portuguesa - Museu do Cinema, I.P. (5861)</t>
  </si>
  <si>
    <t>Tribunal da Relação do Porto (2655)</t>
  </si>
  <si>
    <t>Tribunal da Relação de Lisboa (2654)</t>
  </si>
  <si>
    <t>Tribunal da Relação de Guimarães (2658)</t>
  </si>
  <si>
    <t>Tribunal da Relação de Évora (2657)</t>
  </si>
  <si>
    <t>Tribunal da Relação de Coimbra (2656)</t>
  </si>
  <si>
    <t>Tribunal Central Administrativo - Sul (2659)</t>
  </si>
  <si>
    <t>Tribunal Central Administrativo - Norte (2804)</t>
  </si>
  <si>
    <t>Polícia Judiciária (1223)</t>
  </si>
  <si>
    <t>Instituto dos Registos e do Notariado, I.P. (1221)</t>
  </si>
  <si>
    <t>Comissão para o Acompanhamento dos Auxiliares de Justiça (5940)</t>
  </si>
  <si>
    <t>Centro de Estudos Judiciários (1281)</t>
  </si>
  <si>
    <t>Serviços Sociais da P.S.P. (5249)</t>
  </si>
  <si>
    <t>Serviços Sociais da G.N.R. (5248)</t>
  </si>
  <si>
    <t>Serviço de Estrangeiros e Fronteiras (1973)</t>
  </si>
  <si>
    <t>Polícia de Segurança Pública (1974)</t>
  </si>
  <si>
    <t>Guarda Nacional Republicana (1975)</t>
  </si>
  <si>
    <t>Escola Nacional de Bombeiros (5016)</t>
  </si>
  <si>
    <t>Cofre de Previdência da P.S.P. (5245)</t>
  </si>
  <si>
    <t>Autoridade Nacional de Segurança Rodoviária (2947)</t>
  </si>
  <si>
    <t>Autoridade Nacional de Emergência e Proteção Civil (5738)</t>
  </si>
  <si>
    <t>Polícia Judiciária Militar (2351)</t>
  </si>
  <si>
    <t>Marinha (2791)</t>
  </si>
  <si>
    <t>Instituto Hidrográfico (5229)</t>
  </si>
  <si>
    <t>Instituto de Defesa Nacional (2350)</t>
  </si>
  <si>
    <t>Força Aérea (2793)</t>
  </si>
  <si>
    <t>Exército (2792)</t>
  </si>
  <si>
    <t>Estado-Maior General das Forças Armadas (2790)</t>
  </si>
  <si>
    <t>Fundo de Regularização da Dívida Pública (5223)</t>
  </si>
  <si>
    <t>Unidade Técnica de Acompanhamento e Monitorização do Setor Público Empresarial (4426)</t>
  </si>
  <si>
    <t>Unidade Técnica de Acompanhamento de Projetos (4425)</t>
  </si>
  <si>
    <t>Sistema de Indemnização aos Investidores (5969)</t>
  </si>
  <si>
    <t>Secretaria-Geral do Ministério das Finanças (4432)</t>
  </si>
  <si>
    <t>Parvalorem, S.A. (5782)</t>
  </si>
  <si>
    <t>Parups, S.A. (5781)</t>
  </si>
  <si>
    <t>Oitante, S.A. (5974)</t>
  </si>
  <si>
    <t>Inspeção-Geral de Finanças (4435)</t>
  </si>
  <si>
    <t>Gabinete de Planeamento, Estratégia, Avaliação e Relações Internacionais (4433)</t>
  </si>
  <si>
    <t>Fundo de Resolução (5919)</t>
  </si>
  <si>
    <t>Fundo de Reabilitação e Conservação Patrimonial (5760)</t>
  </si>
  <si>
    <t>Fundo de Garantia de Depósitos (5932)</t>
  </si>
  <si>
    <t>Fundo de Garantia Automóvel (5756)</t>
  </si>
  <si>
    <t>Fundo de Estabilização Tributário (5214)</t>
  </si>
  <si>
    <t>Fundo de Acidentes de Trabalho (5218)</t>
  </si>
  <si>
    <t>ESTAMO - Participações Imobiliárias, S.A. (5913)</t>
  </si>
  <si>
    <t>Entidade de Serviços Partilhados da Administração Pública, I.P. (5857)</t>
  </si>
  <si>
    <t>Direção-Geral de Tesouro e Finanças (4437)</t>
  </si>
  <si>
    <t>Comissão do Mercado de Valores Mobiliários (5224)</t>
  </si>
  <si>
    <t>Comissão de Normalização Contabilística (4423)</t>
  </si>
  <si>
    <t>Banif, S.A. (5971)</t>
  </si>
  <si>
    <t>Banif Imobiliária, S.A. (5970)</t>
  </si>
  <si>
    <t>Autoridade Tributária e Aduaneira (3130)</t>
  </si>
  <si>
    <t>Autoridade de Supervisão de Seguros e Fundos de Pensões (5221)</t>
  </si>
  <si>
    <t>Fundo para as Relações Internacionais, I.P. (5242)</t>
  </si>
  <si>
    <t>Camões - Instituto da Cooperação e da Língua, I.P. (5848)</t>
  </si>
  <si>
    <t>Turismo do Porto e Norte de Portugal, E.R. (5907)</t>
  </si>
  <si>
    <t>Turismo do Alentejo, E.R.T. (5910)</t>
  </si>
  <si>
    <t>Turismo Centro de Portugal (5908)</t>
  </si>
  <si>
    <t>Região de Turismo do Algarve (5911)</t>
  </si>
  <si>
    <t>Instituto Português de Acreditação I.P. (5705)</t>
  </si>
  <si>
    <t>Fundo para a Promoção dos Direitos dos Consumidores (5022)</t>
  </si>
  <si>
    <t>Fundo de Inovação, Tecnologia e Economia Circular (5986)</t>
  </si>
  <si>
    <t>Fundo de Fundos para a Internacionalização (5010)</t>
  </si>
  <si>
    <t>Fundo de Contragarantia Mútuo (5955)</t>
  </si>
  <si>
    <t>Fundo de Coinvestimento 200M (5007)</t>
  </si>
  <si>
    <t>Fundo de Capital e Quase Capital (5984)</t>
  </si>
  <si>
    <t>Fundo de Apoio ao Turismo e ao Cinema (5006)</t>
  </si>
  <si>
    <t>Entidade Regional de Turismo da Região de Lisboa (5909)</t>
  </si>
  <si>
    <t>Unidade Nacional do Mecanismo Financeiro do Espaço Económico Europeu (4456)</t>
  </si>
  <si>
    <t>Serviços Sociais da Administração Pública (5739)</t>
  </si>
  <si>
    <t>Serviço de Informações Estratégicas de Defesa (5227)</t>
  </si>
  <si>
    <t>Instituto Nacional de Estatística, I.P. (2190)</t>
  </si>
  <si>
    <t>Instituto de Proteção e Assistência na Doença, I.P. (5983)</t>
  </si>
  <si>
    <t>Gestão Administrativa e Financeira da Presidência do Conselho de Ministros (4388)</t>
  </si>
  <si>
    <t>Gabinetes dos Membros do Governo da Presidência do Conselho de Ministros (4259)</t>
  </si>
  <si>
    <t>Gabinetes dos Membros do Governo - Coesão Territorial (4455)</t>
  </si>
  <si>
    <t>Fundo para a Inovação Social (5009)</t>
  </si>
  <si>
    <t>Fundo de Apoio Municipal (5949)</t>
  </si>
  <si>
    <t>Fundação Luso-Americana para o Desenvolvimento (5886)</t>
  </si>
  <si>
    <t>Instituto Nacional de Administração, I.P. (5032)</t>
  </si>
  <si>
    <t>Direção-Geral da Administração e do Emprego Público (4436)</t>
  </si>
  <si>
    <t>Comissão de Coordenação e Desenvolvimento Regional do Norte (5685)</t>
  </si>
  <si>
    <t>Comissão de Coordenação e Desenvolvimento Regional do Centro (5686)</t>
  </si>
  <si>
    <t>Comissão de Coordenação e Desenvolvimento Regional do Algarve (5689)</t>
  </si>
  <si>
    <t>Comissão de Coordenação e Desenvolvimento Regional do Alentejo (5688)</t>
  </si>
  <si>
    <t>Comissão de Coordenação e Desenvolvimento Regional de Lisboa e Vale do Tejo (5687)</t>
  </si>
  <si>
    <t>Agência para o Desenvolvimento e Coesão (5875)</t>
  </si>
  <si>
    <t>Agência para a Modernização Administrativa, I.P. (5746)</t>
  </si>
  <si>
    <t>Tribunal de Contas - Sede (1013)</t>
  </si>
  <si>
    <t>Tribunal de Contas - Secção Regional dos Açores (1920)</t>
  </si>
  <si>
    <t>Tribunal de Contas - Secção Regional da Madeira (1921)</t>
  </si>
  <si>
    <t>Tribunal Constitucional (5962)</t>
  </si>
  <si>
    <t>Supremo Tribunal de Justiça (1206)</t>
  </si>
  <si>
    <t>Supremo Tribunal Administrativo (1207)</t>
  </si>
  <si>
    <t>Serviço do Provedor de Justiça (5202)</t>
  </si>
  <si>
    <t>Procuradoria Geral da República (5017)</t>
  </si>
  <si>
    <t>Presidência da República (5200)</t>
  </si>
  <si>
    <t>Mec. Nac. Monotor. da Implementação da Conv. S. Direitos Pessoas C. Deficiência (4457)</t>
  </si>
  <si>
    <t>Entidade Reguladora para a Comunicação Social (5733)</t>
  </si>
  <si>
    <t>Conselho Superior de Magistratura (5750)</t>
  </si>
  <si>
    <t>Conselho Nacional de Ética para as Ciências da Vida (3046)</t>
  </si>
  <si>
    <t>Conselho Económico e Social (2334)</t>
  </si>
  <si>
    <t>Conselho de Prevenção da Corrupção (3014)</t>
  </si>
  <si>
    <t>Conselho das Finanças Públicas (5846)</t>
  </si>
  <si>
    <t>Comissão Nacional de Proteção de Dados (5014)</t>
  </si>
  <si>
    <t>Comissão Nacional de Eleições (3043)</t>
  </si>
  <si>
    <t>Comissão de Acesso aos Documentos Administrativos (3044)</t>
  </si>
  <si>
    <t>Cofre Privativo Tribunal Contas - Madeira (5210)</t>
  </si>
  <si>
    <t>Cofre Privativo do Tribunal de Contas - Sede (5208)</t>
  </si>
  <si>
    <t>Cofre Privativo do Tribunal de Contas - Açores (5209)</t>
  </si>
  <si>
    <t>Assembleia da República (5201)</t>
  </si>
  <si>
    <t>Pagamento à parceria público-privada do Hospital de Loures, efetuado em janeiro de 2022, decorrente de decisão arbitral de tribunal.</t>
  </si>
  <si>
    <t>Payment to the Hospital Beatriz Ângelo's public-private partnership, made in January 2022, following arbitral tribunal decision.</t>
  </si>
  <si>
    <t>FUNDAÇÃO PARA O DESENVOLVIMENTO CIÊNCIAS ECONÓMICAS FINANCEIRAS E EMPRESARIAIS</t>
  </si>
  <si>
    <t>Atualização do valor de referência anual da prestação social de inclusão pela Portaria n.º 5/2021, de 6 de janeiro, com efeitos retroativos a partir de 1 de outubro de 2020. Esta operação contabilística gerou um movimento em sentido contrário na receita de Reposições não abatidas nos pagamentos.</t>
  </si>
  <si>
    <t>Update of the annual reference value of the social inclusion benefit by Portaria No. 5/2021, of January 6, with retroactive effect from October 1, 2020. This accounting operation was compensated by an opposite efect on the revenue side.</t>
  </si>
  <si>
    <t>jun</t>
  </si>
  <si>
    <t/>
  </si>
  <si>
    <t>jul</t>
  </si>
  <si>
    <t>Gabinete do Representante  da República - Região Autónoma da Madeira (2335)</t>
  </si>
  <si>
    <t>Gabinete do Representante  da República - Região Autónoma dos Açores (2336)</t>
  </si>
  <si>
    <t>Agência para a Gestão Integrada de Fogos Rurais, I. P. (4447)</t>
  </si>
  <si>
    <t>Alto Comissariado para as Migrações, IP (5893)</t>
  </si>
  <si>
    <t>Autoridade Antidopagem de Portugal (4459)</t>
  </si>
  <si>
    <t>Autoridade para Prevenção e Combate à Violência Desporto (4449)</t>
  </si>
  <si>
    <t>Comissao de Recrutamento e Seleção para a AP - CRESAP (4424)</t>
  </si>
  <si>
    <t>Direção-Geral das Autarquias Locais (4445)</t>
  </si>
  <si>
    <t>Gabinete do Secretário-Geral  Estruturas Comuns ao SIED e SIS (5753)</t>
  </si>
  <si>
    <t>Instituto Português do Desporto e Juventude, IP (5844)</t>
  </si>
  <si>
    <t>Serviço de Informações de Seguranca (5247)</t>
  </si>
  <si>
    <t>Ação Governativa (4236)</t>
  </si>
  <si>
    <t>AICEP - Agência para o Investimento e Comércio Externo de Portugal, EPE (5884)</t>
  </si>
  <si>
    <t>Gestão Administrativa e Financeira do Orçamento do MNE (4237)</t>
  </si>
  <si>
    <t>Arsenal do Alfeite, SA (5838)</t>
  </si>
  <si>
    <t>Direcção Geral de Política de Defesa Nacional (2344)</t>
  </si>
  <si>
    <t>Direcção-Geral de Recursos da Defesa Nacional (4394)</t>
  </si>
  <si>
    <t>Extra - Explosivos da Trafaria, SA (5889)</t>
  </si>
  <si>
    <t>Gabinete de Membros do Governo (2342)</t>
  </si>
  <si>
    <t>IDD - Portugal Defence SA (5888)</t>
  </si>
  <si>
    <t>Inspecção Geral de Defesa Nacional (2349)</t>
  </si>
  <si>
    <t>Instituto de Ação Social das Forcas Armadas (5239)</t>
  </si>
  <si>
    <t>Laboratório Nacional do Medicamento (5030)</t>
  </si>
  <si>
    <t>Secretaria Geral do Ministério da Defesa (2343)</t>
  </si>
  <si>
    <t>Ação Governativa (4263)</t>
  </si>
  <si>
    <t>Inspecção Geral da Administração  Interna (1947)</t>
  </si>
  <si>
    <t>Secretaria Geral do Ministério da Administração Interna (1950)</t>
  </si>
  <si>
    <t>SIRESP - Gestão de Redes Digitais de Segurança e Emergência, SA (5023)</t>
  </si>
  <si>
    <t>Comissão de Protecção de Vítimas de Crimes (3047)</t>
  </si>
  <si>
    <t>Direcção-Geral  de Reinserção e Serviços Prisionais (4215)</t>
  </si>
  <si>
    <t>Direcção-Geral da  Administração da Justiça (1201)</t>
  </si>
  <si>
    <t>Direcção-Geral da Política de Justiça (2932)</t>
  </si>
  <si>
    <t>Fundo para a Modernização da Justiça (5851)</t>
  </si>
  <si>
    <t>Gabinetes dos Membros do Governo (4257)</t>
  </si>
  <si>
    <t>Inspecção Geral dos Serviços de Justiça (2550)</t>
  </si>
  <si>
    <t>Instituto Gestão Financeira e Equipamentos da Justiça, IP (5852)</t>
  </si>
  <si>
    <t>Instituto Nacional da Propriedade Industrial,I.P. (5745)</t>
  </si>
  <si>
    <t>Instituto Nacional de Medicina Legal e Ciências Forenses,I.P. (5262)</t>
  </si>
  <si>
    <t>Secretaria Geral do Ministério da Justiça (1203)</t>
  </si>
  <si>
    <t>Consest - Promoção Imobiliária, S.A. (5914)</t>
  </si>
  <si>
    <t>Parparticipadas, S.G.P.S., S.A. (5926)</t>
  </si>
  <si>
    <t>Parpública - Participações Públicas, S.G.P.S., S.A. (5915)</t>
  </si>
  <si>
    <t>Ação Governativa do Ministério das Finanças (4235)</t>
  </si>
  <si>
    <t>Agência de Gestão da Tesouraria e da Dívida Pública, E.P.E. (5215)</t>
  </si>
  <si>
    <t>Direção Geral do Orçamento (4434)</t>
  </si>
  <si>
    <t>Fundo p/ a Revitalização e Modernização do Tecido Empresarial, S.G.P.S., S.A. (5921)</t>
  </si>
  <si>
    <t>SAGESECUR -  Sociedade de Estudos, Desenvolvimento e Part. em Projetos, S.A. (5956)</t>
  </si>
  <si>
    <t>WIL - Projetos Turísticos, S.A. (5978)</t>
  </si>
  <si>
    <t>Fundo Revive Natureza (5027)</t>
  </si>
  <si>
    <t>Agência Nacional de Inovação, SA (5953)</t>
  </si>
  <si>
    <t>Autoridade da Concorrência (5690)</t>
  </si>
  <si>
    <t>Enatur - Empresa Nacional de Turismo, S.A. (5786)</t>
  </si>
  <si>
    <t>Estrutura de Missão para as Comemorações do V Centenário da Circum-Navegação (4442)</t>
  </si>
  <si>
    <t>Fundo de Capitalização e Resiliência (5036)</t>
  </si>
  <si>
    <t>Fundo de Dívida e Garantias (5985)</t>
  </si>
  <si>
    <t>Gabinete Investigação Acidentes Marítimos Autoridade para a Meteorol Aeronáutica (4420)</t>
  </si>
  <si>
    <t>Gestão Administrativa e Financeira do Min da Economia e do Mar (4280)</t>
  </si>
  <si>
    <t>IAPMEI - Agência para a Competitividade e Inovação, IP (5266)</t>
  </si>
  <si>
    <t>Instituto do Turismo de Portugal I.P. (5277)</t>
  </si>
  <si>
    <t>Instituto Português da Qualidade I.P. (5267)</t>
  </si>
  <si>
    <t>I3S - Instituto de Investigação e Inovação em Saúde da Universidade do Porto (5034)</t>
  </si>
  <si>
    <t>IPATIMUP - Instituto de Patologia e Imunologia Molecular da Universidade do Port (5035)</t>
  </si>
  <si>
    <t>Centro Hospitalar Universitário Da Cova Da Beira, Epe (6500)</t>
  </si>
  <si>
    <t>Centro de Medicina de Reabilitação da Região Centro - Rovisco Pais (5535)</t>
  </si>
  <si>
    <t>EAS - Empresa Ambiente na Saúde, Unipessoal, Lda. (5894)</t>
  </si>
  <si>
    <t>Hospital de Vila Franca de Xira, EPE (6566)</t>
  </si>
  <si>
    <t>Instituto da Habitação e da Reabilitação Urbana, I.P. (5013)</t>
  </si>
  <si>
    <t>Ação Governativa - Ministério da Agricultura e Alimentação (MAA) (4256)</t>
  </si>
  <si>
    <t>Por motivos de ordem técnica, a execução orçamental do Exército, relativa a julho de 2021 e 2022, não foi apropriada integralmente pelos sistemas orçamentais centrais, tendo as entidades enviado, posteriormente, a devida informação.</t>
  </si>
  <si>
    <t>Due to technical reasons, the budget implementation data regarding the Army for july 2021 and 2022, was not fully transposed from the local to the central budget information systems. The required information was later sent by the aforementioned entities.</t>
  </si>
  <si>
    <t>Banif, S.A.; Fundação para o Desenvolvimento Ciências Económicas Financeiras e Empresariais; Fundo de Reabilitação e Conservação Patrimonial; Wil - Projetos Turísticos, S.A..</t>
  </si>
  <si>
    <t>Banif, S.A.; Fundação para o Desenvolvimento Ciências Económicas Financeiras e Empresariais; Wil - Projetos Turísticos, S.A..</t>
  </si>
  <si>
    <t>a) TDC- The Discoveries Centre For Regenerative And Precision Medicine – Associação – Entidade extinta</t>
  </si>
  <si>
    <t>b) Polis Litoral Sudoeste - Sociedade para a Requalificação e Valorização do Sudoeste Alentejano e Costa Vicentina, S.A. – Entidade extinta</t>
  </si>
  <si>
    <t>Alterações:</t>
  </si>
  <si>
    <t>A presente listagem apresenta as entidades da Administração Central que integram o Orçamento do Estado para 2022.</t>
  </si>
  <si>
    <r>
      <t xml:space="preserve">Polis Litoral Sudoeste - Sociedade para a Requalificação e Valorização do Sudoeste Alentejano e Costa Vicentina, S.A. (5800)      </t>
    </r>
    <r>
      <rPr>
        <b/>
        <sz val="8"/>
        <color rgb="FF000000"/>
        <rFont val="Calibri"/>
        <family val="2"/>
        <scheme val="minor"/>
      </rPr>
      <t xml:space="preserve"> b)</t>
    </r>
  </si>
  <si>
    <t>FUNDO DE REABILITAÇÃO E CONSERVAÇÃO PATRIMONIAL</t>
  </si>
  <si>
    <t>WIL - PROJETOS TURÍSTICOS, S.A.</t>
  </si>
  <si>
    <t>EXÉRCITO b)</t>
  </si>
  <si>
    <t>Ação Governativa do Ministério da Economia e Mar (4264)</t>
  </si>
  <si>
    <r>
      <t xml:space="preserve">TDC - The Discoveries Centre For Regenerative And Precision Medicine - Associação (5018)       </t>
    </r>
    <r>
      <rPr>
        <b/>
        <sz val="8"/>
        <color rgb="FF000000"/>
        <rFont val="Calibri"/>
        <family val="2"/>
        <scheme val="minor"/>
      </rPr>
      <t>a)</t>
    </r>
  </si>
  <si>
    <t>Garantia Infância</t>
  </si>
  <si>
    <t>O orçamento inicial foi revisto face à informação anteriormente publicada em consonância com a informação detalhada facultada pela Instituto de Gestão Financeira da Segurança Social.</t>
  </si>
  <si>
    <t>Escolher Língua:
Choose Language: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</si>
</sst>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5">
    <numFmt numFmtId="44" formatCode="_-* #,##0.00\ &quot;€&quot;_-;\-* #,##0.00\ &quot;€&quot;_-;_-* &quot;-&quot;??\ &quot;€&quot;_-;_-@_-"/>
    <numFmt numFmtId="43" formatCode="_-* #,##0.00\ _€_-;\-* #,##0.00\ _€_-;_-* &quot;-&quot;??\ _€_-;_-@_-"/>
    <numFmt numFmtId="164" formatCode="_-* #,##0.00_-;\-* #,##0.00_-;_-* &quot;-&quot;??_-;_-@_-"/>
    <numFmt numFmtId="165" formatCode="#,##0.0"/>
    <numFmt numFmtId="166" formatCode="0.0%"/>
    <numFmt numFmtId="167" formatCode="[$-816]dd/mmm/yy;@"/>
    <numFmt numFmtId="168" formatCode="0.00000"/>
    <numFmt numFmtId="169" formatCode="#,##0.000"/>
    <numFmt numFmtId="170" formatCode="#,##0.0000"/>
    <numFmt numFmtId="171" formatCode="0.0"/>
    <numFmt numFmtId="172" formatCode="#,##0.000000"/>
    <numFmt numFmtId="173" formatCode="_-* #,##0.00000000\ _€_-;\-* #,##0.00000000\ _€_-;_-* &quot;-&quot;??\ _€_-;_-@_-"/>
    <numFmt numFmtId="174" formatCode="_-* #,##0.000000\ _€_-;\-* #,##0.000000\ _€_-;_-* &quot;-&quot;??\ _€_-;_-@_-"/>
    <numFmt numFmtId="175" formatCode="_-* #,##0\ _€_-;\-* #,##0\ _€_-;_-* &quot;-&quot;??\ _€_-;_-@_-"/>
    <numFmt numFmtId="176" formatCode="_-* #,##0.0000000\ _€_-;\-* #,##0.0000000\ _€_-;_-* &quot;-&quot;??\ _€_-;_-@_-"/>
    <numFmt numFmtId="177" formatCode="_-* #,##0.0000\ _€_-;\-* #,##0.0000\ _€_-;_-* &quot;-&quot;??\ _€_-;_-@_-"/>
    <numFmt numFmtId="178" formatCode="_-* #,##0.000\ _€_-;\-* #,##0.000\ _€_-;_-* &quot;-&quot;??\ _€_-;_-@_-"/>
    <numFmt numFmtId="179" formatCode="_-* #,##0.0\ _€_-;\-* #,##0.0\ _€_-;_-* &quot;-&quot;??\ _€_-;_-@_-"/>
    <numFmt numFmtId="180" formatCode="_-* #,##0.00000\ _€_-;\-* #,##0.00000\ _€_-;_-* &quot;-&quot;??\ _€_-;_-@_-"/>
    <numFmt numFmtId="181" formatCode="#,##0.0000000"/>
    <numFmt numFmtId="182" formatCode="_-* #,##0.00000000000\ _€_-;\-* #,##0.00000000000\ _€_-;_-* &quot;-&quot;??\ _€_-;_-@_-"/>
    <numFmt numFmtId="183" formatCode="#,##0.00000"/>
    <numFmt numFmtId="184" formatCode="#,##0.00000000"/>
    <numFmt numFmtId="185" formatCode="#,##0.000000000"/>
    <numFmt numFmtId="186" formatCode="0.000000000"/>
    <numFmt numFmtId="187" formatCode="#,##0.0000000000"/>
    <numFmt numFmtId="188" formatCode="0.000000"/>
    <numFmt numFmtId="189" formatCode="0.0000000"/>
    <numFmt numFmtId="190" formatCode="0.000000000000"/>
    <numFmt numFmtId="191" formatCode="0.00000000000"/>
    <numFmt numFmtId="192" formatCode="#,##0.00000000000"/>
    <numFmt numFmtId="193" formatCode="#,##0.0_ ;\-#,##0.0\ "/>
    <numFmt numFmtId="194" formatCode="_ [$￥-804]* #,##0.00_ ;_ [$￥-804]* \-#,##0.00_ ;_ [$￥-804]* &quot;-&quot;??_ ;_ @_ "/>
    <numFmt numFmtId="195" formatCode="0.00_ ;[Red]\-0.00\ "/>
    <numFmt numFmtId="196" formatCode="0.0000_ ;[Red]\-0.0000\ "/>
    <numFmt numFmtId="197" formatCode="0.0000"/>
    <numFmt numFmtId="198" formatCode="0.000"/>
    <numFmt numFmtId="199" formatCode="0.0_ ;[Red]\-0.0\ "/>
    <numFmt numFmtId="200" formatCode="_-* #,##0\ [$€-1]_-;\-* #,##0\ [$€-1]_-;_-* &quot;-&quot;??\ [$€-1]_-"/>
    <numFmt numFmtId="201" formatCode="[$-409]mmm\-yy;@"/>
    <numFmt numFmtId="202" formatCode="#,##0;\(#,##0\)"/>
    <numFmt numFmtId="203" formatCode="#,##0;\-#,##0;\-"/>
    <numFmt numFmtId="204" formatCode="&quot;$&quot;#,##0.00_);[Red]\(&quot;$&quot;#,##0.00\)"/>
    <numFmt numFmtId="205" formatCode="&quot;Perpetuidade (g= &quot;0.0%&quot;)&quot;"/>
    <numFmt numFmtId="206" formatCode="[$-409]mmm/yy;@"/>
    <numFmt numFmtId="207" formatCode="_-* #,##0.0\ &quot;€&quot;_-;\-* #,##0.0\ &quot;€&quot;_-;_-* &quot;-&quot;??\ &quot;€&quot;_-;_-@_-"/>
    <numFmt numFmtId="208" formatCode="_-* #,##0\ &quot;€&quot;_-;\-* #,##0\ &quot;€&quot;_-;_-* &quot;-&quot;??\ &quot;€&quot;_-;_-@_-"/>
    <numFmt numFmtId="209" formatCode="&quot;$&quot;#,##0.00_);\(&quot;$&quot;#,##0.00\)"/>
    <numFmt numFmtId="210" formatCode="_(&quot;$&quot;* #,##0.00_);_(&quot;$&quot;* \(#,##0.00\);_(&quot;$&quot;* &quot;-&quot;??_);_(@_)"/>
    <numFmt numFmtId="211" formatCode="&quot;$&quot;#,##0_);\(&quot;$&quot;#,##0\)"/>
    <numFmt numFmtId="212" formatCode="mmmm\ d\,\ yyyy"/>
    <numFmt numFmtId="213" formatCode="_-* #,##0.00\ [$€]_-;\-* #,##0.00\ [$€]_-;_-* &quot;-&quot;??\ [$€]_-;_-@_-"/>
    <numFmt numFmtId="214" formatCode="_-* #,##0.00\ [$€-1]_-;\-* #,##0.00\ [$€-1]_-;_-* &quot;-&quot;??\ [$€-1]_-"/>
    <numFmt numFmtId="215" formatCode="mmm\-d\-yyyy"/>
    <numFmt numFmtId="216" formatCode="#,##0.0_);[Red]\(#,##0.0\)"/>
    <numFmt numFmtId="217" formatCode="0.0%;[Red]\(0.0%\)"/>
    <numFmt numFmtId="218" formatCode="_-* #,##0.00\ _P_t_s_-;\-* #,##0.00\ _P_t_s_-;_-* &quot;-&quot;??\ _P_t_s_-;_-@_-"/>
    <numFmt numFmtId="219" formatCode="_-* #,##0.00\ &quot;Esc.&quot;_-;\-* #,##0.00\ &quot;Esc.&quot;_-;_-* &quot;-&quot;??\ &quot;Esc.&quot;_-;_-@_-"/>
    <numFmt numFmtId="220" formatCode="_-* #,##0.00\ &quot;Pts&quot;_-;\-* #,##0.00\ &quot;Pts&quot;_-;_-* &quot;-&quot;??\ &quot;Pts&quot;_-;_-@_-"/>
    <numFmt numFmtId="221" formatCode="#,##0\ "/>
    <numFmt numFmtId="222" formatCode="0.00_)"/>
    <numFmt numFmtId="223" formatCode="#,##0.000_);[Red]\(#,##0.000\)"/>
    <numFmt numFmtId="224" formatCode="0_)"/>
    <numFmt numFmtId="225" formatCode="0.00%;[Red]\(0.00%\)"/>
    <numFmt numFmtId="226" formatCode="0.0%&quot;Sales&quot;"/>
    <numFmt numFmtId="227" formatCode="_-* #,##0.00\ _E_s_c_._-;\-* #,##0.00\ _E_s_c_._-;_-* &quot;-&quot;??\ _E_s_c_._-;_-@_-"/>
    <numFmt numFmtId="228" formatCode="#,"/>
    <numFmt numFmtId="229" formatCode="#,##0.000;[Red]&quot;-&quot;#,##0.000"/>
    <numFmt numFmtId="230" formatCode="#,##0.00;[Red]&quot;-&quot;#,##0.00"/>
    <numFmt numFmtId="231" formatCode="#,##0;\-#,##0;&quot;-&quot;"/>
    <numFmt numFmtId="232" formatCode="#,##0.00;\-#,##0.00;&quot;-&quot;"/>
    <numFmt numFmtId="233" formatCode="#,##0%;\-#,##0%;&quot;- &quot;"/>
    <numFmt numFmtId="234" formatCode="#,##0.0%;\-#,##0.0%;&quot;- &quot;"/>
    <numFmt numFmtId="235" formatCode="#,##0.00%;\-#,##0.00%;&quot;- &quot;"/>
    <numFmt numFmtId="236" formatCode="#,##0.0;\-#,##0.0;&quot;-&quot;"/>
    <numFmt numFmtId="237" formatCode="[Blue]#,##0.0\ \ \ \ \ \ \ "/>
    <numFmt numFmtId="238" formatCode="m\o\n\th\ d\,\ \y\y\y\y"/>
    <numFmt numFmtId="239" formatCode="0%;\(0%\)"/>
    <numFmt numFmtId="240" formatCode="\ \ @"/>
    <numFmt numFmtId="241" formatCode="\ \ \ \ @"/>
    <numFmt numFmtId="242" formatCode="#,##0.00000_ ;\-#,##0.00000\ "/>
    <numFmt numFmtId="243" formatCode="_-* #,##0.0\ _€_-;\-* #,##0.0\ _€_-;_-* &quot;-&quot;?\ _€_-;_-@_-"/>
    <numFmt numFmtId="244" formatCode="_-* #,##0.000000\ _€_-;\-* #,##0.000000\ _€_-;_-* &quot;-&quot;?\ _€_-;_-@_-"/>
    <numFmt numFmtId="245" formatCode="_-* #,##0.000000\ _€_-;\-* #,##0.000000\ _€_-;_-* &quot;-&quot;??????\ _€_-;_-@_-"/>
    <numFmt numFmtId="246" formatCode="#,##0.000000000000"/>
  </numFmts>
  <fonts count="242">
    <font>
      <sz val="11"/>
      <color theme="1"/>
      <name val="Calibri"/>
      <family val="2"/>
      <scheme val="minor"/>
    </font>
    <font>
      <sz val="8"/>
      <color theme="1"/>
      <name val="Calibri"/>
      <family val="2"/>
    </font>
    <font>
      <sz val="8"/>
      <color theme="1"/>
      <name val="Calibri"/>
      <family val="2"/>
    </font>
    <font>
      <sz val="8"/>
      <color theme="1"/>
      <name val="Calibri"/>
      <family val="2"/>
    </font>
    <font>
      <sz val="8"/>
      <color theme="1"/>
      <name val="Calibri"/>
      <family val="2"/>
    </font>
    <font>
      <sz val="11"/>
      <color theme="1"/>
      <name val="Calibri"/>
      <family val="2"/>
      <scheme val="minor"/>
    </font>
    <font>
      <b/>
      <sz val="15"/>
      <color theme="3"/>
      <name val="Calibri"/>
      <family val="2"/>
      <scheme val="minor"/>
    </font>
    <font>
      <sz val="11"/>
      <color rgb="FF006100"/>
      <name val="Calibri"/>
      <family val="2"/>
      <scheme val="minor"/>
    </font>
    <font>
      <sz val="12"/>
      <name val="Times New Roman"/>
      <family val="1"/>
    </font>
    <font>
      <b/>
      <sz val="9"/>
      <name val="Calibri"/>
      <family val="2"/>
    </font>
    <font>
      <sz val="9"/>
      <name val="Calibri"/>
      <family val="2"/>
    </font>
    <font>
      <sz val="10"/>
      <name val="Arial"/>
      <family val="2"/>
    </font>
    <font>
      <b/>
      <sz val="14"/>
      <color rgb="FF002060"/>
      <name val="Calibri"/>
      <family val="2"/>
      <scheme val="minor"/>
    </font>
    <font>
      <sz val="10"/>
      <color rgb="FF002060"/>
      <name val="Arial"/>
      <family val="2"/>
    </font>
    <font>
      <b/>
      <sz val="11"/>
      <color rgb="FF002060"/>
      <name val="Calibri"/>
      <family val="2"/>
      <scheme val="minor"/>
    </font>
    <font>
      <sz val="14"/>
      <color theme="3" tint="-0.249977111117893"/>
      <name val="Calibri"/>
      <family val="2"/>
      <scheme val="minor"/>
    </font>
    <font>
      <sz val="11"/>
      <color rgb="FF002060"/>
      <name val="Calibri"/>
      <family val="2"/>
      <scheme val="minor"/>
    </font>
    <font>
      <sz val="9"/>
      <name val="Arial"/>
      <family val="2"/>
    </font>
    <font>
      <b/>
      <sz val="8"/>
      <color rgb="FF3017FF"/>
      <name val="Calibri"/>
      <family val="2"/>
      <scheme val="minor"/>
    </font>
    <font>
      <b/>
      <sz val="9"/>
      <color rgb="FF3015D5"/>
      <name val="Calibri"/>
      <family val="2"/>
      <scheme val="minor"/>
    </font>
    <font>
      <b/>
      <sz val="9"/>
      <color rgb="FF0000FF"/>
      <name val="Calibri"/>
      <family val="2"/>
    </font>
    <font>
      <sz val="8"/>
      <name val="Calibri"/>
      <family val="2"/>
    </font>
    <font>
      <b/>
      <sz val="8"/>
      <color indexed="12"/>
      <name val="Calibri"/>
      <family val="2"/>
    </font>
    <font>
      <sz val="9"/>
      <color theme="1"/>
      <name val="Calibri"/>
      <family val="2"/>
    </font>
    <font>
      <b/>
      <sz val="8"/>
      <color rgb="FF3015D5"/>
      <name val="Calibri"/>
      <family val="2"/>
    </font>
    <font>
      <b/>
      <sz val="8"/>
      <name val="Calibri"/>
      <family val="2"/>
    </font>
    <font>
      <sz val="8"/>
      <color theme="1"/>
      <name val="Calibri"/>
      <family val="2"/>
    </font>
    <font>
      <sz val="10"/>
      <color theme="1"/>
      <name val="Calibri"/>
      <family val="2"/>
    </font>
    <font>
      <sz val="10"/>
      <name val="Times New Roman"/>
      <family val="1"/>
    </font>
    <font>
      <sz val="8"/>
      <name val="Calibri"/>
      <family val="2"/>
      <scheme val="minor"/>
    </font>
    <font>
      <b/>
      <sz val="8"/>
      <name val="Calibri"/>
      <family val="2"/>
      <scheme val="minor"/>
    </font>
    <font>
      <sz val="9"/>
      <name val="Calibri"/>
      <family val="2"/>
      <scheme val="minor"/>
    </font>
    <font>
      <sz val="10"/>
      <name val="Calibri"/>
      <family val="2"/>
      <scheme val="minor"/>
    </font>
    <font>
      <sz val="8"/>
      <color rgb="FFFFFFFF"/>
      <name val="Calibri"/>
      <family val="2"/>
      <scheme val="minor"/>
    </font>
    <font>
      <b/>
      <sz val="8"/>
      <color rgb="FF3015D5"/>
      <name val="Calibri"/>
      <family val="2"/>
      <scheme val="minor"/>
    </font>
    <font>
      <b/>
      <sz val="8"/>
      <color rgb="FF0000FF"/>
      <name val="Calibri"/>
      <family val="2"/>
      <scheme val="minor"/>
    </font>
    <font>
      <i/>
      <sz val="8"/>
      <name val="Calibri"/>
      <family val="2"/>
      <scheme val="minor"/>
    </font>
    <font>
      <sz val="12"/>
      <name val="Calibri"/>
      <family val="2"/>
      <scheme val="minor"/>
    </font>
    <font>
      <b/>
      <u/>
      <sz val="8"/>
      <name val="Calibri"/>
      <family val="2"/>
      <scheme val="minor"/>
    </font>
    <font>
      <b/>
      <sz val="14"/>
      <color rgb="FF002060"/>
      <name val="Calibri"/>
      <family val="2"/>
    </font>
    <font>
      <sz val="8"/>
      <color indexed="8"/>
      <name val="Calibri"/>
      <family val="2"/>
    </font>
    <font>
      <b/>
      <sz val="15"/>
      <color indexed="9"/>
      <name val="Calibri"/>
      <family val="2"/>
    </font>
    <font>
      <i/>
      <sz val="8"/>
      <name val="Calibri"/>
      <family val="2"/>
    </font>
    <font>
      <b/>
      <u/>
      <sz val="8"/>
      <name val="Calibri"/>
      <family val="2"/>
    </font>
    <font>
      <sz val="8"/>
      <color theme="0"/>
      <name val="Calibri"/>
      <family val="2"/>
    </font>
    <font>
      <b/>
      <sz val="9"/>
      <color indexed="10"/>
      <name val="Calibri"/>
      <family val="2"/>
    </font>
    <font>
      <b/>
      <sz val="8"/>
      <color rgb="FF0000FF"/>
      <name val="Calibri"/>
      <family val="2"/>
    </font>
    <font>
      <sz val="8"/>
      <color indexed="8"/>
      <name val="Calibri"/>
      <family val="2"/>
      <scheme val="minor"/>
    </font>
    <font>
      <b/>
      <sz val="8"/>
      <color indexed="8"/>
      <name val="Calibri"/>
      <family val="2"/>
    </font>
    <font>
      <sz val="8"/>
      <color theme="0"/>
      <name val="Calibri"/>
      <family val="2"/>
      <scheme val="minor"/>
    </font>
    <font>
      <sz val="8"/>
      <color theme="1"/>
      <name val="Calibri"/>
      <family val="2"/>
      <scheme val="minor"/>
    </font>
    <font>
      <sz val="8"/>
      <color rgb="FFFF0000"/>
      <name val="Calibri"/>
      <family val="2"/>
    </font>
    <font>
      <sz val="9"/>
      <color rgb="FFFF0000"/>
      <name val="Calibri"/>
      <family val="2"/>
    </font>
    <font>
      <sz val="9"/>
      <color theme="0"/>
      <name val="Calibri"/>
      <family val="2"/>
    </font>
    <font>
      <b/>
      <sz val="8"/>
      <color theme="0"/>
      <name val="Calibri"/>
      <family val="2"/>
    </font>
    <font>
      <sz val="8"/>
      <color rgb="FFFFFFFF"/>
      <name val="Calibri"/>
      <family val="2"/>
    </font>
    <font>
      <b/>
      <sz val="8"/>
      <color indexed="10"/>
      <name val="Calibri"/>
      <family val="2"/>
    </font>
    <font>
      <sz val="8"/>
      <color indexed="10"/>
      <name val="Calibri"/>
      <family val="2"/>
    </font>
    <font>
      <sz val="8"/>
      <color indexed="12"/>
      <name val="Calibri"/>
      <family val="2"/>
    </font>
    <font>
      <sz val="8"/>
      <name val="Arial"/>
      <family val="2"/>
    </font>
    <font>
      <sz val="10"/>
      <color theme="1"/>
      <name val="Calibri"/>
      <family val="2"/>
      <scheme val="minor"/>
    </font>
    <font>
      <sz val="7"/>
      <color theme="1"/>
      <name val="Calibri"/>
      <family val="2"/>
      <scheme val="minor"/>
    </font>
    <font>
      <i/>
      <sz val="9"/>
      <name val="Arial"/>
      <family val="2"/>
    </font>
    <font>
      <sz val="9"/>
      <color theme="9" tint="-0.249977111117893"/>
      <name val="Arial"/>
      <family val="2"/>
    </font>
    <font>
      <sz val="8"/>
      <color theme="9" tint="-0.249977111117893"/>
      <name val="Calibri"/>
      <family val="2"/>
      <scheme val="minor"/>
    </font>
    <font>
      <sz val="8"/>
      <color rgb="FF000066"/>
      <name val="Calibri"/>
      <family val="2"/>
      <scheme val="minor"/>
    </font>
    <font>
      <sz val="10"/>
      <color rgb="FF000066"/>
      <name val="Arial"/>
      <family val="2"/>
    </font>
    <font>
      <b/>
      <sz val="8"/>
      <color rgb="FF000066"/>
      <name val="Calibri"/>
      <family val="2"/>
      <scheme val="minor"/>
    </font>
    <font>
      <i/>
      <sz val="7"/>
      <name val="Calibri"/>
      <family val="2"/>
    </font>
    <font>
      <b/>
      <u/>
      <sz val="8"/>
      <name val="Arial"/>
      <family val="2"/>
    </font>
    <font>
      <sz val="14"/>
      <color rgb="FF222222"/>
      <name val="Arial Unicode MS"/>
      <family val="2"/>
    </font>
    <font>
      <i/>
      <sz val="11"/>
      <color rgb="FF1F497D"/>
      <name val="Calibri"/>
      <family val="2"/>
    </font>
    <font>
      <sz val="11"/>
      <name val="Calibri"/>
      <family val="2"/>
    </font>
    <font>
      <sz val="8"/>
      <name val="Garamond"/>
      <family val="1"/>
    </font>
    <font>
      <b/>
      <sz val="10"/>
      <color rgb="FF00B050"/>
      <name val="Arial"/>
      <family val="2"/>
    </font>
    <font>
      <b/>
      <sz val="8"/>
      <color indexed="56"/>
      <name val="Calibri"/>
      <family val="2"/>
    </font>
    <font>
      <b/>
      <sz val="9"/>
      <name val="Calibri"/>
      <family val="2"/>
      <scheme val="minor"/>
    </font>
    <font>
      <sz val="8"/>
      <color theme="0" tint="-0.499984740745262"/>
      <name val="Calibri"/>
      <family val="2"/>
    </font>
    <font>
      <sz val="12"/>
      <name val="Calibri"/>
      <family val="2"/>
    </font>
    <font>
      <sz val="11"/>
      <color rgb="FF000000"/>
      <name val="Calibri"/>
      <family val="2"/>
    </font>
    <font>
      <sz val="8"/>
      <color theme="0" tint="-4.9989318521683403E-2"/>
      <name val="Calibri"/>
      <family val="2"/>
    </font>
    <font>
      <b/>
      <sz val="8"/>
      <color theme="0" tint="-0.499984740745262"/>
      <name val="Calibri"/>
      <family val="2"/>
    </font>
    <font>
      <sz val="7"/>
      <name val="Calibri"/>
      <family val="2"/>
    </font>
    <font>
      <b/>
      <sz val="12"/>
      <name val="Calibri"/>
      <family val="2"/>
    </font>
    <font>
      <b/>
      <sz val="8"/>
      <color rgb="FFFF0000"/>
      <name val="Calibri"/>
      <family val="2"/>
    </font>
    <font>
      <sz val="10"/>
      <name val="Calibri"/>
      <family val="2"/>
    </font>
    <font>
      <sz val="10"/>
      <color theme="0" tint="-0.499984740745262"/>
      <name val="Calibri"/>
      <family val="2"/>
    </font>
    <font>
      <b/>
      <sz val="10"/>
      <name val="Calibri"/>
      <family val="2"/>
      <scheme val="minor"/>
    </font>
    <font>
      <sz val="9"/>
      <color indexed="12"/>
      <name val="Calibri"/>
      <family val="2"/>
      <scheme val="minor"/>
    </font>
    <font>
      <sz val="11"/>
      <color theme="1"/>
      <name val="Calibri"/>
      <family val="2"/>
    </font>
    <font>
      <u/>
      <sz val="11"/>
      <color theme="10"/>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FF0000"/>
      <name val="Calibri"/>
      <family val="2"/>
      <scheme val="minor"/>
    </font>
    <font>
      <sz val="11"/>
      <color indexed="8"/>
      <name val="Calibri"/>
      <family val="2"/>
    </font>
    <font>
      <sz val="10"/>
      <color indexed="8"/>
      <name val="Arial"/>
      <family val="2"/>
    </font>
    <font>
      <sz val="11"/>
      <color indexed="9"/>
      <name val="Calibri"/>
      <family val="2"/>
    </font>
    <font>
      <sz val="10"/>
      <color indexed="9"/>
      <name val="Arial"/>
      <family val="2"/>
    </font>
    <font>
      <b/>
      <sz val="9"/>
      <name val="Helv"/>
    </font>
    <font>
      <sz val="10"/>
      <color indexed="16"/>
      <name val="Arial"/>
      <family val="2"/>
    </font>
    <font>
      <b/>
      <sz val="18"/>
      <name val="Arial"/>
      <family val="2"/>
    </font>
    <font>
      <b/>
      <sz val="15"/>
      <color indexed="56"/>
      <name val="Calibri"/>
      <family val="2"/>
    </font>
    <font>
      <b/>
      <sz val="15"/>
      <color indexed="62"/>
      <name val="Calibri"/>
      <family val="2"/>
    </font>
    <font>
      <b/>
      <sz val="15"/>
      <color indexed="56"/>
      <name val="Arial"/>
      <family val="2"/>
    </font>
    <font>
      <b/>
      <sz val="13"/>
      <color indexed="56"/>
      <name val="Calibri"/>
      <family val="2"/>
    </font>
    <font>
      <b/>
      <sz val="13"/>
      <color indexed="62"/>
      <name val="Calibri"/>
      <family val="2"/>
    </font>
    <font>
      <b/>
      <sz val="13"/>
      <color indexed="56"/>
      <name val="Arial"/>
      <family val="2"/>
    </font>
    <font>
      <b/>
      <sz val="11"/>
      <color indexed="56"/>
      <name val="Calibri"/>
      <family val="2"/>
    </font>
    <font>
      <b/>
      <sz val="11"/>
      <color indexed="62"/>
      <name val="Calibri"/>
      <family val="2"/>
    </font>
    <font>
      <b/>
      <sz val="11"/>
      <color indexed="56"/>
      <name val="Arial"/>
      <family val="2"/>
    </font>
    <font>
      <b/>
      <sz val="10"/>
      <color indexed="53"/>
      <name val="Arial"/>
      <family val="2"/>
    </font>
    <font>
      <b/>
      <sz val="11"/>
      <color rgb="FFFA7D00"/>
      <name val="Calibri"/>
      <family val="2"/>
    </font>
    <font>
      <b/>
      <sz val="10"/>
      <color indexed="52"/>
      <name val="Arial"/>
      <family val="2"/>
    </font>
    <font>
      <sz val="11"/>
      <color indexed="52"/>
      <name val="Calibri"/>
      <family val="2"/>
    </font>
    <font>
      <sz val="10"/>
      <color indexed="52"/>
      <name val="Arial"/>
      <family val="2"/>
    </font>
    <font>
      <b/>
      <sz val="10"/>
      <color indexed="9"/>
      <name val="Arial"/>
      <family val="2"/>
    </font>
    <font>
      <sz val="12"/>
      <name val="Arial"/>
      <family val="2"/>
    </font>
    <font>
      <sz val="11"/>
      <color rgb="FF006100"/>
      <name val="Calibri"/>
      <family val="2"/>
    </font>
    <font>
      <sz val="11"/>
      <color indexed="17"/>
      <name val="Calibri"/>
      <family val="2"/>
    </font>
    <font>
      <sz val="10"/>
      <color indexed="17"/>
      <name val="Arial"/>
      <family val="2"/>
    </font>
    <font>
      <b/>
      <sz val="8"/>
      <name val="Arial"/>
      <family val="2"/>
    </font>
    <font>
      <sz val="8"/>
      <name val="Tahoma"/>
      <family val="2"/>
    </font>
    <font>
      <b/>
      <sz val="10"/>
      <color indexed="8"/>
      <name val="Arial"/>
      <family val="2"/>
    </font>
    <font>
      <sz val="11"/>
      <color rgb="FF3F3F76"/>
      <name val="Calibri"/>
      <family val="2"/>
    </font>
    <font>
      <sz val="11"/>
      <color indexed="62"/>
      <name val="Calibri"/>
      <family val="2"/>
    </font>
    <font>
      <sz val="10"/>
      <color indexed="62"/>
      <name val="Arial"/>
      <family val="2"/>
    </font>
    <font>
      <sz val="11"/>
      <name val="Times New Roman"/>
      <family val="1"/>
    </font>
    <font>
      <i/>
      <sz val="11"/>
      <color indexed="23"/>
      <name val="Calibri"/>
      <family val="2"/>
    </font>
    <font>
      <sz val="10"/>
      <color indexed="23"/>
      <name val="Arial"/>
      <family val="2"/>
    </font>
    <font>
      <b/>
      <sz val="12"/>
      <name val="Arial"/>
      <family val="2"/>
    </font>
    <font>
      <u/>
      <sz val="11"/>
      <color theme="10"/>
      <name val="Calibri"/>
      <family val="2"/>
    </font>
    <font>
      <u/>
      <sz val="11"/>
      <color indexed="12"/>
      <name val="Calibri"/>
      <family val="2"/>
    </font>
    <font>
      <u/>
      <sz val="8"/>
      <color rgb="FF0000FF"/>
      <name val="Calibri"/>
      <family val="2"/>
      <scheme val="minor"/>
    </font>
    <font>
      <sz val="11"/>
      <color indexed="20"/>
      <name val="Calibri"/>
      <family val="2"/>
    </font>
    <font>
      <sz val="10"/>
      <color indexed="20"/>
      <name val="Arial"/>
      <family val="2"/>
    </font>
    <font>
      <sz val="10"/>
      <color indexed="24"/>
      <name val="Arial"/>
      <family val="2"/>
    </font>
    <font>
      <sz val="8"/>
      <color indexed="10"/>
      <name val="Arial"/>
      <family val="2"/>
    </font>
    <font>
      <sz val="10"/>
      <color indexed="60"/>
      <name val="Arial"/>
      <family val="2"/>
    </font>
    <font>
      <sz val="11"/>
      <color rgb="FF9C6500"/>
      <name val="Calibri"/>
      <family val="2"/>
    </font>
    <font>
      <b/>
      <i/>
      <sz val="16"/>
      <name val="Helv"/>
    </font>
    <font>
      <sz val="10"/>
      <name val="Courier"/>
      <family val="3"/>
    </font>
    <font>
      <sz val="12"/>
      <name val="Courier"/>
      <family val="3"/>
    </font>
    <font>
      <sz val="10"/>
      <name val="MS Sans Serif"/>
      <family val="2"/>
    </font>
    <font>
      <sz val="11"/>
      <color theme="1"/>
      <name val="Arial Narrow"/>
      <family val="2"/>
    </font>
    <font>
      <sz val="10"/>
      <name val="Arial CE"/>
      <charset val="238"/>
    </font>
    <font>
      <sz val="10"/>
      <name val="Times New Roman CE"/>
      <family val="1"/>
      <charset val="238"/>
    </font>
    <font>
      <b/>
      <sz val="10"/>
      <color indexed="63"/>
      <name val="Arial"/>
      <family val="2"/>
    </font>
    <font>
      <sz val="10"/>
      <name val="Helv"/>
    </font>
    <font>
      <b/>
      <sz val="11"/>
      <color indexed="63"/>
      <name val="Calibri"/>
      <family val="2"/>
    </font>
    <font>
      <b/>
      <sz val="18"/>
      <color indexed="62"/>
      <name val="Cambria"/>
      <family val="2"/>
    </font>
    <font>
      <sz val="11"/>
      <color indexed="10"/>
      <name val="Calibri"/>
      <family val="2"/>
    </font>
    <font>
      <sz val="10"/>
      <color indexed="10"/>
      <name val="Arial"/>
      <family val="2"/>
    </font>
    <font>
      <i/>
      <sz val="10"/>
      <color indexed="23"/>
      <name val="Arial"/>
      <family val="2"/>
    </font>
    <font>
      <b/>
      <sz val="18"/>
      <color indexed="56"/>
      <name val="Cambria"/>
      <family val="2"/>
    </font>
    <font>
      <b/>
      <sz val="16"/>
      <color indexed="9"/>
      <name val="Arial"/>
      <family val="2"/>
    </font>
    <font>
      <b/>
      <sz val="14"/>
      <name val="Arial"/>
      <family val="2"/>
    </font>
    <font>
      <b/>
      <sz val="11"/>
      <name val="Arial"/>
      <family val="2"/>
    </font>
    <font>
      <b/>
      <sz val="10"/>
      <name val="Helv"/>
    </font>
    <font>
      <b/>
      <sz val="11"/>
      <color indexed="8"/>
      <name val="Calibri"/>
      <family val="2"/>
    </font>
    <font>
      <b/>
      <sz val="11"/>
      <color indexed="9"/>
      <name val="Calibri"/>
      <family val="2"/>
    </font>
    <font>
      <sz val="10"/>
      <name val="Tahoma"/>
      <family val="2"/>
    </font>
    <font>
      <sz val="8"/>
      <color rgb="FFFF0000"/>
      <name val="Calibri"/>
      <family val="2"/>
      <scheme val="minor"/>
    </font>
    <font>
      <sz val="10"/>
      <color rgb="FF3015D5"/>
      <name val="Arial"/>
      <family val="2"/>
    </font>
    <font>
      <sz val="9"/>
      <color rgb="FF3015D5"/>
      <name val="Calibri"/>
      <family val="2"/>
    </font>
    <font>
      <sz val="8"/>
      <color rgb="FF3015D5"/>
      <name val="Calibri"/>
      <family val="2"/>
    </font>
    <font>
      <b/>
      <sz val="8"/>
      <name val="Times New Roman"/>
      <family val="1"/>
    </font>
    <font>
      <b/>
      <sz val="11"/>
      <color indexed="52"/>
      <name val="Calibri"/>
      <family val="2"/>
    </font>
    <font>
      <sz val="1"/>
      <color indexed="16"/>
      <name val="Courier"/>
      <family val="3"/>
    </font>
    <font>
      <b/>
      <sz val="15"/>
      <color indexed="62"/>
      <name val="Arial"/>
      <family val="2"/>
    </font>
    <font>
      <b/>
      <sz val="13"/>
      <color indexed="62"/>
      <name val="Arial"/>
      <family val="2"/>
    </font>
    <font>
      <b/>
      <sz val="11"/>
      <color indexed="62"/>
      <name val="Arial"/>
      <family val="2"/>
    </font>
    <font>
      <b/>
      <sz val="1"/>
      <color indexed="16"/>
      <name val="Courier"/>
      <family val="3"/>
    </font>
    <font>
      <sz val="9"/>
      <name val="UniversCondLight"/>
    </font>
    <font>
      <sz val="10"/>
      <color indexed="53"/>
      <name val="Arial"/>
      <family val="2"/>
    </font>
    <font>
      <sz val="11"/>
      <color indexed="60"/>
      <name val="Calibri"/>
      <family val="2"/>
    </font>
    <font>
      <sz val="10"/>
      <name val="Arial Narrow"/>
      <family val="2"/>
    </font>
    <font>
      <sz val="10"/>
      <color theme="1"/>
      <name val="Arial"/>
      <family val="2"/>
    </font>
    <font>
      <sz val="12"/>
      <color indexed="8"/>
      <name val="Arial MT"/>
      <family val="2"/>
    </font>
    <font>
      <sz val="1"/>
      <color indexed="8"/>
      <name val="Courier"/>
      <family val="3"/>
    </font>
    <font>
      <sz val="10"/>
      <color indexed="12"/>
      <name val="Arial"/>
      <family val="2"/>
    </font>
    <font>
      <u/>
      <sz val="8"/>
      <color indexed="12"/>
      <name val="Calibri"/>
      <family val="2"/>
    </font>
    <font>
      <u/>
      <sz val="10"/>
      <color indexed="12"/>
      <name val="Arial"/>
      <family val="2"/>
    </font>
    <font>
      <sz val="10"/>
      <color indexed="14"/>
      <name val="Arial"/>
      <family val="2"/>
    </font>
    <font>
      <sz val="11"/>
      <color indexed="8"/>
      <name val="Arial Narrow"/>
      <family val="2"/>
    </font>
    <font>
      <sz val="10"/>
      <color indexed="8"/>
      <name val="Calibri"/>
      <family val="2"/>
    </font>
    <font>
      <sz val="9"/>
      <color rgb="FF0000FF"/>
      <name val="Calibri"/>
      <family val="2"/>
      <scheme val="minor"/>
    </font>
    <font>
      <b/>
      <sz val="9"/>
      <color rgb="FF0000FF"/>
      <name val="Calibri"/>
      <family val="2"/>
      <scheme val="minor"/>
    </font>
    <font>
      <sz val="9"/>
      <color rgb="FF0000FF"/>
      <name val="Calibri"/>
      <family val="2"/>
    </font>
    <font>
      <sz val="10"/>
      <color rgb="FF0000FF"/>
      <name val="Arial"/>
      <family val="2"/>
    </font>
    <font>
      <sz val="8"/>
      <color rgb="FF0000FF"/>
      <name val="Calibri"/>
      <family val="2"/>
      <scheme val="minor"/>
    </font>
    <font>
      <sz val="8"/>
      <color rgb="FF0000FF"/>
      <name val="Calibri"/>
      <family val="2"/>
    </font>
    <font>
      <sz val="10"/>
      <color rgb="FF0000FF"/>
      <name val="Calibri"/>
      <family val="2"/>
    </font>
    <font>
      <sz val="10"/>
      <color rgb="FF0000FF"/>
      <name val="Calibri"/>
      <family val="2"/>
      <scheme val="minor"/>
    </font>
    <font>
      <b/>
      <sz val="10"/>
      <color rgb="FF0000FF"/>
      <name val="Calibri"/>
      <family val="2"/>
      <scheme val="minor"/>
    </font>
    <font>
      <sz val="12"/>
      <color rgb="FF0000FF"/>
      <name val="Calibri"/>
      <family val="2"/>
      <scheme val="minor"/>
    </font>
    <font>
      <sz val="11"/>
      <color rgb="FF0000FF"/>
      <name val="Calibri"/>
      <family val="2"/>
      <scheme val="minor"/>
    </font>
    <font>
      <sz val="7"/>
      <color rgb="FF0000FF"/>
      <name val="Calibri"/>
      <family val="2"/>
      <scheme val="minor"/>
    </font>
    <font>
      <sz val="9"/>
      <color rgb="FF0000FF"/>
      <name val="Arial"/>
      <family val="2"/>
    </font>
    <font>
      <sz val="8"/>
      <color rgb="FF0000FF"/>
      <name val="Arial"/>
      <family val="2"/>
    </font>
    <font>
      <b/>
      <sz val="8"/>
      <color rgb="FF0000FF"/>
      <name val="Arial"/>
      <family val="2"/>
    </font>
    <font>
      <b/>
      <sz val="12"/>
      <color rgb="FF0000FF"/>
      <name val="Calibri"/>
      <family val="2"/>
    </font>
    <font>
      <sz val="10"/>
      <color theme="0"/>
      <name val="Arial"/>
      <family val="2"/>
    </font>
    <font>
      <i/>
      <sz val="11"/>
      <color theme="1"/>
      <name val="Calibri"/>
      <family val="2"/>
      <scheme val="minor"/>
    </font>
    <font>
      <sz val="8"/>
      <color theme="1" tint="0.499984740745262"/>
      <name val="Calibri"/>
      <family val="2"/>
    </font>
    <font>
      <sz val="10"/>
      <color theme="1" tint="0.499984740745262"/>
      <name val="Arial"/>
      <family val="2"/>
    </font>
    <font>
      <sz val="9"/>
      <color theme="1" tint="0.499984740745262"/>
      <name val="Calibri"/>
      <family val="2"/>
    </font>
    <font>
      <sz val="8"/>
      <color theme="1" tint="0.499984740745262"/>
      <name val="Calibri"/>
      <family val="2"/>
      <scheme val="minor"/>
    </font>
    <font>
      <sz val="11"/>
      <color theme="1" tint="0.499984740745262"/>
      <name val="Calibri"/>
      <family val="2"/>
    </font>
    <font>
      <sz val="12"/>
      <color rgb="FF0000FF"/>
      <name val="Calibri"/>
      <family val="2"/>
    </font>
    <font>
      <sz val="7.5"/>
      <color rgb="FFFF0000"/>
      <name val="Verdana"/>
      <family val="2"/>
    </font>
    <font>
      <b/>
      <sz val="8"/>
      <color rgb="FF3017FF"/>
      <name val="Calibri"/>
      <family val="2"/>
    </font>
    <font>
      <b/>
      <sz val="8"/>
      <color theme="1"/>
      <name val="Calibri"/>
      <family val="2"/>
      <scheme val="minor"/>
    </font>
    <font>
      <sz val="8"/>
      <color rgb="FF000000"/>
      <name val="Calibri"/>
      <family val="2"/>
    </font>
    <font>
      <b/>
      <sz val="14"/>
      <color rgb="FF44546A"/>
      <name val="Calibri"/>
      <family val="2"/>
    </font>
    <font>
      <u/>
      <sz val="10"/>
      <name val="Arial"/>
      <family val="2"/>
    </font>
    <font>
      <u/>
      <sz val="10"/>
      <color rgb="FF002060"/>
      <name val="Arial"/>
      <family val="2"/>
    </font>
    <font>
      <b/>
      <sz val="8"/>
      <color theme="1"/>
      <name val="Calibri"/>
      <family val="2"/>
    </font>
    <font>
      <sz val="10"/>
      <color theme="1"/>
      <name val="Calibri Light"/>
      <family val="2"/>
    </font>
    <font>
      <b/>
      <sz val="11"/>
      <color theme="1"/>
      <name val="Calibri"/>
      <family val="2"/>
    </font>
    <font>
      <sz val="10"/>
      <color theme="0"/>
      <name val="Calibri Light"/>
      <family val="2"/>
    </font>
    <font>
      <sz val="11"/>
      <name val="Calibri"/>
      <family val="2"/>
      <scheme val="minor"/>
    </font>
    <font>
      <sz val="9"/>
      <color theme="1" tint="0.14999847407452621"/>
      <name val="Calibri"/>
      <family val="2"/>
    </font>
    <font>
      <sz val="8"/>
      <color theme="1" tint="0.14999847407452621"/>
      <name val="Calibri"/>
      <family val="2"/>
    </font>
    <font>
      <sz val="9"/>
      <color theme="1"/>
      <name val="Calibri"/>
      <family val="2"/>
      <scheme val="minor"/>
    </font>
    <font>
      <i/>
      <sz val="9"/>
      <color theme="1" tint="0.14999847407452621"/>
      <name val="Calibri"/>
      <family val="2"/>
    </font>
    <font>
      <i/>
      <sz val="8"/>
      <color theme="1" tint="0.14999847407452621"/>
      <name val="Calibri"/>
      <family val="2"/>
    </font>
    <font>
      <sz val="11"/>
      <color rgb="FF000066"/>
      <name val="Calibri"/>
      <family val="2"/>
      <scheme val="minor"/>
    </font>
    <font>
      <b/>
      <sz val="14"/>
      <color rgb="FF000066"/>
      <name val="Calibri"/>
      <family val="2"/>
      <scheme val="minor"/>
    </font>
    <font>
      <b/>
      <sz val="14"/>
      <color rgb="FF000066"/>
      <name val="Calibri"/>
      <family val="2"/>
    </font>
    <font>
      <sz val="10"/>
      <name val="Calibri Light"/>
      <family val="2"/>
    </font>
    <font>
      <sz val="10"/>
      <color rgb="FFFF0000"/>
      <name val="Arial"/>
      <family val="2"/>
    </font>
    <font>
      <b/>
      <sz val="10"/>
      <color rgb="FFFF0000"/>
      <name val="Calibri"/>
      <family val="2"/>
    </font>
    <font>
      <sz val="11"/>
      <color theme="0"/>
      <name val="Calibri"/>
      <family val="2"/>
      <scheme val="minor"/>
    </font>
    <font>
      <sz val="10"/>
      <color theme="0"/>
      <name val="Calibri"/>
      <family val="2"/>
    </font>
    <font>
      <sz val="7"/>
      <color theme="0"/>
      <name val="Calibri"/>
      <family val="2"/>
    </font>
    <font>
      <sz val="8"/>
      <color rgb="FF000000"/>
      <name val="Calibri"/>
      <family val="2"/>
      <scheme val="minor"/>
    </font>
    <font>
      <b/>
      <sz val="8"/>
      <color rgb="FF000000"/>
      <name val="Calibri"/>
      <family val="2"/>
      <scheme val="minor"/>
    </font>
    <font>
      <sz val="8"/>
      <color theme="1"/>
      <name val="Corbel"/>
      <family val="2"/>
    </font>
    <font>
      <b/>
      <sz val="14"/>
      <color indexed="56"/>
      <name val="Calibri"/>
      <family val="2"/>
    </font>
    <font>
      <sz val="14"/>
      <color rgb="FF334945"/>
      <name val="Calibri"/>
      <family val="2"/>
      <scheme val="minor"/>
    </font>
  </fonts>
  <fills count="61">
    <fill>
      <patternFill patternType="none"/>
    </fill>
    <fill>
      <patternFill patternType="gray125"/>
    </fill>
    <fill>
      <patternFill patternType="solid">
        <fgColor rgb="FFC6EFCE"/>
      </patternFill>
    </fill>
    <fill>
      <patternFill patternType="solid">
        <fgColor theme="0"/>
        <bgColor indexed="64"/>
      </patternFill>
    </fill>
    <fill>
      <patternFill patternType="solid">
        <fgColor indexed="9"/>
        <bgColor indexed="64"/>
      </patternFill>
    </fill>
    <fill>
      <patternFill patternType="lightVertical">
        <fgColor theme="6" tint="0.39994506668294322"/>
        <bgColor theme="0"/>
      </patternFill>
    </fill>
    <fill>
      <patternFill patternType="solid">
        <fgColor rgb="FFFFFFFF"/>
        <bgColor indexed="64"/>
      </patternFill>
    </fill>
    <fill>
      <patternFill patternType="solid">
        <fgColor rgb="FFFFEB9C"/>
      </patternFill>
    </fill>
    <fill>
      <patternFill patternType="solid">
        <fgColor rgb="FFFFCC99"/>
      </patternFill>
    </fill>
    <fill>
      <patternFill patternType="solid">
        <fgColor rgb="FFF2F2F2"/>
      </patternFill>
    </fill>
    <fill>
      <patternFill patternType="solid">
        <fgColor rgb="FFFFFFCC"/>
      </patternFill>
    </fill>
    <fill>
      <patternFill patternType="solid">
        <fgColor theme="6" tint="0.79998168889431442"/>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4"/>
        <bgColor indexed="54"/>
      </patternFill>
    </fill>
    <fill>
      <patternFill patternType="solid">
        <fgColor indexed="31"/>
        <bgColor indexed="31"/>
      </patternFill>
    </fill>
    <fill>
      <patternFill patternType="solid">
        <fgColor indexed="44"/>
        <bgColor indexed="44"/>
      </patternFill>
    </fill>
    <fill>
      <patternFill patternType="solid">
        <fgColor indexed="25"/>
        <bgColor indexed="25"/>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10"/>
      </patternFill>
    </fill>
    <fill>
      <patternFill patternType="solid">
        <fgColor indexed="42"/>
        <bgColor indexed="42"/>
      </patternFill>
    </fill>
    <fill>
      <patternFill patternType="solid">
        <fgColor indexed="49"/>
        <bgColor indexed="49"/>
      </patternFill>
    </fill>
    <fill>
      <patternFill patternType="solid">
        <fgColor indexed="27"/>
        <bgColor indexed="27"/>
      </patternFill>
    </fill>
    <fill>
      <patternFill patternType="solid">
        <fgColor indexed="52"/>
        <bgColor indexed="52"/>
      </patternFill>
    </fill>
    <fill>
      <patternFill patternType="solid">
        <fgColor indexed="47"/>
        <bgColor indexed="47"/>
      </patternFill>
    </fill>
    <fill>
      <patternFill patternType="solid">
        <fgColor indexed="53"/>
      </patternFill>
    </fill>
    <fill>
      <patternFill patternType="solid">
        <fgColor indexed="45"/>
        <bgColor indexed="45"/>
      </patternFill>
    </fill>
    <fill>
      <patternFill patternType="solid">
        <fgColor indexed="27"/>
        <bgColor indexed="64"/>
      </patternFill>
    </fill>
    <fill>
      <patternFill patternType="solid">
        <fgColor indexed="26"/>
        <bgColor indexed="64"/>
      </patternFill>
    </fill>
    <fill>
      <patternFill patternType="solid">
        <fgColor indexed="28"/>
        <bgColor indexed="64"/>
      </patternFill>
    </fill>
    <fill>
      <patternFill patternType="solid">
        <fgColor indexed="22"/>
        <bgColor indexed="64"/>
      </patternFill>
    </fill>
    <fill>
      <patternFill patternType="solid">
        <fgColor indexed="9"/>
        <bgColor indexed="9"/>
      </patternFill>
    </fill>
    <fill>
      <patternFill patternType="solid">
        <fgColor indexed="22"/>
      </patternFill>
    </fill>
    <fill>
      <patternFill patternType="solid">
        <fgColor indexed="62"/>
      </patternFill>
    </fill>
    <fill>
      <patternFill patternType="solid">
        <fgColor indexed="57"/>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43"/>
      </patternFill>
    </fill>
    <fill>
      <patternFill patternType="solid">
        <fgColor indexed="51"/>
        <bgColor indexed="64"/>
      </patternFill>
    </fill>
    <fill>
      <patternFill patternType="solid">
        <fgColor indexed="43"/>
        <bgColor indexed="64"/>
      </patternFill>
    </fill>
    <fill>
      <patternFill patternType="solid">
        <fgColor indexed="43"/>
        <bgColor indexed="43"/>
      </patternFill>
    </fill>
    <fill>
      <patternFill patternType="solid">
        <fgColor indexed="26"/>
      </patternFill>
    </fill>
    <fill>
      <patternFill patternType="solid">
        <fgColor indexed="42"/>
        <bgColor indexed="64"/>
      </patternFill>
    </fill>
    <fill>
      <patternFill patternType="solid">
        <fgColor indexed="24"/>
        <bgColor indexed="64"/>
      </patternFill>
    </fill>
    <fill>
      <patternFill patternType="solid">
        <fgColor indexed="55"/>
      </patternFill>
    </fill>
    <fill>
      <patternFill patternType="mediumGray"/>
    </fill>
  </fills>
  <borders count="107">
    <border>
      <left/>
      <right/>
      <top/>
      <bottom/>
      <diagonal/>
    </border>
    <border>
      <left/>
      <right/>
      <top/>
      <bottom style="thick">
        <color theme="4"/>
      </bottom>
      <diagonal/>
    </border>
    <border>
      <left/>
      <right/>
      <top/>
      <bottom style="thin">
        <color rgb="FF002060"/>
      </bottom>
      <diagonal/>
    </border>
    <border>
      <left/>
      <right/>
      <top style="thin">
        <color rgb="FF0000FF"/>
      </top>
      <bottom/>
      <diagonal/>
    </border>
    <border>
      <left style="dashed">
        <color rgb="FF0000FF"/>
      </left>
      <right style="dashed">
        <color rgb="FF0000FF"/>
      </right>
      <top style="thin">
        <color rgb="FF0000FF"/>
      </top>
      <bottom style="thin">
        <color rgb="FF0000FF"/>
      </bottom>
      <diagonal/>
    </border>
    <border>
      <left style="dashed">
        <color rgb="FF0000FF"/>
      </left>
      <right/>
      <top style="thin">
        <color rgb="FF0000FF"/>
      </top>
      <bottom style="thin">
        <color rgb="FF0000FF"/>
      </bottom>
      <diagonal/>
    </border>
    <border>
      <left/>
      <right/>
      <top/>
      <bottom style="thin">
        <color rgb="FF0000FF"/>
      </bottom>
      <diagonal/>
    </border>
    <border>
      <left/>
      <right/>
      <top style="thin">
        <color rgb="FF0000FF"/>
      </top>
      <bottom style="thin">
        <color rgb="FF0000FF"/>
      </bottom>
      <diagonal/>
    </border>
    <border>
      <left/>
      <right/>
      <top style="thin">
        <color rgb="FF3015D5"/>
      </top>
      <bottom/>
      <diagonal/>
    </border>
    <border>
      <left style="dashed">
        <color rgb="FF3015D5"/>
      </left>
      <right style="dashed">
        <color rgb="FF3015D5"/>
      </right>
      <top style="thin">
        <color rgb="FF3015D5"/>
      </top>
      <bottom style="thin">
        <color rgb="FF3015D5"/>
      </bottom>
      <diagonal/>
    </border>
    <border>
      <left style="dashed">
        <color rgb="FF3015D5"/>
      </left>
      <right/>
      <top style="thin">
        <color rgb="FF3015D5"/>
      </top>
      <bottom style="thin">
        <color rgb="FF3015D5"/>
      </bottom>
      <diagonal/>
    </border>
    <border>
      <left/>
      <right/>
      <top style="thin">
        <color rgb="FF3015D5"/>
      </top>
      <bottom style="thin">
        <color rgb="FF3015D5"/>
      </bottom>
      <diagonal/>
    </border>
    <border>
      <left/>
      <right/>
      <top/>
      <bottom style="thin">
        <color rgb="FF3015D5"/>
      </bottom>
      <diagonal/>
    </border>
    <border>
      <left style="dashed">
        <color rgb="FF3015D5"/>
      </left>
      <right/>
      <top style="thin">
        <color rgb="FF3015D5"/>
      </top>
      <bottom/>
      <diagonal/>
    </border>
    <border>
      <left style="dashed">
        <color rgb="FF3015D5"/>
      </left>
      <right/>
      <top/>
      <bottom style="thin">
        <color rgb="FF3015D5"/>
      </bottom>
      <diagonal/>
    </border>
    <border>
      <left style="dotted">
        <color rgb="FF3015D5"/>
      </left>
      <right style="dotted">
        <color rgb="FF3015D5"/>
      </right>
      <top style="thin">
        <color rgb="FF3015D5"/>
      </top>
      <bottom style="thin">
        <color rgb="FF3015D5"/>
      </bottom>
      <diagonal/>
    </border>
    <border>
      <left style="dotted">
        <color rgb="FF3015D5"/>
      </left>
      <right style="dashed">
        <color rgb="FF3015D5"/>
      </right>
      <top style="thin">
        <color rgb="FF3015D5"/>
      </top>
      <bottom style="thin">
        <color rgb="FF3015D5"/>
      </bottom>
      <diagonal/>
    </border>
    <border>
      <left/>
      <right/>
      <top/>
      <bottom style="thin">
        <color indexed="64"/>
      </bottom>
      <diagonal/>
    </border>
    <border>
      <left/>
      <right/>
      <top style="thin">
        <color indexed="12"/>
      </top>
      <bottom/>
      <diagonal/>
    </border>
    <border>
      <left/>
      <right style="dashed">
        <color rgb="FF0000FF"/>
      </right>
      <top style="thin">
        <color rgb="FF0000FF"/>
      </top>
      <bottom style="thin">
        <color rgb="FF0000FF"/>
      </bottom>
      <diagonal/>
    </border>
    <border>
      <left/>
      <right/>
      <top/>
      <bottom style="thin">
        <color indexed="12"/>
      </bottom>
      <diagonal/>
    </border>
    <border>
      <left style="dotted">
        <color rgb="FF3015D5"/>
      </left>
      <right style="dotted">
        <color rgb="FF3017FF"/>
      </right>
      <top style="thin">
        <color rgb="FF3015D5"/>
      </top>
      <bottom style="thin">
        <color rgb="FF3015D5"/>
      </bottom>
      <diagonal/>
    </border>
    <border>
      <left/>
      <right/>
      <top style="thin">
        <color indexed="12"/>
      </top>
      <bottom style="thin">
        <color indexed="12"/>
      </bottom>
      <diagonal/>
    </border>
    <border>
      <left/>
      <right/>
      <top style="thin">
        <color indexed="12"/>
      </top>
      <bottom style="thin">
        <color rgb="FF3015D5"/>
      </bottom>
      <diagonal/>
    </border>
    <border>
      <left/>
      <right/>
      <top style="thin">
        <color rgb="FF3015D5"/>
      </top>
      <bottom style="thin">
        <color indexed="12"/>
      </bottom>
      <diagonal/>
    </border>
    <border>
      <left/>
      <right style="dashed">
        <color rgb="FF3015D5"/>
      </right>
      <top style="thin">
        <color rgb="FF3015D5"/>
      </top>
      <bottom style="thin">
        <color rgb="FF3015D5"/>
      </bottom>
      <diagonal/>
    </border>
    <border>
      <left/>
      <right style="dashed">
        <color rgb="FF3015D5"/>
      </right>
      <top style="thin">
        <color rgb="FF3015D5"/>
      </top>
      <bottom/>
      <diagonal/>
    </border>
    <border>
      <left/>
      <right style="dashed">
        <color rgb="FF3015D5"/>
      </right>
      <top/>
      <bottom/>
      <diagonal/>
    </border>
    <border>
      <left style="dashed">
        <color rgb="FF3015D5"/>
      </left>
      <right/>
      <top/>
      <bottom/>
      <diagonal/>
    </border>
    <border>
      <left/>
      <right style="dashed">
        <color rgb="FF3015D5"/>
      </right>
      <top/>
      <bottom style="thin">
        <color rgb="FF3015D5"/>
      </bottom>
      <diagonal/>
    </border>
    <border>
      <left/>
      <right/>
      <top style="thin">
        <color rgb="FF3017FF"/>
      </top>
      <bottom style="thin">
        <color rgb="FF3017FF"/>
      </bottom>
      <diagonal/>
    </border>
    <border>
      <left/>
      <right/>
      <top/>
      <bottom style="thin">
        <color rgb="FF3017FF"/>
      </bottom>
      <diagonal/>
    </border>
    <border>
      <left/>
      <right/>
      <top style="thin">
        <color rgb="FF3017FF"/>
      </top>
      <bottom/>
      <diagonal/>
    </border>
    <border>
      <left/>
      <right/>
      <top style="thin">
        <color rgb="FF0000FF"/>
      </top>
      <bottom style="thin">
        <color rgb="FF3015D5"/>
      </bottom>
      <diagonal/>
    </border>
    <border>
      <left style="dotted">
        <color rgb="FF0000FF"/>
      </left>
      <right/>
      <top/>
      <bottom style="thin">
        <color rgb="FF0000FF"/>
      </bottom>
      <diagonal/>
    </border>
    <border>
      <left/>
      <right style="dotted">
        <color rgb="FF0000FF"/>
      </right>
      <top/>
      <bottom style="thin">
        <color rgb="FF0000FF"/>
      </bottom>
      <diagonal/>
    </border>
    <border>
      <left style="dotted">
        <color rgb="FF0000FF"/>
      </left>
      <right/>
      <top/>
      <bottom/>
      <diagonal/>
    </border>
    <border>
      <left style="dotted">
        <color rgb="FF0000FF"/>
      </left>
      <right/>
      <top style="thin">
        <color rgb="FF0000FF"/>
      </top>
      <bottom/>
      <diagonal/>
    </border>
    <border>
      <left/>
      <right style="dotted">
        <color rgb="FF0000FF"/>
      </right>
      <top style="thin">
        <color rgb="FF0000FF"/>
      </top>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49"/>
      </bottom>
      <diagonal/>
    </border>
    <border>
      <left/>
      <right/>
      <top/>
      <bottom style="thick">
        <color indexed="22"/>
      </bottom>
      <diagonal/>
    </border>
    <border>
      <left/>
      <right/>
      <top/>
      <bottom style="thick">
        <color indexed="47"/>
      </bottom>
      <diagonal/>
    </border>
    <border>
      <left/>
      <right/>
      <top/>
      <bottom style="medium">
        <color indexed="30"/>
      </bottom>
      <diagonal/>
    </border>
    <border>
      <left/>
      <right/>
      <top/>
      <bottom style="medium">
        <color indexed="47"/>
      </bottom>
      <diagonal/>
    </border>
    <border>
      <left style="medium">
        <color indexed="64"/>
      </left>
      <right style="medium">
        <color indexed="64"/>
      </right>
      <top/>
      <bottom style="hair">
        <color theme="3" tint="0.39994506668294322"/>
      </bottom>
      <diagonal/>
    </border>
    <border>
      <left style="dashed">
        <color indexed="63"/>
      </left>
      <right style="dashed">
        <color indexed="63"/>
      </right>
      <top style="dashed">
        <color indexed="63"/>
      </top>
      <bottom style="dashed">
        <color indexed="63"/>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diagonal/>
    </border>
    <border>
      <left style="dotted">
        <color indexed="28"/>
      </left>
      <right style="dotted">
        <color indexed="28"/>
      </right>
      <top style="dotted">
        <color indexed="28"/>
      </top>
      <bottom style="dotted">
        <color indexed="28"/>
      </bottom>
      <diagonal/>
    </border>
    <border>
      <left style="thin">
        <color indexed="63"/>
      </left>
      <right style="thin">
        <color indexed="63"/>
      </right>
      <top style="thin">
        <color indexed="63"/>
      </top>
      <bottom style="thin">
        <color indexed="63"/>
      </bottom>
      <diagonal/>
    </border>
    <border>
      <left style="dashed">
        <color indexed="55"/>
      </left>
      <right style="dashed">
        <color indexed="55"/>
      </right>
      <top style="dashed">
        <color indexed="55"/>
      </top>
      <bottom style="dashed">
        <color indexed="55"/>
      </bottom>
      <diagonal/>
    </border>
    <border>
      <left style="dashed">
        <color indexed="28"/>
      </left>
      <right style="dashed">
        <color indexed="28"/>
      </right>
      <top style="dashed">
        <color indexed="28"/>
      </top>
      <bottom style="dashed">
        <color indexed="28"/>
      </bottom>
      <diagonal/>
    </border>
    <border>
      <left style="dotted">
        <color indexed="10"/>
      </left>
      <right style="dotted">
        <color indexed="10"/>
      </right>
      <top style="dotted">
        <color indexed="10"/>
      </top>
      <bottom style="dotted">
        <color indexed="10"/>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dashed">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49"/>
      </top>
      <bottom style="double">
        <color indexed="49"/>
      </bottom>
      <diagonal/>
    </border>
    <border>
      <left/>
      <right/>
      <top style="thin">
        <color indexed="62"/>
      </top>
      <bottom style="double">
        <color indexed="62"/>
      </bottom>
      <diagonal/>
    </border>
    <border>
      <left style="thin">
        <color auto="1"/>
      </left>
      <right style="thin">
        <color auto="1"/>
      </right>
      <top style="thin">
        <color auto="1"/>
      </top>
      <bottom/>
      <diagonal/>
    </border>
    <border>
      <left/>
      <right/>
      <top/>
      <bottom style="thick">
        <color indexed="54"/>
      </bottom>
      <diagonal/>
    </border>
    <border>
      <left/>
      <right/>
      <top/>
      <bottom style="medium">
        <color indexed="44"/>
      </bottom>
      <diagonal/>
    </border>
    <border>
      <left/>
      <right/>
      <top style="thin">
        <color indexed="64"/>
      </top>
      <bottom style="thin">
        <color indexed="64"/>
      </bottom>
      <diagonal/>
    </border>
    <border>
      <left style="medium">
        <color indexed="64"/>
      </left>
      <right style="medium">
        <color indexed="64"/>
      </right>
      <top/>
      <bottom style="hair">
        <color indexed="62"/>
      </bottom>
      <diagonal/>
    </border>
    <border>
      <left/>
      <right/>
      <top style="medium">
        <color indexed="64"/>
      </top>
      <bottom style="medium">
        <color indexed="64"/>
      </bottom>
      <diagonal/>
    </border>
    <border>
      <left style="dotted">
        <color rgb="FF3015D5"/>
      </left>
      <right/>
      <top style="thin">
        <color rgb="FF0000FF"/>
      </top>
      <bottom/>
      <diagonal/>
    </border>
    <border>
      <left style="dotted">
        <color rgb="FF3015D5"/>
      </left>
      <right/>
      <top/>
      <bottom style="thin">
        <color rgb="FF0000FF"/>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dotted">
        <color theme="1"/>
      </top>
      <bottom style="medium">
        <color indexed="64"/>
      </bottom>
      <diagonal/>
    </border>
    <border>
      <left/>
      <right/>
      <top style="dotted">
        <color theme="1"/>
      </top>
      <bottom style="dotted">
        <color theme="1"/>
      </bottom>
      <diagonal/>
    </border>
    <border>
      <left/>
      <right/>
      <top style="thin">
        <color rgb="FF3017FF"/>
      </top>
      <bottom style="dotted">
        <color theme="1"/>
      </bottom>
      <diagonal/>
    </border>
    <border>
      <left/>
      <right/>
      <top/>
      <bottom style="medium">
        <color rgb="FF44546A"/>
      </bottom>
      <diagonal/>
    </border>
    <border>
      <left/>
      <right/>
      <top style="hair">
        <color auto="1"/>
      </top>
      <bottom style="hair">
        <color auto="1"/>
      </bottom>
      <diagonal/>
    </border>
    <border>
      <left/>
      <right/>
      <top/>
      <bottom style="hair">
        <color auto="1"/>
      </bottom>
      <diagonal/>
    </border>
    <border>
      <left/>
      <right/>
      <top style="hair">
        <color auto="1"/>
      </top>
      <bottom/>
      <diagonal/>
    </border>
    <border>
      <left style="hair">
        <color rgb="FF3015D5"/>
      </left>
      <right/>
      <top style="thin">
        <color rgb="FF3015D5"/>
      </top>
      <bottom style="thin">
        <color rgb="FF3015D5"/>
      </bottom>
      <diagonal/>
    </border>
    <border>
      <left style="hair">
        <color rgb="FF3015D5"/>
      </left>
      <right style="hair">
        <color rgb="FF3015D5"/>
      </right>
      <top style="thin">
        <color rgb="FF3015D5"/>
      </top>
      <bottom style="thin">
        <color rgb="FF3015D5"/>
      </bottom>
      <diagonal/>
    </border>
    <border>
      <left/>
      <right style="hair">
        <color rgb="FF3015D5"/>
      </right>
      <top style="thin">
        <color rgb="FF3015D5"/>
      </top>
      <bottom style="thin">
        <color rgb="FF3015D5"/>
      </bottom>
      <diagonal/>
    </border>
    <border>
      <left style="dashed">
        <color rgb="FF0000FF"/>
      </left>
      <right/>
      <top style="thin">
        <color rgb="FF0000FF"/>
      </top>
      <bottom/>
      <diagonal/>
    </border>
    <border>
      <left style="dotted">
        <color rgb="FF0000FF"/>
      </left>
      <right/>
      <top style="thin">
        <color rgb="FF0000FF"/>
      </top>
      <bottom style="thin">
        <color rgb="FF0000FF"/>
      </bottom>
      <diagonal/>
    </border>
    <border>
      <left/>
      <right style="dotted">
        <color rgb="FF0000FF"/>
      </right>
      <top style="thin">
        <color rgb="FF0000FF"/>
      </top>
      <bottom style="thin">
        <color rgb="FF0000FF"/>
      </bottom>
      <diagonal/>
    </border>
    <border>
      <left/>
      <right style="dashed">
        <color rgb="FF0000FF"/>
      </right>
      <top style="thin">
        <color rgb="FF0000FF"/>
      </top>
      <bottom/>
      <diagonal/>
    </border>
    <border>
      <left style="dashed">
        <color indexed="12"/>
      </left>
      <right/>
      <top style="thin">
        <color indexed="12"/>
      </top>
      <bottom style="thin">
        <color indexed="12"/>
      </bottom>
      <diagonal/>
    </border>
    <border>
      <left/>
      <right style="dashed">
        <color indexed="12"/>
      </right>
      <top style="thin">
        <color indexed="12"/>
      </top>
      <bottom style="thin">
        <color indexed="12"/>
      </bottom>
      <diagonal/>
    </border>
    <border>
      <left style="dashed">
        <color indexed="12"/>
      </left>
      <right style="dashed">
        <color indexed="12"/>
      </right>
      <top style="thin">
        <color indexed="12"/>
      </top>
      <bottom style="thin">
        <color indexed="12"/>
      </bottom>
      <diagonal/>
    </border>
    <border>
      <left style="dashed">
        <color indexed="12"/>
      </left>
      <right/>
      <top style="thin">
        <color indexed="12"/>
      </top>
      <bottom/>
      <diagonal/>
    </border>
    <border>
      <left/>
      <right style="dashed">
        <color indexed="12"/>
      </right>
      <top style="thin">
        <color indexed="12"/>
      </top>
      <bottom/>
      <diagonal/>
    </border>
    <border>
      <left style="dashed">
        <color indexed="12"/>
      </left>
      <right/>
      <top/>
      <bottom/>
      <diagonal/>
    </border>
    <border>
      <left/>
      <right style="dashed">
        <color indexed="12"/>
      </right>
      <top/>
      <bottom/>
      <diagonal/>
    </border>
    <border>
      <left style="dotted">
        <color rgb="FF0000FF"/>
      </left>
      <right style="dotted">
        <color rgb="FF0000FF"/>
      </right>
      <top/>
      <bottom style="thin">
        <color rgb="FF0000FF"/>
      </bottom>
      <diagonal/>
    </border>
    <border>
      <left/>
      <right style="dashed">
        <color indexed="12"/>
      </right>
      <top style="thin">
        <color indexed="12"/>
      </top>
      <bottom style="thin">
        <color rgb="FF3015D5"/>
      </bottom>
      <diagonal/>
    </border>
    <border>
      <left style="dashed">
        <color rgb="FF3015D5"/>
      </left>
      <right/>
      <top style="thin">
        <color indexed="12"/>
      </top>
      <bottom style="thin">
        <color indexed="12"/>
      </bottom>
      <diagonal/>
    </border>
    <border>
      <left/>
      <right/>
      <top/>
      <bottom style="medium">
        <color rgb="FF365F91"/>
      </bottom>
      <diagonal/>
    </border>
    <border>
      <left style="dotted">
        <color indexed="12"/>
      </left>
      <right/>
      <top style="thin">
        <color indexed="12"/>
      </top>
      <bottom style="thin">
        <color indexed="12"/>
      </bottom>
      <diagonal/>
    </border>
    <border>
      <left/>
      <right style="dotted">
        <color indexed="12"/>
      </right>
      <top style="thin">
        <color indexed="12"/>
      </top>
      <bottom style="thin">
        <color rgb="FF0000FF"/>
      </bottom>
      <diagonal/>
    </border>
    <border>
      <left/>
      <right style="dashed">
        <color indexed="12"/>
      </right>
      <top/>
      <bottom style="thin">
        <color indexed="12"/>
      </bottom>
      <diagonal/>
    </border>
    <border>
      <left/>
      <right/>
      <top/>
      <bottom style="thin">
        <color indexed="56"/>
      </bottom>
      <diagonal/>
    </border>
  </borders>
  <cellStyleXfs count="2718">
    <xf numFmtId="0" fontId="0" fillId="0" borderId="0"/>
    <xf numFmtId="0" fontId="6" fillId="0" borderId="1" applyNumberFormat="0" applyFill="0" applyAlignment="0" applyProtection="0"/>
    <xf numFmtId="0" fontId="7" fillId="2" borderId="0" applyNumberFormat="0" applyBorder="0" applyAlignment="0" applyProtection="0"/>
    <xf numFmtId="0" fontId="5" fillId="0" borderId="0"/>
    <xf numFmtId="0" fontId="5" fillId="0" borderId="0"/>
    <xf numFmtId="0" fontId="8" fillId="0" borderId="0"/>
    <xf numFmtId="9" fontId="8" fillId="0" borderId="0" applyFont="0" applyFill="0" applyBorder="0" applyAlignment="0" applyProtection="0"/>
    <xf numFmtId="0" fontId="11" fillId="0" borderId="0"/>
    <xf numFmtId="0" fontId="5" fillId="0" borderId="0"/>
    <xf numFmtId="0" fontId="8" fillId="0" borderId="0"/>
    <xf numFmtId="0" fontId="8" fillId="0" borderId="0"/>
    <xf numFmtId="43" fontId="11" fillId="0" borderId="0" applyFont="0" applyFill="0" applyBorder="0" applyAlignment="0" applyProtection="0"/>
    <xf numFmtId="0" fontId="8" fillId="0" borderId="0"/>
    <xf numFmtId="9" fontId="11" fillId="0" borderId="0" applyFont="0" applyFill="0" applyBorder="0" applyAlignment="0" applyProtection="0"/>
    <xf numFmtId="0" fontId="8" fillId="0" borderId="0"/>
    <xf numFmtId="0" fontId="8" fillId="0" borderId="0"/>
    <xf numFmtId="0" fontId="28" fillId="0" borderId="0"/>
    <xf numFmtId="43" fontId="8" fillId="0" borderId="0" applyFont="0" applyFill="0" applyBorder="0" applyAlignment="0" applyProtection="0"/>
    <xf numFmtId="0" fontId="11" fillId="0" borderId="0"/>
    <xf numFmtId="0" fontId="5" fillId="0" borderId="0"/>
    <xf numFmtId="0" fontId="5" fillId="0" borderId="0"/>
    <xf numFmtId="43" fontId="5" fillId="0" borderId="0" applyFont="0" applyFill="0" applyBorder="0" applyAlignment="0" applyProtection="0"/>
    <xf numFmtId="0" fontId="11" fillId="0" borderId="0"/>
    <xf numFmtId="43" fontId="11"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11" fillId="0" borderId="0"/>
    <xf numFmtId="0" fontId="11" fillId="0" borderId="0"/>
    <xf numFmtId="0" fontId="11" fillId="0" borderId="0"/>
    <xf numFmtId="0" fontId="60" fillId="0" borderId="0"/>
    <xf numFmtId="0" fontId="5" fillId="0" borderId="0"/>
    <xf numFmtId="0" fontId="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 fillId="0" borderId="0"/>
    <xf numFmtId="0" fontId="5" fillId="0" borderId="0"/>
    <xf numFmtId="43" fontId="5" fillId="0" borderId="0" applyFont="0" applyFill="0" applyBorder="0" applyAlignment="0" applyProtection="0"/>
    <xf numFmtId="0" fontId="11" fillId="0" borderId="0"/>
    <xf numFmtId="200" fontId="11" fillId="0" borderId="0"/>
    <xf numFmtId="200" fontId="11" fillId="0" borderId="0"/>
    <xf numFmtId="200" fontId="11" fillId="0" borderId="0"/>
    <xf numFmtId="200" fontId="11" fillId="0" borderId="0"/>
    <xf numFmtId="0" fontId="11" fillId="0" borderId="0"/>
    <xf numFmtId="200" fontId="11" fillId="0" borderId="0"/>
    <xf numFmtId="200" fontId="11" fillId="0" borderId="0"/>
    <xf numFmtId="200" fontId="11" fillId="0" borderId="0"/>
    <xf numFmtId="200" fontId="11" fillId="0" borderId="0"/>
    <xf numFmtId="200" fontId="11" fillId="0" borderId="0"/>
    <xf numFmtId="200" fontId="11" fillId="0" borderId="0"/>
    <xf numFmtId="200" fontId="11" fillId="0" borderId="0"/>
    <xf numFmtId="200" fontId="11" fillId="0" borderId="0"/>
    <xf numFmtId="200" fontId="11" fillId="0" borderId="0"/>
    <xf numFmtId="200" fontId="11" fillId="0" borderId="0"/>
    <xf numFmtId="200" fontId="11" fillId="0" borderId="0"/>
    <xf numFmtId="200" fontId="11" fillId="0" borderId="0"/>
    <xf numFmtId="200" fontId="11" fillId="0" borderId="0"/>
    <xf numFmtId="200" fontId="11" fillId="0" borderId="0"/>
    <xf numFmtId="200" fontId="11" fillId="0" borderId="0"/>
    <xf numFmtId="200" fontId="11" fillId="0" borderId="0"/>
    <xf numFmtId="200" fontId="11" fillId="0" borderId="0"/>
    <xf numFmtId="200" fontId="11" fillId="0" borderId="0"/>
    <xf numFmtId="0" fontId="11" fillId="0" borderId="0"/>
    <xf numFmtId="200" fontId="11" fillId="0" borderId="0"/>
    <xf numFmtId="200" fontId="11" fillId="0" borderId="0"/>
    <xf numFmtId="200" fontId="11" fillId="0" borderId="0"/>
    <xf numFmtId="200" fontId="11" fillId="0" borderId="0"/>
    <xf numFmtId="200" fontId="11" fillId="0" borderId="0"/>
    <xf numFmtId="200" fontId="11" fillId="0" borderId="0"/>
    <xf numFmtId="200" fontId="11" fillId="0" borderId="0"/>
    <xf numFmtId="200" fontId="11" fillId="0" borderId="0"/>
    <xf numFmtId="200" fontId="11" fillId="0" borderId="0"/>
    <xf numFmtId="200" fontId="11" fillId="0" borderId="0"/>
    <xf numFmtId="200" fontId="11" fillId="0" borderId="0"/>
    <xf numFmtId="0" fontId="96" fillId="12" borderId="0" applyNumberFormat="0" applyBorder="0" applyAlignment="0" applyProtection="0"/>
    <xf numFmtId="0" fontId="96" fillId="13" borderId="0" applyNumberFormat="0" applyBorder="0" applyAlignment="0" applyProtection="0"/>
    <xf numFmtId="0" fontId="96" fillId="14" borderId="0" applyNumberFormat="0" applyBorder="0" applyAlignment="0" applyProtection="0"/>
    <xf numFmtId="0" fontId="96" fillId="15" borderId="0" applyNumberFormat="0" applyBorder="0" applyAlignment="0" applyProtection="0"/>
    <xf numFmtId="0" fontId="96" fillId="16" borderId="0" applyNumberFormat="0" applyBorder="0" applyAlignment="0" applyProtection="0"/>
    <xf numFmtId="0" fontId="96" fillId="17" borderId="0" applyNumberFormat="0" applyBorder="0" applyAlignment="0" applyProtection="0"/>
    <xf numFmtId="0" fontId="96" fillId="12" borderId="0" applyNumberFormat="0" applyBorder="0" applyAlignment="0" applyProtection="0"/>
    <xf numFmtId="0" fontId="97" fillId="12" borderId="0" applyNumberFormat="0" applyBorder="0" applyAlignment="0" applyProtection="0"/>
    <xf numFmtId="0" fontId="97" fillId="12" borderId="0" applyNumberFormat="0" applyBorder="0" applyAlignment="0" applyProtection="0"/>
    <xf numFmtId="0" fontId="96" fillId="13" borderId="0" applyNumberFormat="0" applyBorder="0" applyAlignment="0" applyProtection="0"/>
    <xf numFmtId="0" fontId="97" fillId="13" borderId="0" applyNumberFormat="0" applyBorder="0" applyAlignment="0" applyProtection="0"/>
    <xf numFmtId="0" fontId="97" fillId="13" borderId="0" applyNumberFormat="0" applyBorder="0" applyAlignment="0" applyProtection="0"/>
    <xf numFmtId="0" fontId="89" fillId="11" borderId="0" applyNumberFormat="0" applyBorder="0" applyAlignment="0" applyProtection="0"/>
    <xf numFmtId="0" fontId="97" fillId="14" borderId="0" applyNumberFormat="0" applyBorder="0" applyAlignment="0" applyProtection="0"/>
    <xf numFmtId="0" fontId="97" fillId="14" borderId="0" applyNumberFormat="0" applyBorder="0" applyAlignment="0" applyProtection="0"/>
    <xf numFmtId="0" fontId="96" fillId="15" borderId="0" applyNumberFormat="0" applyBorder="0" applyAlignment="0" applyProtection="0"/>
    <xf numFmtId="0" fontId="97" fillId="15" borderId="0" applyNumberFormat="0" applyBorder="0" applyAlignment="0" applyProtection="0"/>
    <xf numFmtId="0" fontId="97" fillId="15" borderId="0" applyNumberFormat="0" applyBorder="0" applyAlignment="0" applyProtection="0"/>
    <xf numFmtId="0" fontId="96" fillId="16" borderId="0" applyNumberFormat="0" applyBorder="0" applyAlignment="0" applyProtection="0"/>
    <xf numFmtId="0" fontId="97" fillId="16" borderId="0" applyNumberFormat="0" applyBorder="0" applyAlignment="0" applyProtection="0"/>
    <xf numFmtId="0" fontId="97" fillId="16" borderId="0" applyNumberFormat="0" applyBorder="0" applyAlignment="0" applyProtection="0"/>
    <xf numFmtId="0" fontId="96" fillId="17" borderId="0" applyNumberFormat="0" applyBorder="0" applyAlignment="0" applyProtection="0"/>
    <xf numFmtId="0" fontId="97" fillId="17" borderId="0" applyNumberFormat="0" applyBorder="0" applyAlignment="0" applyProtection="0"/>
    <xf numFmtId="0" fontId="97" fillId="17" borderId="0" applyNumberFormat="0" applyBorder="0" applyAlignment="0" applyProtection="0"/>
    <xf numFmtId="0" fontId="96" fillId="18" borderId="0" applyNumberFormat="0" applyBorder="0" applyAlignment="0" applyProtection="0"/>
    <xf numFmtId="0" fontId="96" fillId="19" borderId="0" applyNumberFormat="0" applyBorder="0" applyAlignment="0" applyProtection="0"/>
    <xf numFmtId="0" fontId="96" fillId="20" borderId="0" applyNumberFormat="0" applyBorder="0" applyAlignment="0" applyProtection="0"/>
    <xf numFmtId="0" fontId="96" fillId="15" borderId="0" applyNumberFormat="0" applyBorder="0" applyAlignment="0" applyProtection="0"/>
    <xf numFmtId="0" fontId="96" fillId="18" borderId="0" applyNumberFormat="0" applyBorder="0" applyAlignment="0" applyProtection="0"/>
    <xf numFmtId="0" fontId="96" fillId="21" borderId="0" applyNumberFormat="0" applyBorder="0" applyAlignment="0" applyProtection="0"/>
    <xf numFmtId="0" fontId="96" fillId="18" borderId="0" applyNumberFormat="0" applyBorder="0" applyAlignment="0" applyProtection="0"/>
    <xf numFmtId="0" fontId="97" fillId="18" borderId="0" applyNumberFormat="0" applyBorder="0" applyAlignment="0" applyProtection="0"/>
    <xf numFmtId="0" fontId="97" fillId="18" borderId="0" applyNumberFormat="0" applyBorder="0" applyAlignment="0" applyProtection="0"/>
    <xf numFmtId="0" fontId="96" fillId="19" borderId="0" applyNumberFormat="0" applyBorder="0" applyAlignment="0" applyProtection="0"/>
    <xf numFmtId="0" fontId="97" fillId="19" borderId="0" applyNumberFormat="0" applyBorder="0" applyAlignment="0" applyProtection="0"/>
    <xf numFmtId="0" fontId="97" fillId="19" borderId="0" applyNumberFormat="0" applyBorder="0" applyAlignment="0" applyProtection="0"/>
    <xf numFmtId="0" fontId="96" fillId="20" borderId="0" applyNumberFormat="0" applyBorder="0" applyAlignment="0" applyProtection="0"/>
    <xf numFmtId="0" fontId="97" fillId="20" borderId="0" applyNumberFormat="0" applyBorder="0" applyAlignment="0" applyProtection="0"/>
    <xf numFmtId="0" fontId="97" fillId="20" borderId="0" applyNumberFormat="0" applyBorder="0" applyAlignment="0" applyProtection="0"/>
    <xf numFmtId="0" fontId="96" fillId="15" borderId="0" applyNumberFormat="0" applyBorder="0" applyAlignment="0" applyProtection="0"/>
    <xf numFmtId="0" fontId="97" fillId="15" borderId="0" applyNumberFormat="0" applyBorder="0" applyAlignment="0" applyProtection="0"/>
    <xf numFmtId="0" fontId="97" fillId="15" borderId="0" applyNumberFormat="0" applyBorder="0" applyAlignment="0" applyProtection="0"/>
    <xf numFmtId="0" fontId="96" fillId="18" borderId="0" applyNumberFormat="0" applyBorder="0" applyAlignment="0" applyProtection="0"/>
    <xf numFmtId="0" fontId="97" fillId="18" borderId="0" applyNumberFormat="0" applyBorder="0" applyAlignment="0" applyProtection="0"/>
    <xf numFmtId="0" fontId="97" fillId="18" borderId="0" applyNumberFormat="0" applyBorder="0" applyAlignment="0" applyProtection="0"/>
    <xf numFmtId="0" fontId="96" fillId="21" borderId="0" applyNumberFormat="0" applyBorder="0" applyAlignment="0" applyProtection="0"/>
    <xf numFmtId="0" fontId="97" fillId="21" borderId="0" applyNumberFormat="0" applyBorder="0" applyAlignment="0" applyProtection="0"/>
    <xf numFmtId="0" fontId="97" fillId="21" borderId="0" applyNumberFormat="0" applyBorder="0" applyAlignment="0" applyProtection="0"/>
    <xf numFmtId="0" fontId="98" fillId="22" borderId="0" applyNumberFormat="0" applyBorder="0" applyAlignment="0" applyProtection="0"/>
    <xf numFmtId="0" fontId="98" fillId="19" borderId="0" applyNumberFormat="0" applyBorder="0" applyAlignment="0" applyProtection="0"/>
    <xf numFmtId="0" fontId="98" fillId="20" borderId="0" applyNumberFormat="0" applyBorder="0" applyAlignment="0" applyProtection="0"/>
    <xf numFmtId="0" fontId="98" fillId="23" borderId="0" applyNumberFormat="0" applyBorder="0" applyAlignment="0" applyProtection="0"/>
    <xf numFmtId="0" fontId="98" fillId="24" borderId="0" applyNumberFormat="0" applyBorder="0" applyAlignment="0" applyProtection="0"/>
    <xf numFmtId="0" fontId="98" fillId="25" borderId="0" applyNumberFormat="0" applyBorder="0" applyAlignment="0" applyProtection="0"/>
    <xf numFmtId="0" fontId="98" fillId="22" borderId="0" applyNumberFormat="0" applyBorder="0" applyAlignment="0" applyProtection="0"/>
    <xf numFmtId="0" fontId="99" fillId="22" borderId="0" applyNumberFormat="0" applyBorder="0" applyAlignment="0" applyProtection="0"/>
    <xf numFmtId="0" fontId="99" fillId="22" borderId="0" applyNumberFormat="0" applyBorder="0" applyAlignment="0" applyProtection="0"/>
    <xf numFmtId="0" fontId="98" fillId="19" borderId="0" applyNumberFormat="0" applyBorder="0" applyAlignment="0" applyProtection="0"/>
    <xf numFmtId="0" fontId="99" fillId="19" borderId="0" applyNumberFormat="0" applyBorder="0" applyAlignment="0" applyProtection="0"/>
    <xf numFmtId="0" fontId="99" fillId="19" borderId="0" applyNumberFormat="0" applyBorder="0" applyAlignment="0" applyProtection="0"/>
    <xf numFmtId="0" fontId="98" fillId="20" borderId="0" applyNumberFormat="0" applyBorder="0" applyAlignment="0" applyProtection="0"/>
    <xf numFmtId="0" fontId="99" fillId="20" borderId="0" applyNumberFormat="0" applyBorder="0" applyAlignment="0" applyProtection="0"/>
    <xf numFmtId="0" fontId="99" fillId="20" borderId="0" applyNumberFormat="0" applyBorder="0" applyAlignment="0" applyProtection="0"/>
    <xf numFmtId="0" fontId="98" fillId="23" borderId="0" applyNumberFormat="0" applyBorder="0" applyAlignment="0" applyProtection="0"/>
    <xf numFmtId="0" fontId="99" fillId="23" borderId="0" applyNumberFormat="0" applyBorder="0" applyAlignment="0" applyProtection="0"/>
    <xf numFmtId="0" fontId="99" fillId="23" borderId="0" applyNumberFormat="0" applyBorder="0" applyAlignment="0" applyProtection="0"/>
    <xf numFmtId="0" fontId="98" fillId="24" borderId="0" applyNumberFormat="0" applyBorder="0" applyAlignment="0" applyProtection="0"/>
    <xf numFmtId="0" fontId="99" fillId="24" borderId="0" applyNumberFormat="0" applyBorder="0" applyAlignment="0" applyProtection="0"/>
    <xf numFmtId="0" fontId="99" fillId="24" borderId="0" applyNumberFormat="0" applyBorder="0" applyAlignment="0" applyProtection="0"/>
    <xf numFmtId="0" fontId="98" fillId="25" borderId="0" applyNumberFormat="0" applyBorder="0" applyAlignment="0" applyProtection="0"/>
    <xf numFmtId="0" fontId="99" fillId="25" borderId="0" applyNumberFormat="0" applyBorder="0" applyAlignment="0" applyProtection="0"/>
    <xf numFmtId="0" fontId="99" fillId="25" borderId="0" applyNumberFormat="0" applyBorder="0" applyAlignment="0" applyProtection="0"/>
    <xf numFmtId="0" fontId="99" fillId="26" borderId="0" applyNumberFormat="0" applyBorder="0" applyAlignment="0" applyProtection="0"/>
    <xf numFmtId="0" fontId="97" fillId="27" borderId="0" applyNumberFormat="0" applyBorder="0" applyAlignment="0" applyProtection="0"/>
    <xf numFmtId="0" fontId="97" fillId="27" borderId="0" applyNumberFormat="0" applyBorder="0" applyAlignment="0" applyProtection="0"/>
    <xf numFmtId="0" fontId="99" fillId="28" borderId="0" applyNumberFormat="0" applyBorder="0" applyAlignment="0" applyProtection="0"/>
    <xf numFmtId="0" fontId="99" fillId="29" borderId="0" applyNumberFormat="0" applyBorder="0" applyAlignment="0" applyProtection="0"/>
    <xf numFmtId="0" fontId="97" fillId="30" borderId="0" applyNumberFormat="0" applyBorder="0" applyAlignment="0" applyProtection="0"/>
    <xf numFmtId="0" fontId="97" fillId="31" borderId="0" applyNumberFormat="0" applyBorder="0" applyAlignment="0" applyProtection="0"/>
    <xf numFmtId="0" fontId="99" fillId="32" borderId="0" applyNumberFormat="0" applyBorder="0" applyAlignment="0" applyProtection="0"/>
    <xf numFmtId="0" fontId="99" fillId="32" borderId="0" applyNumberFormat="0" applyBorder="0" applyAlignment="0" applyProtection="0"/>
    <xf numFmtId="0" fontId="97" fillId="30" borderId="0" applyNumberFormat="0" applyBorder="0" applyAlignment="0" applyProtection="0"/>
    <xf numFmtId="0" fontId="97" fillId="34" borderId="0" applyNumberFormat="0" applyBorder="0" applyAlignment="0" applyProtection="0"/>
    <xf numFmtId="0" fontId="99" fillId="31" borderId="0" applyNumberFormat="0" applyBorder="0" applyAlignment="0" applyProtection="0"/>
    <xf numFmtId="0" fontId="99" fillId="26" borderId="0" applyNumberFormat="0" applyBorder="0" applyAlignment="0" applyProtection="0"/>
    <xf numFmtId="0" fontId="97" fillId="27" borderId="0" applyNumberFormat="0" applyBorder="0" applyAlignment="0" applyProtection="0"/>
    <xf numFmtId="0" fontId="97" fillId="31" borderId="0" applyNumberFormat="0" applyBorder="0" applyAlignment="0" applyProtection="0"/>
    <xf numFmtId="0" fontId="99" fillId="31" borderId="0" applyNumberFormat="0" applyBorder="0" applyAlignment="0" applyProtection="0"/>
    <xf numFmtId="0" fontId="99" fillId="35" borderId="0" applyNumberFormat="0" applyBorder="0" applyAlignment="0" applyProtection="0"/>
    <xf numFmtId="0" fontId="97" fillId="36" borderId="0" applyNumberFormat="0" applyBorder="0" applyAlignment="0" applyProtection="0"/>
    <xf numFmtId="0" fontId="97" fillId="27" borderId="0" applyNumberFormat="0" applyBorder="0" applyAlignment="0" applyProtection="0"/>
    <xf numFmtId="0" fontId="99" fillId="28" borderId="0" applyNumberFormat="0" applyBorder="0" applyAlignment="0" applyProtection="0"/>
    <xf numFmtId="0" fontId="99" fillId="37" borderId="0" applyNumberFormat="0" applyBorder="0" applyAlignment="0" applyProtection="0"/>
    <xf numFmtId="0" fontId="97" fillId="30" borderId="0" applyNumberFormat="0" applyBorder="0" applyAlignment="0" applyProtection="0"/>
    <xf numFmtId="0" fontId="97" fillId="38" borderId="0" applyNumberFormat="0" applyBorder="0" applyAlignment="0" applyProtection="0"/>
    <xf numFmtId="0" fontId="99" fillId="38" borderId="0" applyNumberFormat="0" applyBorder="0" applyAlignment="0" applyProtection="0"/>
    <xf numFmtId="201" fontId="100" fillId="0" borderId="44">
      <alignment horizontal="center" vertical="center"/>
    </xf>
    <xf numFmtId="0" fontId="101" fillId="40" borderId="0" applyNumberFormat="0" applyBorder="0" applyAlignment="0" applyProtection="0"/>
    <xf numFmtId="200" fontId="6" fillId="0" borderId="1" applyNumberFormat="0" applyFill="0" applyAlignment="0" applyProtection="0"/>
    <xf numFmtId="200" fontId="6" fillId="0" borderId="1" applyNumberFormat="0" applyFill="0" applyAlignment="0" applyProtection="0"/>
    <xf numFmtId="0" fontId="102" fillId="0" borderId="0" applyNumberFormat="0" applyFill="0" applyBorder="0" applyAlignment="0" applyProtection="0"/>
    <xf numFmtId="0" fontId="103" fillId="0" borderId="45" applyNumberFormat="0" applyFill="0" applyAlignment="0" applyProtection="0"/>
    <xf numFmtId="200" fontId="104" fillId="0" borderId="46" applyNumberFormat="0" applyFill="0" applyAlignment="0" applyProtection="0"/>
    <xf numFmtId="200" fontId="104" fillId="0" borderId="46" applyNumberFormat="0" applyFill="0" applyAlignment="0" applyProtection="0"/>
    <xf numFmtId="200" fontId="104" fillId="0" borderId="46" applyNumberFormat="0" applyFill="0" applyAlignment="0" applyProtection="0"/>
    <xf numFmtId="200" fontId="104" fillId="0" borderId="46" applyNumberFormat="0" applyFill="0" applyAlignment="0" applyProtection="0"/>
    <xf numFmtId="200" fontId="104" fillId="0" borderId="46" applyNumberFormat="0" applyFill="0" applyAlignment="0" applyProtection="0"/>
    <xf numFmtId="200" fontId="104" fillId="0" borderId="46" applyNumberFormat="0" applyFill="0" applyAlignment="0" applyProtection="0"/>
    <xf numFmtId="200" fontId="104" fillId="0" borderId="46" applyNumberFormat="0" applyFill="0" applyAlignment="0" applyProtection="0"/>
    <xf numFmtId="200" fontId="104" fillId="0" borderId="46" applyNumberFormat="0" applyFill="0" applyAlignment="0" applyProtection="0"/>
    <xf numFmtId="200" fontId="104" fillId="0" borderId="46" applyNumberFormat="0" applyFill="0" applyAlignment="0" applyProtection="0"/>
    <xf numFmtId="200" fontId="104" fillId="0" borderId="46" applyNumberFormat="0" applyFill="0" applyAlignment="0" applyProtection="0"/>
    <xf numFmtId="0" fontId="105" fillId="0" borderId="45" applyNumberFormat="0" applyFill="0" applyAlignment="0" applyProtection="0"/>
    <xf numFmtId="0" fontId="105" fillId="0" borderId="45" applyNumberFormat="0" applyFill="0" applyAlignment="0" applyProtection="0"/>
    <xf numFmtId="0" fontId="6" fillId="0" borderId="1" applyNumberFormat="0" applyFill="0" applyAlignment="0" applyProtection="0"/>
    <xf numFmtId="200" fontId="6" fillId="0" borderId="1" applyNumberFormat="0" applyFill="0" applyAlignment="0" applyProtection="0"/>
    <xf numFmtId="200" fontId="6" fillId="0" borderId="1" applyNumberFormat="0" applyFill="0" applyAlignment="0" applyProtection="0"/>
    <xf numFmtId="200" fontId="6" fillId="0" borderId="1" applyNumberFormat="0" applyFill="0" applyAlignment="0" applyProtection="0"/>
    <xf numFmtId="200" fontId="6" fillId="0" borderId="1" applyNumberFormat="0" applyFill="0" applyAlignment="0" applyProtection="0"/>
    <xf numFmtId="200" fontId="91" fillId="0" borderId="39" applyNumberFormat="0" applyFill="0" applyAlignment="0" applyProtection="0"/>
    <xf numFmtId="200" fontId="91" fillId="0" borderId="39" applyNumberFormat="0" applyFill="0" applyAlignment="0" applyProtection="0"/>
    <xf numFmtId="0" fontId="106" fillId="0" borderId="47" applyNumberFormat="0" applyFill="0" applyAlignment="0" applyProtection="0"/>
    <xf numFmtId="200" fontId="107" fillId="0" borderId="48" applyNumberFormat="0" applyFill="0" applyAlignment="0" applyProtection="0"/>
    <xf numFmtId="200" fontId="107" fillId="0" borderId="48" applyNumberFormat="0" applyFill="0" applyAlignment="0" applyProtection="0"/>
    <xf numFmtId="200" fontId="107" fillId="0" borderId="48" applyNumberFormat="0" applyFill="0" applyAlignment="0" applyProtection="0"/>
    <xf numFmtId="200" fontId="107" fillId="0" borderId="48" applyNumberFormat="0" applyFill="0" applyAlignment="0" applyProtection="0"/>
    <xf numFmtId="200" fontId="107" fillId="0" borderId="48" applyNumberFormat="0" applyFill="0" applyAlignment="0" applyProtection="0"/>
    <xf numFmtId="200" fontId="107" fillId="0" borderId="48" applyNumberFormat="0" applyFill="0" applyAlignment="0" applyProtection="0"/>
    <xf numFmtId="200" fontId="107" fillId="0" borderId="48" applyNumberFormat="0" applyFill="0" applyAlignment="0" applyProtection="0"/>
    <xf numFmtId="200" fontId="107" fillId="0" borderId="48" applyNumberFormat="0" applyFill="0" applyAlignment="0" applyProtection="0"/>
    <xf numFmtId="200" fontId="107" fillId="0" borderId="48" applyNumberFormat="0" applyFill="0" applyAlignment="0" applyProtection="0"/>
    <xf numFmtId="200" fontId="107" fillId="0" borderId="48" applyNumberFormat="0" applyFill="0" applyAlignment="0" applyProtection="0"/>
    <xf numFmtId="0" fontId="108" fillId="0" borderId="47" applyNumberFormat="0" applyFill="0" applyAlignment="0" applyProtection="0"/>
    <xf numFmtId="0" fontId="108" fillId="0" borderId="47" applyNumberFormat="0" applyFill="0" applyAlignment="0" applyProtection="0"/>
    <xf numFmtId="200" fontId="91" fillId="0" borderId="39" applyNumberFormat="0" applyFill="0" applyAlignment="0" applyProtection="0"/>
    <xf numFmtId="200" fontId="91" fillId="0" borderId="39" applyNumberFormat="0" applyFill="0" applyAlignment="0" applyProtection="0"/>
    <xf numFmtId="200" fontId="91" fillId="0" borderId="39" applyNumberFormat="0" applyFill="0" applyAlignment="0" applyProtection="0"/>
    <xf numFmtId="200" fontId="91" fillId="0" borderId="39" applyNumberFormat="0" applyFill="0" applyAlignment="0" applyProtection="0"/>
    <xf numFmtId="200" fontId="91" fillId="0" borderId="39" applyNumberFormat="0" applyFill="0" applyAlignment="0" applyProtection="0"/>
    <xf numFmtId="200" fontId="92" fillId="0" borderId="40" applyNumberFormat="0" applyFill="0" applyAlignment="0" applyProtection="0"/>
    <xf numFmtId="200" fontId="92" fillId="0" borderId="40" applyNumberFormat="0" applyFill="0" applyAlignment="0" applyProtection="0"/>
    <xf numFmtId="0" fontId="109" fillId="0" borderId="49" applyNumberFormat="0" applyFill="0" applyAlignment="0" applyProtection="0"/>
    <xf numFmtId="200" fontId="110" fillId="0" borderId="50" applyNumberFormat="0" applyFill="0" applyAlignment="0" applyProtection="0"/>
    <xf numFmtId="200" fontId="110" fillId="0" borderId="50" applyNumberFormat="0" applyFill="0" applyAlignment="0" applyProtection="0"/>
    <xf numFmtId="200" fontId="110" fillId="0" borderId="50" applyNumberFormat="0" applyFill="0" applyAlignment="0" applyProtection="0"/>
    <xf numFmtId="200" fontId="110" fillId="0" borderId="50" applyNumberFormat="0" applyFill="0" applyAlignment="0" applyProtection="0"/>
    <xf numFmtId="200" fontId="110" fillId="0" borderId="50" applyNumberFormat="0" applyFill="0" applyAlignment="0" applyProtection="0"/>
    <xf numFmtId="200" fontId="110" fillId="0" borderId="50" applyNumberFormat="0" applyFill="0" applyAlignment="0" applyProtection="0"/>
    <xf numFmtId="200" fontId="110" fillId="0" borderId="50" applyNumberFormat="0" applyFill="0" applyAlignment="0" applyProtection="0"/>
    <xf numFmtId="200" fontId="110" fillId="0" borderId="50" applyNumberFormat="0" applyFill="0" applyAlignment="0" applyProtection="0"/>
    <xf numFmtId="200" fontId="110" fillId="0" borderId="50" applyNumberFormat="0" applyFill="0" applyAlignment="0" applyProtection="0"/>
    <xf numFmtId="200" fontId="110" fillId="0" borderId="50" applyNumberFormat="0" applyFill="0" applyAlignment="0" applyProtection="0"/>
    <xf numFmtId="0" fontId="111" fillId="0" borderId="49" applyNumberFormat="0" applyFill="0" applyAlignment="0" applyProtection="0"/>
    <xf numFmtId="0" fontId="111" fillId="0" borderId="49" applyNumberFormat="0" applyFill="0" applyAlignment="0" applyProtection="0"/>
    <xf numFmtId="200" fontId="92" fillId="0" borderId="40" applyNumberFormat="0" applyFill="0" applyAlignment="0" applyProtection="0"/>
    <xf numFmtId="200" fontId="92" fillId="0" borderId="40" applyNumberFormat="0" applyFill="0" applyAlignment="0" applyProtection="0"/>
    <xf numFmtId="200" fontId="92" fillId="0" borderId="40" applyNumberFormat="0" applyFill="0" applyAlignment="0" applyProtection="0"/>
    <xf numFmtId="200" fontId="92" fillId="0" borderId="40" applyNumberFormat="0" applyFill="0" applyAlignment="0" applyProtection="0"/>
    <xf numFmtId="200" fontId="92" fillId="0" borderId="40" applyNumberFormat="0" applyFill="0" applyAlignment="0" applyProtection="0"/>
    <xf numFmtId="200" fontId="92" fillId="0" borderId="0" applyNumberFormat="0" applyFill="0" applyBorder="0" applyAlignment="0" applyProtection="0"/>
    <xf numFmtId="200" fontId="92" fillId="0" borderId="0" applyNumberFormat="0" applyFill="0" applyBorder="0" applyAlignment="0" applyProtection="0"/>
    <xf numFmtId="0" fontId="109" fillId="0" borderId="0" applyNumberFormat="0" applyFill="0" applyBorder="0" applyAlignment="0" applyProtection="0"/>
    <xf numFmtId="200" fontId="110" fillId="0" borderId="0" applyNumberFormat="0" applyFill="0" applyBorder="0" applyAlignment="0" applyProtection="0"/>
    <xf numFmtId="200" fontId="110" fillId="0" borderId="0" applyNumberFormat="0" applyFill="0" applyBorder="0" applyAlignment="0" applyProtection="0"/>
    <xf numFmtId="200" fontId="110" fillId="0" borderId="0" applyNumberFormat="0" applyFill="0" applyBorder="0" applyAlignment="0" applyProtection="0"/>
    <xf numFmtId="200" fontId="110" fillId="0" borderId="0" applyNumberFormat="0" applyFill="0" applyBorder="0" applyAlignment="0" applyProtection="0"/>
    <xf numFmtId="200" fontId="110" fillId="0" borderId="0" applyNumberFormat="0" applyFill="0" applyBorder="0" applyAlignment="0" applyProtection="0"/>
    <xf numFmtId="200" fontId="110" fillId="0" borderId="0" applyNumberFormat="0" applyFill="0" applyBorder="0" applyAlignment="0" applyProtection="0"/>
    <xf numFmtId="200" fontId="110" fillId="0" borderId="0" applyNumberFormat="0" applyFill="0" applyBorder="0" applyAlignment="0" applyProtection="0"/>
    <xf numFmtId="200" fontId="110" fillId="0" borderId="0" applyNumberFormat="0" applyFill="0" applyBorder="0" applyAlignment="0" applyProtection="0"/>
    <xf numFmtId="200" fontId="110" fillId="0" borderId="0" applyNumberFormat="0" applyFill="0" applyBorder="0" applyAlignment="0" applyProtection="0"/>
    <xf numFmtId="200" fontId="110" fillId="0" borderId="0" applyNumberFormat="0" applyFill="0" applyBorder="0" applyAlignment="0" applyProtection="0"/>
    <xf numFmtId="0" fontId="111" fillId="0" borderId="0" applyNumberFormat="0" applyFill="0" applyBorder="0" applyAlignment="0" applyProtection="0"/>
    <xf numFmtId="0" fontId="111" fillId="0" borderId="0" applyNumberFormat="0" applyFill="0" applyBorder="0" applyAlignment="0" applyProtection="0"/>
    <xf numFmtId="200" fontId="92" fillId="0" borderId="0" applyNumberFormat="0" applyFill="0" applyBorder="0" applyAlignment="0" applyProtection="0"/>
    <xf numFmtId="200" fontId="92" fillId="0" borderId="0" applyNumberFormat="0" applyFill="0" applyBorder="0" applyAlignment="0" applyProtection="0"/>
    <xf numFmtId="200" fontId="92" fillId="0" borderId="0" applyNumberFormat="0" applyFill="0" applyBorder="0" applyAlignment="0" applyProtection="0"/>
    <xf numFmtId="200" fontId="92" fillId="0" borderId="0" applyNumberFormat="0" applyFill="0" applyBorder="0" applyAlignment="0" applyProtection="0"/>
    <xf numFmtId="200" fontId="92" fillId="0" borderId="0" applyNumberFormat="0" applyFill="0" applyBorder="0" applyAlignment="0" applyProtection="0"/>
    <xf numFmtId="165" fontId="31" fillId="0" borderId="51"/>
    <xf numFmtId="202" fontId="11" fillId="41" borderId="52" applyNumberFormat="0">
      <alignment vertical="center"/>
    </xf>
    <xf numFmtId="203" fontId="11" fillId="42" borderId="52" applyNumberFormat="0">
      <alignment vertical="center"/>
    </xf>
    <xf numFmtId="202" fontId="11" fillId="43" borderId="52" applyNumberFormat="0">
      <alignment vertical="center"/>
    </xf>
    <xf numFmtId="202" fontId="11" fillId="44" borderId="52" applyNumberFormat="0">
      <alignment vertical="center"/>
    </xf>
    <xf numFmtId="3" fontId="11" fillId="0" borderId="52" applyNumberFormat="0">
      <alignment vertical="center"/>
    </xf>
    <xf numFmtId="0" fontId="112" fillId="45" borderId="53" applyNumberFormat="0" applyAlignment="0" applyProtection="0"/>
    <xf numFmtId="0" fontId="112" fillId="45" borderId="53" applyNumberFormat="0" applyAlignment="0" applyProtection="0"/>
    <xf numFmtId="0" fontId="113" fillId="9" borderId="41" applyNumberFormat="0" applyAlignment="0" applyProtection="0"/>
    <xf numFmtId="0" fontId="114" fillId="46" borderId="53" applyNumberFormat="0" applyAlignment="0" applyProtection="0"/>
    <xf numFmtId="0" fontId="114" fillId="46" borderId="53" applyNumberFormat="0" applyAlignment="0" applyProtection="0"/>
    <xf numFmtId="200" fontId="94" fillId="0" borderId="42" applyNumberFormat="0" applyFill="0" applyAlignment="0" applyProtection="0"/>
    <xf numFmtId="200" fontId="94" fillId="0" borderId="42" applyNumberFormat="0" applyFill="0" applyAlignment="0" applyProtection="0"/>
    <xf numFmtId="0" fontId="115" fillId="0" borderId="54" applyNumberFormat="0" applyFill="0" applyAlignment="0" applyProtection="0"/>
    <xf numFmtId="200" fontId="115" fillId="0" borderId="54" applyNumberFormat="0" applyFill="0" applyAlignment="0" applyProtection="0"/>
    <xf numFmtId="200" fontId="115" fillId="0" borderId="54" applyNumberFormat="0" applyFill="0" applyAlignment="0" applyProtection="0"/>
    <xf numFmtId="200" fontId="115" fillId="0" borderId="54" applyNumberFormat="0" applyFill="0" applyAlignment="0" applyProtection="0"/>
    <xf numFmtId="200" fontId="115" fillId="0" borderId="54" applyNumberFormat="0" applyFill="0" applyAlignment="0" applyProtection="0"/>
    <xf numFmtId="200" fontId="115" fillId="0" borderId="54" applyNumberFormat="0" applyFill="0" applyAlignment="0" applyProtection="0"/>
    <xf numFmtId="200" fontId="115" fillId="0" borderId="54" applyNumberFormat="0" applyFill="0" applyAlignment="0" applyProtection="0"/>
    <xf numFmtId="200" fontId="115" fillId="0" borderId="54" applyNumberFormat="0" applyFill="0" applyAlignment="0" applyProtection="0"/>
    <xf numFmtId="200" fontId="115" fillId="0" borderId="54" applyNumberFormat="0" applyFill="0" applyAlignment="0" applyProtection="0"/>
    <xf numFmtId="200" fontId="115" fillId="0" borderId="54" applyNumberFormat="0" applyFill="0" applyAlignment="0" applyProtection="0"/>
    <xf numFmtId="200" fontId="115" fillId="0" borderId="54" applyNumberFormat="0" applyFill="0" applyAlignment="0" applyProtection="0"/>
    <xf numFmtId="0" fontId="116" fillId="0" borderId="54" applyNumberFormat="0" applyFill="0" applyAlignment="0" applyProtection="0"/>
    <xf numFmtId="0" fontId="116" fillId="0" borderId="54" applyNumberFormat="0" applyFill="0" applyAlignment="0" applyProtection="0"/>
    <xf numFmtId="200" fontId="94" fillId="0" borderId="42" applyNumberFormat="0" applyFill="0" applyAlignment="0" applyProtection="0"/>
    <xf numFmtId="200" fontId="94" fillId="0" borderId="42" applyNumberFormat="0" applyFill="0" applyAlignment="0" applyProtection="0"/>
    <xf numFmtId="200" fontId="94" fillId="0" borderId="42" applyNumberFormat="0" applyFill="0" applyAlignment="0" applyProtection="0"/>
    <xf numFmtId="200" fontId="94" fillId="0" borderId="42" applyNumberFormat="0" applyFill="0" applyAlignment="0" applyProtection="0"/>
    <xf numFmtId="200" fontId="94" fillId="0" borderId="42" applyNumberFormat="0" applyFill="0" applyAlignment="0" applyProtection="0"/>
    <xf numFmtId="0" fontId="117" fillId="32" borderId="55" applyNumberFormat="0" applyAlignment="0" applyProtection="0"/>
    <xf numFmtId="165" fontId="118" fillId="0" borderId="0" applyFill="0" applyBorder="0" applyAlignment="0" applyProtection="0"/>
    <xf numFmtId="204" fontId="11" fillId="0" borderId="0" applyFont="0" applyFill="0" applyBorder="0" applyAlignment="0" applyProtection="0"/>
    <xf numFmtId="198" fontId="11" fillId="0" borderId="0" applyFont="0" applyFill="0" applyBorder="0" applyAlignment="0" applyProtection="0"/>
    <xf numFmtId="203" fontId="11" fillId="0" borderId="0" applyFont="0" applyFill="0" applyBorder="0" applyAlignment="0" applyProtection="0"/>
    <xf numFmtId="203" fontId="11" fillId="0" borderId="0" applyFont="0" applyFill="0" applyBorder="0" applyAlignment="0" applyProtection="0"/>
    <xf numFmtId="203"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205" fontId="11" fillId="0" borderId="0" applyFont="0" applyFill="0" applyBorder="0" applyAlignment="0" applyProtection="0"/>
    <xf numFmtId="201" fontId="11" fillId="0" borderId="0" applyFont="0" applyFill="0" applyBorder="0" applyAlignment="0" applyProtection="0"/>
    <xf numFmtId="206" fontId="11" fillId="0" borderId="0" applyFont="0" applyFill="0" applyBorder="0" applyAlignment="0" applyProtection="0"/>
    <xf numFmtId="203" fontId="11" fillId="0" borderId="0" applyFont="0" applyFill="0" applyBorder="0" applyAlignment="0" applyProtection="0"/>
    <xf numFmtId="203" fontId="11" fillId="0" borderId="0" applyFont="0" applyFill="0" applyBorder="0" applyAlignment="0" applyProtection="0"/>
    <xf numFmtId="203" fontId="11" fillId="0" borderId="0" applyFont="0" applyFill="0" applyBorder="0" applyAlignment="0" applyProtection="0"/>
    <xf numFmtId="203" fontId="11" fillId="0" borderId="0" applyFont="0" applyFill="0" applyBorder="0" applyAlignment="0" applyProtection="0"/>
    <xf numFmtId="203" fontId="11" fillId="0" borderId="0" applyFont="0" applyFill="0" applyBorder="0" applyAlignment="0" applyProtection="0"/>
    <xf numFmtId="203" fontId="11" fillId="0" borderId="0" applyFont="0" applyFill="0" applyBorder="0" applyAlignment="0" applyProtection="0"/>
    <xf numFmtId="203" fontId="11" fillId="0" borderId="0" applyFont="0" applyFill="0" applyBorder="0" applyAlignment="0" applyProtection="0"/>
    <xf numFmtId="207" fontId="11" fillId="0" borderId="0" applyFont="0" applyFill="0" applyBorder="0" applyAlignment="0" applyProtection="0"/>
    <xf numFmtId="201" fontId="11" fillId="0" borderId="0" applyFont="0" applyFill="0" applyBorder="0" applyAlignment="0" applyProtection="0"/>
    <xf numFmtId="201" fontId="11" fillId="0" borderId="0" applyFont="0" applyFill="0" applyBorder="0" applyAlignment="0" applyProtection="0"/>
    <xf numFmtId="206" fontId="11" fillId="0" borderId="0" applyFont="0" applyFill="0" applyBorder="0" applyAlignment="0" applyProtection="0"/>
    <xf numFmtId="203" fontId="11" fillId="0" borderId="0" applyFont="0" applyFill="0" applyBorder="0" applyAlignment="0" applyProtection="0"/>
    <xf numFmtId="203" fontId="11" fillId="0" borderId="0" applyFont="0" applyFill="0" applyBorder="0" applyAlignment="0" applyProtection="0"/>
    <xf numFmtId="203" fontId="11" fillId="0" borderId="0" applyFont="0" applyFill="0" applyBorder="0" applyAlignment="0" applyProtection="0"/>
    <xf numFmtId="203" fontId="11" fillId="0" borderId="0" applyFont="0" applyFill="0" applyBorder="0" applyAlignment="0" applyProtection="0"/>
    <xf numFmtId="203" fontId="11" fillId="0" borderId="0" applyFont="0" applyFill="0" applyBorder="0" applyAlignment="0" applyProtection="0"/>
    <xf numFmtId="43" fontId="9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164" fontId="5" fillId="0" borderId="0" applyFont="0" applyFill="0" applyBorder="0" applyAlignment="0" applyProtection="0"/>
    <xf numFmtId="43" fontId="11" fillId="0" borderId="0" applyFont="0" applyFill="0" applyBorder="0" applyAlignment="0" applyProtection="0"/>
    <xf numFmtId="208" fontId="11"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3" fontId="11" fillId="0" borderId="0" applyFill="0" applyBorder="0" applyAlignment="0" applyProtection="0"/>
    <xf numFmtId="0" fontId="98" fillId="47" borderId="0" applyNumberFormat="0" applyBorder="0" applyAlignment="0" applyProtection="0"/>
    <xf numFmtId="0" fontId="99" fillId="47" borderId="0" applyNumberFormat="0" applyBorder="0" applyAlignment="0" applyProtection="0"/>
    <xf numFmtId="0" fontId="99" fillId="47" borderId="0" applyNumberFormat="0" applyBorder="0" applyAlignment="0" applyProtection="0"/>
    <xf numFmtId="0" fontId="98" fillId="33" borderId="0" applyNumberFormat="0" applyBorder="0" applyAlignment="0" applyProtection="0"/>
    <xf numFmtId="0" fontId="99" fillId="33" borderId="0" applyNumberFormat="0" applyBorder="0" applyAlignment="0" applyProtection="0"/>
    <xf numFmtId="0" fontId="99" fillId="33" borderId="0" applyNumberFormat="0" applyBorder="0" applyAlignment="0" applyProtection="0"/>
    <xf numFmtId="0" fontId="98" fillId="48" borderId="0" applyNumberFormat="0" applyBorder="0" applyAlignment="0" applyProtection="0"/>
    <xf numFmtId="0" fontId="99" fillId="48" borderId="0" applyNumberFormat="0" applyBorder="0" applyAlignment="0" applyProtection="0"/>
    <xf numFmtId="0" fontId="99" fillId="48" borderId="0" applyNumberFormat="0" applyBorder="0" applyAlignment="0" applyProtection="0"/>
    <xf numFmtId="0" fontId="98" fillId="23" borderId="0" applyNumberFormat="0" applyBorder="0" applyAlignment="0" applyProtection="0"/>
    <xf numFmtId="0" fontId="99" fillId="23" borderId="0" applyNumberFormat="0" applyBorder="0" applyAlignment="0" applyProtection="0"/>
    <xf numFmtId="0" fontId="99" fillId="23" borderId="0" applyNumberFormat="0" applyBorder="0" applyAlignment="0" applyProtection="0"/>
    <xf numFmtId="0" fontId="98" fillId="24" borderId="0" applyNumberFormat="0" applyBorder="0" applyAlignment="0" applyProtection="0"/>
    <xf numFmtId="0" fontId="99" fillId="24" borderId="0" applyNumberFormat="0" applyBorder="0" applyAlignment="0" applyProtection="0"/>
    <xf numFmtId="0" fontId="99" fillId="24" borderId="0" applyNumberFormat="0" applyBorder="0" applyAlignment="0" applyProtection="0"/>
    <xf numFmtId="0" fontId="98" fillId="39" borderId="0" applyNumberFormat="0" applyBorder="0" applyAlignment="0" applyProtection="0"/>
    <xf numFmtId="0" fontId="99" fillId="39" borderId="0" applyNumberFormat="0" applyBorder="0" applyAlignment="0" applyProtection="0"/>
    <xf numFmtId="0" fontId="99" fillId="39" borderId="0" applyNumberFormat="0" applyBorder="0" applyAlignment="0" applyProtection="0"/>
    <xf numFmtId="200" fontId="7" fillId="2" borderId="0" applyNumberFormat="0" applyBorder="0" applyAlignment="0" applyProtection="0"/>
    <xf numFmtId="200" fontId="7" fillId="2" borderId="0" applyNumberFormat="0" applyBorder="0" applyAlignment="0" applyProtection="0"/>
    <xf numFmtId="0" fontId="119" fillId="2" borderId="0" applyNumberFormat="0" applyBorder="0" applyAlignment="0" applyProtection="0"/>
    <xf numFmtId="200" fontId="120" fillId="14" borderId="0" applyNumberFormat="0" applyBorder="0" applyAlignment="0" applyProtection="0"/>
    <xf numFmtId="200" fontId="120" fillId="14" borderId="0" applyNumberFormat="0" applyBorder="0" applyAlignment="0" applyProtection="0"/>
    <xf numFmtId="200" fontId="120" fillId="14" borderId="0" applyNumberFormat="0" applyBorder="0" applyAlignment="0" applyProtection="0"/>
    <xf numFmtId="200" fontId="120" fillId="14" borderId="0" applyNumberFormat="0" applyBorder="0" applyAlignment="0" applyProtection="0"/>
    <xf numFmtId="200" fontId="120" fillId="14" borderId="0" applyNumberFormat="0" applyBorder="0" applyAlignment="0" applyProtection="0"/>
    <xf numFmtId="200" fontId="120" fillId="14" borderId="0" applyNumberFormat="0" applyBorder="0" applyAlignment="0" applyProtection="0"/>
    <xf numFmtId="200" fontId="120" fillId="14" borderId="0" applyNumberFormat="0" applyBorder="0" applyAlignment="0" applyProtection="0"/>
    <xf numFmtId="200" fontId="120" fillId="14" borderId="0" applyNumberFormat="0" applyBorder="0" applyAlignment="0" applyProtection="0"/>
    <xf numFmtId="200" fontId="120" fillId="14" borderId="0" applyNumberFormat="0" applyBorder="0" applyAlignment="0" applyProtection="0"/>
    <xf numFmtId="200" fontId="120" fillId="14" borderId="0" applyNumberFormat="0" applyBorder="0" applyAlignment="0" applyProtection="0"/>
    <xf numFmtId="0" fontId="121" fillId="14" borderId="0" applyNumberFormat="0" applyBorder="0" applyAlignment="0" applyProtection="0"/>
    <xf numFmtId="0" fontId="121" fillId="14" borderId="0" applyNumberFormat="0" applyBorder="0" applyAlignment="0" applyProtection="0"/>
    <xf numFmtId="200" fontId="7" fillId="2" borderId="0" applyNumberFormat="0" applyBorder="0" applyAlignment="0" applyProtection="0"/>
    <xf numFmtId="200" fontId="7" fillId="2" borderId="0" applyNumberFormat="0" applyBorder="0" applyAlignment="0" applyProtection="0"/>
    <xf numFmtId="200" fontId="7" fillId="2" borderId="0" applyNumberFormat="0" applyBorder="0" applyAlignment="0" applyProtection="0"/>
    <xf numFmtId="200" fontId="7" fillId="2" borderId="0" applyNumberFormat="0" applyBorder="0" applyAlignment="0" applyProtection="0"/>
    <xf numFmtId="200" fontId="7" fillId="2" borderId="0" applyNumberFormat="0" applyBorder="0" applyAlignment="0" applyProtection="0"/>
    <xf numFmtId="209" fontId="118" fillId="0" borderId="0" applyFill="0" applyBorder="0" applyAlignment="0" applyProtection="0"/>
    <xf numFmtId="204" fontId="11" fillId="0" borderId="0" applyFont="0" applyFill="0" applyBorder="0" applyAlignment="0"/>
    <xf numFmtId="210" fontId="5" fillId="0" borderId="0" applyFont="0" applyFill="0" applyBorder="0" applyAlignment="0" applyProtection="0"/>
    <xf numFmtId="210" fontId="5" fillId="0" borderId="0" applyFont="0" applyFill="0" applyBorder="0" applyAlignment="0" applyProtection="0"/>
    <xf numFmtId="210" fontId="5" fillId="0" borderId="0" applyFont="0" applyFill="0" applyBorder="0" applyAlignment="0" applyProtection="0"/>
    <xf numFmtId="210" fontId="5" fillId="0" borderId="0" applyFont="0" applyFill="0" applyBorder="0" applyAlignment="0" applyProtection="0"/>
    <xf numFmtId="210" fontId="5" fillId="0" borderId="0" applyFont="0" applyFill="0" applyBorder="0" applyAlignment="0" applyProtection="0"/>
    <xf numFmtId="210" fontId="5" fillId="0" borderId="0" applyFont="0" applyFill="0" applyBorder="0" applyAlignment="0" applyProtection="0"/>
    <xf numFmtId="210" fontId="5" fillId="0" borderId="0" applyFont="0" applyFill="0" applyBorder="0" applyAlignment="0" applyProtection="0"/>
    <xf numFmtId="210" fontId="5" fillId="0" borderId="0" applyFont="0" applyFill="0" applyBorder="0" applyAlignment="0" applyProtection="0"/>
    <xf numFmtId="211" fontId="11" fillId="0" borderId="0" applyFill="0" applyBorder="0" applyAlignment="0" applyProtection="0"/>
    <xf numFmtId="212" fontId="118" fillId="0" borderId="0" applyFill="0" applyBorder="0" applyAlignment="0" applyProtection="0"/>
    <xf numFmtId="17" fontId="122" fillId="0" borderId="0" applyFill="0" applyBorder="0">
      <alignment horizontal="right"/>
    </xf>
    <xf numFmtId="201" fontId="123" fillId="0" borderId="56" applyBorder="0">
      <alignment vertical="center"/>
    </xf>
    <xf numFmtId="0" fontId="124" fillId="49" borderId="0" applyNumberFormat="0" applyBorder="0" applyAlignment="0" applyProtection="0"/>
    <xf numFmtId="0" fontId="124" fillId="50" borderId="0" applyNumberFormat="0" applyBorder="0" applyAlignment="0" applyProtection="0"/>
    <xf numFmtId="0" fontId="124" fillId="51" borderId="0" applyNumberFormat="0" applyBorder="0" applyAlignment="0" applyProtection="0"/>
    <xf numFmtId="200" fontId="93" fillId="8" borderId="41" applyNumberFormat="0" applyAlignment="0" applyProtection="0"/>
    <xf numFmtId="200" fontId="93" fillId="8" borderId="41" applyNumberFormat="0" applyAlignment="0" applyProtection="0"/>
    <xf numFmtId="0" fontId="125" fillId="8" borderId="41" applyNumberFormat="0" applyAlignment="0" applyProtection="0"/>
    <xf numFmtId="200" fontId="126" fillId="52" borderId="53" applyNumberFormat="0" applyAlignment="0" applyProtection="0"/>
    <xf numFmtId="200" fontId="126" fillId="52" borderId="53" applyNumberFormat="0" applyAlignment="0" applyProtection="0"/>
    <xf numFmtId="200" fontId="126" fillId="52" borderId="53" applyNumberFormat="0" applyAlignment="0" applyProtection="0"/>
    <xf numFmtId="200" fontId="126" fillId="52" borderId="53" applyNumberFormat="0" applyAlignment="0" applyProtection="0"/>
    <xf numFmtId="200" fontId="126" fillId="52" borderId="53" applyNumberFormat="0" applyAlignment="0" applyProtection="0"/>
    <xf numFmtId="200" fontId="126" fillId="52" borderId="53" applyNumberFormat="0" applyAlignment="0" applyProtection="0"/>
    <xf numFmtId="200" fontId="126" fillId="52" borderId="53" applyNumberFormat="0" applyAlignment="0" applyProtection="0"/>
    <xf numFmtId="200" fontId="126" fillId="52" borderId="53" applyNumberFormat="0" applyAlignment="0" applyProtection="0"/>
    <xf numFmtId="200" fontId="126" fillId="52" borderId="53" applyNumberFormat="0" applyAlignment="0" applyProtection="0"/>
    <xf numFmtId="200" fontId="126" fillId="52" borderId="53" applyNumberFormat="0" applyAlignment="0" applyProtection="0"/>
    <xf numFmtId="0" fontId="127" fillId="17" borderId="53" applyNumberFormat="0" applyAlignment="0" applyProtection="0"/>
    <xf numFmtId="0" fontId="127" fillId="17" borderId="53" applyNumberFormat="0" applyAlignment="0" applyProtection="0"/>
    <xf numFmtId="200" fontId="93" fillId="8" borderId="41" applyNumberFormat="0" applyAlignment="0" applyProtection="0"/>
    <xf numFmtId="200" fontId="93" fillId="8" borderId="41" applyNumberFormat="0" applyAlignment="0" applyProtection="0"/>
    <xf numFmtId="200" fontId="93" fillId="8" borderId="41" applyNumberFormat="0" applyAlignment="0" applyProtection="0"/>
    <xf numFmtId="200" fontId="93" fillId="8" borderId="41" applyNumberFormat="0" applyAlignment="0" applyProtection="0"/>
    <xf numFmtId="200" fontId="93" fillId="8" borderId="41" applyNumberFormat="0" applyAlignment="0" applyProtection="0"/>
    <xf numFmtId="0" fontId="11" fillId="0" borderId="0"/>
    <xf numFmtId="200" fontId="11" fillId="0" borderId="0"/>
    <xf numFmtId="200" fontId="11" fillId="0" borderId="0"/>
    <xf numFmtId="200" fontId="11" fillId="0" borderId="0"/>
    <xf numFmtId="200" fontId="11" fillId="0" borderId="0"/>
    <xf numFmtId="200" fontId="11" fillId="0" borderId="0"/>
    <xf numFmtId="200" fontId="11" fillId="0" borderId="0"/>
    <xf numFmtId="200" fontId="11" fillId="0" borderId="0"/>
    <xf numFmtId="200" fontId="11" fillId="0" borderId="0"/>
    <xf numFmtId="200" fontId="11" fillId="0" borderId="0"/>
    <xf numFmtId="200" fontId="11" fillId="0" borderId="0"/>
    <xf numFmtId="200" fontId="11" fillId="0" borderId="0"/>
    <xf numFmtId="213" fontId="11"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214" fontId="11" fillId="0" borderId="0" applyFont="0" applyFill="0" applyBorder="0" applyAlignment="0" applyProtection="0"/>
    <xf numFmtId="214" fontId="11" fillId="0" borderId="0" applyFont="0" applyFill="0" applyBorder="0" applyAlignment="0" applyProtection="0"/>
    <xf numFmtId="214"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169" fontId="11" fillId="0" borderId="0" applyFont="0" applyFill="0" applyBorder="0" applyAlignment="0" applyProtection="0"/>
    <xf numFmtId="44" fontId="11" fillId="0" borderId="0" applyFont="0" applyFill="0" applyBorder="0" applyAlignment="0" applyProtection="0"/>
    <xf numFmtId="201" fontId="128" fillId="53" borderId="57" applyNumberFormat="0"/>
    <xf numFmtId="0" fontId="129" fillId="0" borderId="0" applyNumberFormat="0" applyFill="0" applyBorder="0" applyAlignment="0" applyProtection="0"/>
    <xf numFmtId="201" fontId="28" fillId="44" borderId="58" applyNumberFormat="0">
      <alignment vertical="center"/>
    </xf>
    <xf numFmtId="2" fontId="118" fillId="0" borderId="0" applyFill="0" applyBorder="0" applyAlignment="0" applyProtection="0"/>
    <xf numFmtId="0" fontId="120" fillId="14" borderId="0" applyNumberFormat="0" applyBorder="0" applyAlignment="0" applyProtection="0"/>
    <xf numFmtId="38" fontId="59" fillId="44" borderId="0" applyNumberFormat="0" applyFont="0" applyBorder="0" applyAlignment="0">
      <protection hidden="1"/>
    </xf>
    <xf numFmtId="201" fontId="130" fillId="44" borderId="59" applyNumberFormat="0">
      <alignment vertical="center"/>
    </xf>
    <xf numFmtId="0" fontId="103" fillId="0" borderId="45" applyNumberFormat="0" applyFill="0" applyAlignment="0" applyProtection="0"/>
    <xf numFmtId="0" fontId="106" fillId="0" borderId="47" applyNumberFormat="0" applyFill="0" applyAlignment="0" applyProtection="0"/>
    <xf numFmtId="0" fontId="109" fillId="0" borderId="49" applyNumberFormat="0" applyFill="0" applyAlignment="0" applyProtection="0"/>
    <xf numFmtId="0" fontId="109" fillId="0" borderId="0" applyNumberFormat="0" applyFill="0" applyBorder="0" applyAlignment="0" applyProtection="0"/>
    <xf numFmtId="0" fontId="102" fillId="0" borderId="0" applyNumberFormat="0" applyFill="0" applyBorder="0" applyAlignment="0" applyProtection="0"/>
    <xf numFmtId="0" fontId="131" fillId="0" borderId="0" applyNumberFormat="0" applyFill="0" applyBorder="0" applyAlignment="0" applyProtection="0"/>
    <xf numFmtId="0" fontId="132" fillId="0" borderId="0" applyNumberFormat="0" applyFill="0" applyBorder="0" applyAlignment="0" applyProtection="0">
      <alignment vertical="top"/>
      <protection locked="0"/>
    </xf>
    <xf numFmtId="0" fontId="133" fillId="0" borderId="0" applyNumberFormat="0" applyFill="0" applyBorder="0" applyAlignment="0" applyProtection="0">
      <alignment vertical="top"/>
      <protection locked="0"/>
    </xf>
    <xf numFmtId="0" fontId="132" fillId="0" borderId="0" applyNumberFormat="0" applyFill="0" applyBorder="0" applyAlignment="0" applyProtection="0">
      <alignment vertical="top"/>
      <protection locked="0"/>
    </xf>
    <xf numFmtId="0" fontId="90" fillId="0" borderId="0" applyNumberFormat="0" applyFill="0" applyBorder="0" applyAlignment="0" applyProtection="0"/>
    <xf numFmtId="0" fontId="134" fillId="0" borderId="0" applyNumberFormat="0" applyFill="0" applyBorder="0" applyAlignment="0" applyProtection="0"/>
    <xf numFmtId="0" fontId="135" fillId="13" borderId="0" applyNumberFormat="0" applyBorder="0" applyAlignment="0" applyProtection="0"/>
    <xf numFmtId="0" fontId="136" fillId="13" borderId="0" applyNumberFormat="0" applyBorder="0" applyAlignment="0" applyProtection="0"/>
    <xf numFmtId="0" fontId="136" fillId="13" borderId="0" applyNumberFormat="0" applyBorder="0" applyAlignment="0" applyProtection="0"/>
    <xf numFmtId="0" fontId="126" fillId="17" borderId="53" applyNumberFormat="0" applyAlignment="0" applyProtection="0"/>
    <xf numFmtId="202" fontId="137" fillId="54" borderId="60" applyNumberFormat="0">
      <alignment vertical="center"/>
    </xf>
    <xf numFmtId="0" fontId="126" fillId="17" borderId="53" applyNumberFormat="0" applyAlignment="0" applyProtection="0"/>
    <xf numFmtId="215" fontId="59" fillId="42" borderId="0" applyFont="0" applyBorder="0" applyAlignment="0" applyProtection="0">
      <protection locked="0"/>
    </xf>
    <xf numFmtId="216" fontId="59" fillId="42" borderId="0">
      <protection locked="0"/>
    </xf>
    <xf numFmtId="217" fontId="59" fillId="42" borderId="0" applyFont="0" applyBorder="0" applyAlignment="0">
      <protection locked="0"/>
    </xf>
    <xf numFmtId="10" fontId="59" fillId="42" borderId="0">
      <protection locked="0"/>
    </xf>
    <xf numFmtId="0" fontId="115" fillId="0" borderId="54" applyNumberFormat="0" applyFill="0" applyAlignment="0" applyProtection="0"/>
    <xf numFmtId="218" fontId="11" fillId="0" borderId="0" applyFont="0" applyFill="0" applyBorder="0" applyAlignment="0" applyProtection="0"/>
    <xf numFmtId="219" fontId="11"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220" fontId="11" fillId="0" borderId="0" applyFont="0" applyFill="0" applyBorder="0" applyAlignment="0" applyProtection="0"/>
    <xf numFmtId="221" fontId="11" fillId="0" borderId="0"/>
    <xf numFmtId="201" fontId="137" fillId="41" borderId="61" applyNumberFormat="0">
      <alignment vertical="center"/>
      <protection locked="0"/>
    </xf>
    <xf numFmtId="201" fontId="138" fillId="0" borderId="0" applyNumberFormat="0" applyBorder="0">
      <alignment horizontal="left" vertical="top"/>
    </xf>
    <xf numFmtId="0" fontId="139" fillId="55" borderId="0" applyNumberFormat="0" applyBorder="0" applyAlignment="0" applyProtection="0"/>
    <xf numFmtId="0" fontId="140" fillId="7" borderId="0" applyNumberFormat="0" applyBorder="0" applyAlignment="0" applyProtection="0"/>
    <xf numFmtId="0" fontId="139" fillId="52" borderId="0" applyNumberFormat="0" applyBorder="0" applyAlignment="0" applyProtection="0"/>
    <xf numFmtId="0" fontId="139" fillId="52" borderId="0" applyNumberFormat="0" applyBorder="0" applyAlignment="0" applyProtection="0"/>
    <xf numFmtId="222" fontId="141" fillId="0" borderId="0"/>
    <xf numFmtId="216" fontId="11" fillId="0" borderId="0" applyFont="0" applyFill="0" applyBorder="0" applyAlignment="0"/>
    <xf numFmtId="40" fontId="59" fillId="0" borderId="0" applyFont="0" applyFill="0" applyBorder="0" applyAlignment="0"/>
    <xf numFmtId="223" fontId="59" fillId="0" borderId="0" applyFont="0" applyFill="0" applyBorder="0" applyAlignment="0"/>
    <xf numFmtId="0" fontId="5" fillId="0" borderId="0"/>
    <xf numFmtId="175" fontId="11" fillId="0" borderId="0"/>
    <xf numFmtId="200" fontId="11" fillId="0" borderId="0"/>
    <xf numFmtId="0" fontId="5" fillId="0" borderId="0"/>
    <xf numFmtId="0" fontId="5" fillId="0" borderId="0"/>
    <xf numFmtId="0" fontId="11" fillId="0" borderId="0"/>
    <xf numFmtId="0" fontId="5" fillId="0" borderId="0"/>
    <xf numFmtId="200" fontId="11" fillId="0" borderId="0"/>
    <xf numFmtId="200" fontId="11" fillId="0" borderId="0"/>
    <xf numFmtId="200" fontId="11" fillId="0" borderId="0"/>
    <xf numFmtId="200" fontId="11" fillId="0" borderId="0"/>
    <xf numFmtId="200" fontId="11" fillId="0" borderId="0"/>
    <xf numFmtId="0" fontId="89" fillId="0" borderId="0"/>
    <xf numFmtId="1" fontId="142" fillId="0" borderId="0"/>
    <xf numFmtId="0" fontId="11" fillId="0" borderId="0"/>
    <xf numFmtId="0" fontId="11" fillId="0" borderId="0"/>
    <xf numFmtId="0" fontId="5" fillId="0" borderId="0"/>
    <xf numFmtId="0" fontId="5" fillId="0" borderId="0"/>
    <xf numFmtId="0" fontId="5" fillId="0" borderId="0"/>
    <xf numFmtId="0" fontId="5" fillId="0" borderId="0"/>
    <xf numFmtId="0" fontId="11" fillId="0" borderId="0"/>
    <xf numFmtId="0" fontId="5" fillId="0" borderId="0"/>
    <xf numFmtId="0" fontId="5" fillId="0" borderId="0"/>
    <xf numFmtId="0" fontId="5" fillId="0" borderId="0"/>
    <xf numFmtId="0" fontId="5" fillId="0" borderId="0"/>
    <xf numFmtId="0" fontId="5" fillId="0" borderId="0"/>
    <xf numFmtId="0" fontId="96" fillId="0" borderId="0"/>
    <xf numFmtId="0" fontId="11" fillId="0" borderId="0"/>
    <xf numFmtId="0" fontId="96" fillId="0" borderId="0"/>
    <xf numFmtId="0" fontId="11" fillId="0" borderId="0"/>
    <xf numFmtId="0" fontId="96" fillId="0" borderId="0"/>
    <xf numFmtId="0" fontId="11" fillId="0" borderId="0"/>
    <xf numFmtId="0" fontId="11" fillId="0" borderId="0"/>
    <xf numFmtId="0" fontId="96" fillId="0" borderId="0"/>
    <xf numFmtId="0" fontId="11" fillId="0" borderId="0"/>
    <xf numFmtId="0" fontId="96" fillId="0" borderId="0"/>
    <xf numFmtId="0" fontId="11" fillId="0" borderId="0"/>
    <xf numFmtId="0" fontId="96" fillId="0" borderId="0"/>
    <xf numFmtId="0" fontId="11" fillId="0" borderId="0"/>
    <xf numFmtId="0" fontId="96" fillId="0" borderId="0"/>
    <xf numFmtId="0" fontId="11" fillId="0" borderId="0"/>
    <xf numFmtId="0" fontId="96" fillId="0" borderId="0"/>
    <xf numFmtId="0" fontId="11" fillId="0" borderId="0"/>
    <xf numFmtId="0" fontId="96" fillId="0" borderId="0"/>
    <xf numFmtId="0" fontId="8" fillId="0" borderId="0"/>
    <xf numFmtId="0" fontId="8" fillId="0" borderId="0"/>
    <xf numFmtId="0" fontId="11" fillId="0" borderId="0"/>
    <xf numFmtId="0" fontId="8" fillId="0" borderId="0"/>
    <xf numFmtId="0" fontId="5" fillId="0" borderId="0"/>
    <xf numFmtId="222" fontId="143" fillId="0" borderId="0"/>
    <xf numFmtId="222" fontId="143" fillId="0" borderId="0"/>
    <xf numFmtId="222" fontId="143" fillId="0" borderId="0"/>
    <xf numFmtId="0" fontId="5" fillId="0" borderId="0"/>
    <xf numFmtId="0" fontId="5" fillId="0" borderId="0"/>
    <xf numFmtId="0" fontId="1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1" fillId="0" borderId="0"/>
    <xf numFmtId="0" fontId="11" fillId="0" borderId="0"/>
    <xf numFmtId="0" fontId="11" fillId="0" borderId="0"/>
    <xf numFmtId="0" fontId="8" fillId="0" borderId="0"/>
    <xf numFmtId="0" fontId="5" fillId="0" borderId="0"/>
    <xf numFmtId="0" fontId="96" fillId="0" borderId="0"/>
    <xf numFmtId="0" fontId="144" fillId="0" borderId="0"/>
    <xf numFmtId="0" fontId="96" fillId="0" borderId="0"/>
    <xf numFmtId="0" fontId="11" fillId="0" borderId="0"/>
    <xf numFmtId="0" fontId="96" fillId="0" borderId="0"/>
    <xf numFmtId="0" fontId="11" fillId="0" borderId="0"/>
    <xf numFmtId="0" fontId="96" fillId="0" borderId="0"/>
    <xf numFmtId="0" fontId="11" fillId="0" borderId="0"/>
    <xf numFmtId="0" fontId="96" fillId="0" borderId="0"/>
    <xf numFmtId="0" fontId="5" fillId="0" borderId="0"/>
    <xf numFmtId="0" fontId="5" fillId="0" borderId="0"/>
    <xf numFmtId="0" fontId="5" fillId="0" borderId="0"/>
    <xf numFmtId="0" fontId="11" fillId="0" borderId="0"/>
    <xf numFmtId="202" fontId="143" fillId="0" borderId="0"/>
    <xf numFmtId="0" fontId="11" fillId="0" borderId="0"/>
    <xf numFmtId="0" fontId="11" fillId="0" borderId="0"/>
    <xf numFmtId="0" fontId="11" fillId="0" borderId="0"/>
    <xf numFmtId="0" fontId="11" fillId="0" borderId="0"/>
    <xf numFmtId="0" fontId="11" fillId="0" borderId="0"/>
    <xf numFmtId="0" fontId="11" fillId="0" borderId="0"/>
    <xf numFmtId="0" fontId="8" fillId="0" borderId="0"/>
    <xf numFmtId="166" fontId="143" fillId="0" borderId="0"/>
    <xf numFmtId="166" fontId="143" fillId="0" borderId="0"/>
    <xf numFmtId="166" fontId="143" fillId="0" borderId="0"/>
    <xf numFmtId="166" fontId="143" fillId="0" borderId="0"/>
    <xf numFmtId="166" fontId="143" fillId="0" borderId="0"/>
    <xf numFmtId="0" fontId="5" fillId="0" borderId="0"/>
    <xf numFmtId="0" fontId="5" fillId="0" borderId="0"/>
    <xf numFmtId="0" fontId="5" fillId="0" borderId="0"/>
    <xf numFmtId="0" fontId="5" fillId="0" borderId="0"/>
    <xf numFmtId="0" fontId="5" fillId="0" borderId="0"/>
    <xf numFmtId="0" fontId="96" fillId="0" borderId="0"/>
    <xf numFmtId="0" fontId="5" fillId="0" borderId="0"/>
    <xf numFmtId="0" fontId="5" fillId="0" borderId="0"/>
    <xf numFmtId="0" fontId="9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6" fillId="0" borderId="0"/>
    <xf numFmtId="0" fontId="5" fillId="0" borderId="0"/>
    <xf numFmtId="0" fontId="5" fillId="0" borderId="0"/>
    <xf numFmtId="0" fontId="5" fillId="0" borderId="0"/>
    <xf numFmtId="0" fontId="5" fillId="0" borderId="0"/>
    <xf numFmtId="0" fontId="5" fillId="0" borderId="0"/>
    <xf numFmtId="0" fontId="5" fillId="0" borderId="0"/>
    <xf numFmtId="0" fontId="8" fillId="0" borderId="0"/>
    <xf numFmtId="0" fontId="8" fillId="0" borderId="0"/>
    <xf numFmtId="0" fontId="11" fillId="0" borderId="0"/>
    <xf numFmtId="166" fontId="143" fillId="0" borderId="0"/>
    <xf numFmtId="166" fontId="143" fillId="0" borderId="0"/>
    <xf numFmtId="166" fontId="143" fillId="0" borderId="0"/>
    <xf numFmtId="0" fontId="28"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8" fillId="0" borderId="0"/>
    <xf numFmtId="0" fontId="11" fillId="0" borderId="0"/>
    <xf numFmtId="0" fontId="5"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8" fillId="0" borderId="0"/>
    <xf numFmtId="0" fontId="11" fillId="0" borderId="0"/>
    <xf numFmtId="0" fontId="11" fillId="0" borderId="0"/>
    <xf numFmtId="200" fontId="11" fillId="0" borderId="0"/>
    <xf numFmtId="200" fontId="11" fillId="0" borderId="0"/>
    <xf numFmtId="200" fontId="11" fillId="0" borderId="0"/>
    <xf numFmtId="200" fontId="11" fillId="0" borderId="0"/>
    <xf numFmtId="200" fontId="11" fillId="0" borderId="0"/>
    <xf numFmtId="200" fontId="11" fillId="0" borderId="0"/>
    <xf numFmtId="200" fontId="11" fillId="0" borderId="0"/>
    <xf numFmtId="200" fontId="11" fillId="0" borderId="0"/>
    <xf numFmtId="200" fontId="11" fillId="0" borderId="0"/>
    <xf numFmtId="200" fontId="11" fillId="0" borderId="0"/>
    <xf numFmtId="200" fontId="11" fillId="0" borderId="0"/>
    <xf numFmtId="0" fontId="8" fillId="0" borderId="0"/>
    <xf numFmtId="0" fontId="8" fillId="0" borderId="0"/>
    <xf numFmtId="0" fontId="5" fillId="0" borderId="0"/>
    <xf numFmtId="0" fontId="11" fillId="0" borderId="0"/>
    <xf numFmtId="0" fontId="5"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5" fillId="0" borderId="0"/>
    <xf numFmtId="0" fontId="11" fillId="0" borderId="0"/>
    <xf numFmtId="0" fontId="144" fillId="0" borderId="0"/>
    <xf numFmtId="0" fontId="5" fillId="0" borderId="0"/>
    <xf numFmtId="0" fontId="145" fillId="0" borderId="0"/>
    <xf numFmtId="0" fontId="5" fillId="0" borderId="0"/>
    <xf numFmtId="0" fontId="11" fillId="0" borderId="0"/>
    <xf numFmtId="200" fontId="11" fillId="0" borderId="0"/>
    <xf numFmtId="200" fontId="11" fillId="0" borderId="0"/>
    <xf numFmtId="0" fontId="5" fillId="0" borderId="0"/>
    <xf numFmtId="0" fontId="5" fillId="0" borderId="0"/>
    <xf numFmtId="0" fontId="5" fillId="0" borderId="0"/>
    <xf numFmtId="0" fontId="96" fillId="0" borderId="0"/>
    <xf numFmtId="0" fontId="5" fillId="0" borderId="0"/>
    <xf numFmtId="0" fontId="5" fillId="0" borderId="0"/>
    <xf numFmtId="0" fontId="96" fillId="0" borderId="0"/>
    <xf numFmtId="0" fontId="5" fillId="0" borderId="0"/>
    <xf numFmtId="0" fontId="11" fillId="0" borderId="0"/>
    <xf numFmtId="0" fontId="96" fillId="0" borderId="0"/>
    <xf numFmtId="0" fontId="5" fillId="0" borderId="0"/>
    <xf numFmtId="0" fontId="5" fillId="0" borderId="0"/>
    <xf numFmtId="0" fontId="96" fillId="0" borderId="0"/>
    <xf numFmtId="0" fontId="11" fillId="0" borderId="0"/>
    <xf numFmtId="0" fontId="11" fillId="0" borderId="0"/>
    <xf numFmtId="0" fontId="11" fillId="0" borderId="0"/>
    <xf numFmtId="0" fontId="8" fillId="0" borderId="0"/>
    <xf numFmtId="0" fontId="5" fillId="0" borderId="0"/>
    <xf numFmtId="0" fontId="5" fillId="0" borderId="0"/>
    <xf numFmtId="0" fontId="8" fillId="0" borderId="0"/>
    <xf numFmtId="0" fontId="89" fillId="0" borderId="0"/>
    <xf numFmtId="0" fontId="5" fillId="0" borderId="0"/>
    <xf numFmtId="0" fontId="5" fillId="0" borderId="0"/>
    <xf numFmtId="0" fontId="5" fillId="0" borderId="0"/>
    <xf numFmtId="0" fontId="5" fillId="0" borderId="0"/>
    <xf numFmtId="0" fontId="5" fillId="0" borderId="0"/>
    <xf numFmtId="0" fontId="5" fillId="0" borderId="0"/>
    <xf numFmtId="0" fontId="11" fillId="0" borderId="0"/>
    <xf numFmtId="0" fontId="8" fillId="0" borderId="0"/>
    <xf numFmtId="0" fontId="8" fillId="0" borderId="0"/>
    <xf numFmtId="0" fontId="144" fillId="0" borderId="0"/>
    <xf numFmtId="216" fontId="122" fillId="0" borderId="0" applyNumberFormat="0" applyFill="0" applyBorder="0" applyAlignment="0" applyProtection="0"/>
    <xf numFmtId="165" fontId="146" fillId="0" borderId="0"/>
    <xf numFmtId="200" fontId="5" fillId="10" borderId="43" applyNumberFormat="0" applyFont="0" applyAlignment="0" applyProtection="0"/>
    <xf numFmtId="200" fontId="5" fillId="10" borderId="43" applyNumberFormat="0" applyFont="0" applyAlignment="0" applyProtection="0"/>
    <xf numFmtId="200" fontId="11" fillId="56" borderId="62" applyNumberFormat="0" applyFont="0" applyAlignment="0" applyProtection="0"/>
    <xf numFmtId="0" fontId="11" fillId="56" borderId="62" applyNumberFormat="0" applyFont="0" applyAlignment="0" applyProtection="0"/>
    <xf numFmtId="200" fontId="11" fillId="56" borderId="62" applyNumberFormat="0" applyFont="0" applyAlignment="0" applyProtection="0"/>
    <xf numFmtId="200" fontId="11" fillId="56" borderId="62" applyNumberFormat="0" applyFont="0" applyAlignment="0" applyProtection="0"/>
    <xf numFmtId="200" fontId="11" fillId="56" borderId="62" applyNumberFormat="0" applyFont="0" applyAlignment="0" applyProtection="0"/>
    <xf numFmtId="200" fontId="11" fillId="56" borderId="62" applyNumberFormat="0" applyFont="0" applyAlignment="0" applyProtection="0"/>
    <xf numFmtId="200" fontId="11" fillId="56" borderId="62" applyNumberFormat="0" applyFont="0" applyAlignment="0" applyProtection="0"/>
    <xf numFmtId="200" fontId="11" fillId="56" borderId="62" applyNumberFormat="0" applyFont="0" applyAlignment="0" applyProtection="0"/>
    <xf numFmtId="200" fontId="11" fillId="56" borderId="62" applyNumberFormat="0" applyFont="0" applyAlignment="0" applyProtection="0"/>
    <xf numFmtId="200" fontId="11" fillId="56" borderId="62" applyNumberFormat="0" applyFont="0" applyAlignment="0" applyProtection="0"/>
    <xf numFmtId="200" fontId="11" fillId="56" borderId="62" applyNumberFormat="0" applyFont="0" applyAlignment="0" applyProtection="0"/>
    <xf numFmtId="200" fontId="11" fillId="56" borderId="62" applyNumberFormat="0" applyFont="0" applyAlignment="0" applyProtection="0"/>
    <xf numFmtId="0" fontId="97" fillId="56" borderId="62" applyNumberFormat="0" applyFont="0" applyAlignment="0" applyProtection="0"/>
    <xf numFmtId="0" fontId="97" fillId="56" borderId="62" applyNumberFormat="0" applyFont="0" applyAlignment="0" applyProtection="0"/>
    <xf numFmtId="200" fontId="5" fillId="10" borderId="43" applyNumberFormat="0" applyFont="0" applyAlignment="0" applyProtection="0"/>
    <xf numFmtId="200" fontId="5" fillId="10" borderId="43" applyNumberFormat="0" applyFont="0" applyAlignment="0" applyProtection="0"/>
    <xf numFmtId="200" fontId="5" fillId="10" borderId="43" applyNumberFormat="0" applyFont="0" applyAlignment="0" applyProtection="0"/>
    <xf numFmtId="200" fontId="5" fillId="10" borderId="43" applyNumberFormat="0" applyFont="0" applyAlignment="0" applyProtection="0"/>
    <xf numFmtId="200" fontId="5" fillId="10" borderId="43" applyNumberFormat="0" applyFont="0" applyAlignment="0" applyProtection="0"/>
    <xf numFmtId="0" fontId="11" fillId="56" borderId="62" applyNumberFormat="0" applyFont="0" applyAlignment="0" applyProtection="0"/>
    <xf numFmtId="0" fontId="11" fillId="56" borderId="62" applyNumberFormat="0" applyFont="0" applyAlignment="0" applyProtection="0"/>
    <xf numFmtId="3" fontId="11" fillId="0" borderId="0" applyFont="0" applyFill="0" applyBorder="0" applyAlignment="0" applyProtection="0">
      <alignment horizontal="right"/>
    </xf>
    <xf numFmtId="0" fontId="147" fillId="0" borderId="63" applyNumberFormat="0" applyFill="0" applyBorder="0" applyProtection="0">
      <alignment vertical="top" wrapText="1"/>
    </xf>
    <xf numFmtId="0" fontId="148" fillId="45" borderId="58" applyNumberFormat="0" applyAlignment="0" applyProtection="0"/>
    <xf numFmtId="0" fontId="148" fillId="45" borderId="58" applyNumberFormat="0" applyAlignment="0" applyProtection="0"/>
    <xf numFmtId="224" fontId="59" fillId="0" borderId="64" applyNumberFormat="0" applyFill="0" applyBorder="0" applyAlignment="0" applyProtection="0"/>
    <xf numFmtId="9" fontId="11" fillId="0" borderId="0" applyFont="0" applyFill="0" applyBorder="0" applyAlignment="0" applyProtection="0"/>
    <xf numFmtId="225" fontId="11" fillId="0" borderId="0" applyFont="0" applyFill="0" applyBorder="0" applyAlignment="0"/>
    <xf numFmtId="9" fontId="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96" fillId="0" borderId="0" applyFont="0" applyFill="0" applyBorder="0" applyAlignment="0" applyProtection="0"/>
    <xf numFmtId="9" fontId="9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6"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96" fillId="0" borderId="0" applyFont="0" applyFill="0" applyBorder="0" applyAlignment="0" applyProtection="0"/>
    <xf numFmtId="9" fontId="96" fillId="0" borderId="0" applyFont="0" applyFill="0" applyBorder="0" applyAlignment="0" applyProtection="0"/>
    <xf numFmtId="9" fontId="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49" fillId="0" borderId="0" applyFont="0" applyFill="0" applyBorder="0" applyAlignment="0" applyProtection="0"/>
    <xf numFmtId="9" fontId="12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1"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5" fillId="0" borderId="0" applyFont="0" applyFill="0" applyBorder="0" applyAlignment="0" applyProtection="0"/>
    <xf numFmtId="9" fontId="14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226" fontId="59" fillId="0" borderId="0" applyFont="0" applyFill="0" applyBorder="0" applyAlignment="0" applyProtection="0"/>
    <xf numFmtId="201" fontId="118" fillId="0" borderId="0" applyFont="0" applyFill="0" applyBorder="0" applyAlignment="0" applyProtection="0">
      <alignment horizontal="right"/>
    </xf>
    <xf numFmtId="216" fontId="138" fillId="0" borderId="0" applyNumberFormat="0" applyFill="0" applyBorder="0" applyAlignment="0" applyProtection="0">
      <alignment horizontal="left"/>
    </xf>
    <xf numFmtId="0" fontId="122" fillId="57" borderId="65" applyNumberFormat="0" applyFont="0" applyBorder="0" applyAlignment="0">
      <alignment vertical="top" wrapText="1"/>
    </xf>
    <xf numFmtId="0" fontId="150" fillId="46" borderId="58" applyNumberFormat="0" applyAlignment="0" applyProtection="0"/>
    <xf numFmtId="0" fontId="148" fillId="46" borderId="58" applyNumberFormat="0" applyAlignment="0" applyProtection="0"/>
    <xf numFmtId="0" fontId="148" fillId="46" borderId="58" applyNumberFormat="0" applyAlignment="0" applyProtection="0"/>
    <xf numFmtId="0" fontId="151" fillId="0" borderId="0" applyNumberFormat="0" applyFill="0" applyBorder="0" applyAlignment="0" applyProtection="0"/>
    <xf numFmtId="201" fontId="11" fillId="44" borderId="0">
      <alignment horizontal="center" vertical="center"/>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200" fontId="95" fillId="0" borderId="0" applyNumberFormat="0" applyFill="0" applyBorder="0" applyAlignment="0" applyProtection="0"/>
    <xf numFmtId="200" fontId="95" fillId="0" borderId="0" applyNumberFormat="0" applyFill="0" applyBorder="0" applyAlignment="0" applyProtection="0"/>
    <xf numFmtId="0" fontId="152" fillId="0" borderId="0" applyNumberFormat="0" applyFill="0" applyBorder="0" applyAlignment="0" applyProtection="0"/>
    <xf numFmtId="200" fontId="152" fillId="0" borderId="0" applyNumberFormat="0" applyFill="0" applyBorder="0" applyAlignment="0" applyProtection="0"/>
    <xf numFmtId="200" fontId="152" fillId="0" borderId="0" applyNumberFormat="0" applyFill="0" applyBorder="0" applyAlignment="0" applyProtection="0"/>
    <xf numFmtId="200" fontId="152" fillId="0" borderId="0" applyNumberFormat="0" applyFill="0" applyBorder="0" applyAlignment="0" applyProtection="0"/>
    <xf numFmtId="200" fontId="152" fillId="0" borderId="0" applyNumberFormat="0" applyFill="0" applyBorder="0" applyAlignment="0" applyProtection="0"/>
    <xf numFmtId="200" fontId="152" fillId="0" borderId="0" applyNumberFormat="0" applyFill="0" applyBorder="0" applyAlignment="0" applyProtection="0"/>
    <xf numFmtId="200" fontId="152" fillId="0" borderId="0" applyNumberFormat="0" applyFill="0" applyBorder="0" applyAlignment="0" applyProtection="0"/>
    <xf numFmtId="200" fontId="152" fillId="0" borderId="0" applyNumberFormat="0" applyFill="0" applyBorder="0" applyAlignment="0" applyProtection="0"/>
    <xf numFmtId="200" fontId="152" fillId="0" borderId="0" applyNumberFormat="0" applyFill="0" applyBorder="0" applyAlignment="0" applyProtection="0"/>
    <xf numFmtId="200" fontId="152" fillId="0" borderId="0" applyNumberFormat="0" applyFill="0" applyBorder="0" applyAlignment="0" applyProtection="0"/>
    <xf numFmtId="200" fontId="152"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200" fontId="95" fillId="0" borderId="0" applyNumberFormat="0" applyFill="0" applyBorder="0" applyAlignment="0" applyProtection="0"/>
    <xf numFmtId="200" fontId="95" fillId="0" borderId="0" applyNumberFormat="0" applyFill="0" applyBorder="0" applyAlignment="0" applyProtection="0"/>
    <xf numFmtId="200" fontId="95" fillId="0" borderId="0" applyNumberFormat="0" applyFill="0" applyBorder="0" applyAlignment="0" applyProtection="0"/>
    <xf numFmtId="200" fontId="95" fillId="0" borderId="0" applyNumberFormat="0" applyFill="0" applyBorder="0" applyAlignment="0" applyProtection="0"/>
    <xf numFmtId="200" fontId="95" fillId="0" borderId="0" applyNumberFormat="0" applyFill="0" applyBorder="0" applyAlignment="0" applyProtection="0"/>
    <xf numFmtId="0" fontId="129" fillId="0" borderId="0" applyNumberFormat="0" applyFill="0" applyBorder="0" applyAlignment="0" applyProtection="0"/>
    <xf numFmtId="0" fontId="154" fillId="0" borderId="0" applyNumberFormat="0" applyFill="0" applyBorder="0" applyAlignment="0" applyProtection="0"/>
    <xf numFmtId="0" fontId="154" fillId="0" borderId="0" applyNumberFormat="0" applyFill="0" applyBorder="0" applyAlignment="0" applyProtection="0"/>
    <xf numFmtId="0" fontId="155" fillId="0" borderId="0" applyNumberFormat="0" applyFill="0" applyBorder="0" applyAlignment="0" applyProtection="0"/>
    <xf numFmtId="202" fontId="156" fillId="58" borderId="0" applyNumberFormat="0">
      <alignment vertical="center"/>
    </xf>
    <xf numFmtId="202" fontId="157" fillId="0" borderId="0" applyNumberFormat="0">
      <alignment vertical="center"/>
    </xf>
    <xf numFmtId="202" fontId="158" fillId="0" borderId="0" applyNumberFormat="0">
      <alignment vertical="center"/>
    </xf>
    <xf numFmtId="201" fontId="159" fillId="0" borderId="0">
      <alignment vertical="center"/>
    </xf>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0" fillId="0" borderId="66" applyNumberFormat="0" applyFill="0" applyAlignment="0" applyProtection="0"/>
    <xf numFmtId="0" fontId="150" fillId="0" borderId="66" applyNumberFormat="0" applyFill="0" applyAlignment="0" applyProtection="0"/>
    <xf numFmtId="0" fontId="150" fillId="0" borderId="66" applyNumberFormat="0" applyFill="0" applyAlignment="0" applyProtection="0"/>
    <xf numFmtId="0" fontId="150" fillId="0" borderId="66" applyNumberFormat="0" applyFill="0" applyAlignment="0" applyProtection="0"/>
    <xf numFmtId="0" fontId="150" fillId="0" borderId="66" applyNumberFormat="0" applyFill="0" applyAlignment="0" applyProtection="0"/>
    <xf numFmtId="0" fontId="150" fillId="0" borderId="66" applyNumberFormat="0" applyFill="0" applyAlignment="0" applyProtection="0"/>
    <xf numFmtId="0" fontId="150" fillId="0" borderId="66" applyNumberFormat="0" applyFill="0" applyAlignment="0" applyProtection="0"/>
    <xf numFmtId="0" fontId="150" fillId="0" borderId="66" applyNumberFormat="0" applyFill="0" applyAlignment="0" applyProtection="0"/>
    <xf numFmtId="0" fontId="150" fillId="0" borderId="66" applyNumberFormat="0" applyFill="0" applyAlignment="0" applyProtection="0"/>
    <xf numFmtId="0" fontId="160" fillId="0" borderId="67" applyNumberFormat="0" applyFill="0" applyAlignment="0" applyProtection="0"/>
    <xf numFmtId="200" fontId="150" fillId="0" borderId="66" applyNumberFormat="0" applyFill="0" applyAlignment="0" applyProtection="0"/>
    <xf numFmtId="200" fontId="150" fillId="0" borderId="66" applyNumberFormat="0" applyFill="0" applyAlignment="0" applyProtection="0"/>
    <xf numFmtId="0" fontId="150" fillId="0" borderId="66" applyNumberFormat="0" applyFill="0" applyAlignment="0" applyProtection="0"/>
    <xf numFmtId="0" fontId="160" fillId="0" borderId="66" applyNumberFormat="0" applyFill="0" applyAlignment="0" applyProtection="0"/>
    <xf numFmtId="0" fontId="160" fillId="0" borderId="66" applyNumberFormat="0" applyFill="0" applyAlignment="0" applyProtection="0"/>
    <xf numFmtId="0" fontId="150" fillId="0" borderId="66" applyNumberFormat="0" applyFill="0" applyAlignment="0" applyProtection="0"/>
    <xf numFmtId="200" fontId="150" fillId="0" borderId="66" applyNumberFormat="0" applyFill="0" applyAlignment="0" applyProtection="0"/>
    <xf numFmtId="200" fontId="150" fillId="0" borderId="66" applyNumberFormat="0" applyFill="0" applyAlignment="0" applyProtection="0"/>
    <xf numFmtId="200" fontId="150" fillId="0" borderId="66" applyNumberFormat="0" applyFill="0" applyAlignment="0" applyProtection="0"/>
    <xf numFmtId="200" fontId="150" fillId="0" borderId="66" applyNumberFormat="0" applyFill="0" applyAlignment="0" applyProtection="0"/>
    <xf numFmtId="200" fontId="150" fillId="0" borderId="66" applyNumberFormat="0" applyFill="0" applyAlignment="0" applyProtection="0"/>
    <xf numFmtId="200" fontId="150" fillId="0" borderId="66" applyNumberFormat="0" applyFill="0" applyAlignment="0" applyProtection="0"/>
    <xf numFmtId="0" fontId="124" fillId="0" borderId="67" applyNumberFormat="0" applyFill="0" applyAlignment="0" applyProtection="0"/>
    <xf numFmtId="0" fontId="124" fillId="0" borderId="67" applyNumberFormat="0" applyFill="0" applyAlignment="0" applyProtection="0"/>
    <xf numFmtId="0" fontId="150" fillId="0" borderId="66" applyNumberFormat="0" applyFill="0" applyAlignment="0" applyProtection="0"/>
    <xf numFmtId="0" fontId="150" fillId="0" borderId="66" applyNumberFormat="0" applyFill="0" applyAlignment="0" applyProtection="0"/>
    <xf numFmtId="0" fontId="150" fillId="0" borderId="66" applyNumberFormat="0" applyFill="0" applyAlignment="0" applyProtection="0"/>
    <xf numFmtId="0" fontId="150" fillId="0" borderId="66" applyNumberFormat="0" applyFill="0" applyAlignment="0" applyProtection="0"/>
    <xf numFmtId="0" fontId="150" fillId="0" borderId="66" applyNumberFormat="0" applyFill="0" applyAlignment="0" applyProtection="0"/>
    <xf numFmtId="0" fontId="161" fillId="59" borderId="55" applyNumberFormat="0" applyAlignment="0" applyProtection="0"/>
    <xf numFmtId="0" fontId="117" fillId="59" borderId="55" applyNumberFormat="0" applyAlignment="0" applyProtection="0"/>
    <xf numFmtId="0" fontId="117" fillId="59" borderId="55" applyNumberFormat="0" applyAlignment="0" applyProtection="0"/>
    <xf numFmtId="43" fontId="96" fillId="0" borderId="0" applyFont="0" applyFill="0" applyBorder="0" applyAlignment="0" applyProtection="0"/>
    <xf numFmtId="43" fontId="96" fillId="0" borderId="0" applyFont="0" applyFill="0" applyBorder="0" applyAlignment="0" applyProtection="0"/>
    <xf numFmtId="43" fontId="5" fillId="0" borderId="0" applyFont="0" applyFill="0" applyBorder="0" applyAlignment="0" applyProtection="0"/>
    <xf numFmtId="43"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64" fontId="162" fillId="0" borderId="0" applyFont="0" applyFill="0" applyBorder="0" applyAlignment="0" applyProtection="0"/>
    <xf numFmtId="227" fontId="8"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44" fillId="0" borderId="0" applyFont="0" applyFill="0" applyBorder="0" applyAlignment="0" applyProtection="0"/>
    <xf numFmtId="0" fontId="11" fillId="0" borderId="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0" fontId="152" fillId="0" borderId="0" applyNumberFormat="0" applyFill="0" applyBorder="0" applyAlignment="0" applyProtection="0"/>
    <xf numFmtId="0" fontId="11" fillId="0" borderId="0"/>
    <xf numFmtId="0" fontId="11" fillId="0" borderId="0"/>
    <xf numFmtId="0" fontId="96" fillId="14" borderId="0" applyNumberFormat="0" applyBorder="0" applyAlignment="0" applyProtection="0"/>
    <xf numFmtId="0" fontId="89" fillId="11" borderId="0" applyNumberFormat="0" applyBorder="0" applyAlignment="0" applyProtection="0"/>
    <xf numFmtId="0" fontId="96" fillId="14" borderId="0" applyNumberFormat="0" applyBorder="0" applyAlignment="0" applyProtection="0"/>
    <xf numFmtId="0" fontId="89" fillId="11" borderId="0" applyNumberFormat="0" applyBorder="0" applyAlignment="0" applyProtection="0"/>
    <xf numFmtId="0" fontId="167" fillId="0" borderId="68" applyNumberFormat="0" applyBorder="0" applyProtection="0">
      <alignment horizontal="center"/>
    </xf>
    <xf numFmtId="0" fontId="167" fillId="0" borderId="68" applyNumberFormat="0" applyBorder="0" applyProtection="0">
      <alignment horizontal="center"/>
    </xf>
    <xf numFmtId="0" fontId="167" fillId="0" borderId="68" applyNumberFormat="0" applyBorder="0" applyProtection="0">
      <alignment horizontal="center"/>
    </xf>
    <xf numFmtId="0" fontId="167" fillId="0" borderId="68" applyNumberFormat="0" applyBorder="0" applyProtection="0">
      <alignment horizontal="center"/>
    </xf>
    <xf numFmtId="0" fontId="112" fillId="45" borderId="53" applyNumberFormat="0" applyAlignment="0" applyProtection="0"/>
    <xf numFmtId="0" fontId="112" fillId="45" borderId="53" applyNumberFormat="0" applyAlignment="0" applyProtection="0"/>
    <xf numFmtId="0" fontId="168" fillId="46" borderId="53" applyNumberFormat="0" applyAlignment="0" applyProtection="0"/>
    <xf numFmtId="0" fontId="168" fillId="46" borderId="53" applyNumberFormat="0" applyAlignment="0" applyProtection="0"/>
    <xf numFmtId="0" fontId="168" fillId="46" borderId="53" applyNumberFormat="0" applyAlignment="0" applyProtection="0"/>
    <xf numFmtId="0" fontId="168" fillId="46" borderId="53" applyNumberFormat="0" applyAlignment="0" applyProtection="0"/>
    <xf numFmtId="0" fontId="120" fillId="14" borderId="0" applyNumberFormat="0" applyBorder="0" applyAlignment="0" applyProtection="0"/>
    <xf numFmtId="228" fontId="169" fillId="0" borderId="0">
      <protection locked="0"/>
    </xf>
    <xf numFmtId="0" fontId="126" fillId="17" borderId="53" applyNumberFormat="0" applyAlignment="0" applyProtection="0"/>
    <xf numFmtId="0" fontId="126" fillId="17" borderId="53" applyNumberFormat="0" applyAlignment="0" applyProtection="0"/>
    <xf numFmtId="0" fontId="126" fillId="17" borderId="53" applyNumberFormat="0" applyAlignment="0" applyProtection="0"/>
    <xf numFmtId="0" fontId="126" fillId="17" borderId="53" applyNumberFormat="0" applyAlignment="0" applyProtection="0"/>
    <xf numFmtId="0" fontId="97" fillId="0" borderId="0">
      <alignment vertical="top"/>
    </xf>
    <xf numFmtId="44" fontId="8" fillId="0" borderId="0" applyFont="0" applyFill="0" applyBorder="0" applyAlignment="0" applyProtection="0"/>
    <xf numFmtId="228" fontId="169" fillId="0" borderId="0">
      <protection locked="0"/>
    </xf>
    <xf numFmtId="0" fontId="121" fillId="34" borderId="0" applyNumberFormat="0" applyBorder="0" applyAlignment="0" applyProtection="0"/>
    <xf numFmtId="0" fontId="170" fillId="0" borderId="69" applyNumberFormat="0" applyFill="0" applyAlignment="0" applyProtection="0"/>
    <xf numFmtId="0" fontId="171" fillId="0" borderId="47" applyNumberFormat="0" applyFill="0" applyAlignment="0" applyProtection="0"/>
    <xf numFmtId="0" fontId="172" fillId="0" borderId="70" applyNumberFormat="0" applyFill="0" applyAlignment="0" applyProtection="0"/>
    <xf numFmtId="0" fontId="172" fillId="0" borderId="0" applyNumberFormat="0" applyFill="0" applyBorder="0" applyAlignment="0" applyProtection="0"/>
    <xf numFmtId="228" fontId="173" fillId="0" borderId="0">
      <protection locked="0"/>
    </xf>
    <xf numFmtId="228" fontId="173" fillId="0" borderId="0">
      <protection locked="0"/>
    </xf>
    <xf numFmtId="0" fontId="132" fillId="0" borderId="0" applyNumberFormat="0" applyFill="0" applyBorder="0" applyAlignment="0" applyProtection="0">
      <alignment vertical="top"/>
      <protection locked="0"/>
    </xf>
    <xf numFmtId="0" fontId="132" fillId="0" borderId="0" applyNumberFormat="0" applyFill="0" applyBorder="0" applyAlignment="0" applyProtection="0">
      <alignment vertical="top"/>
      <protection locked="0"/>
    </xf>
    <xf numFmtId="0" fontId="132" fillId="0" borderId="0" applyNumberFormat="0" applyFill="0" applyBorder="0" applyAlignment="0" applyProtection="0">
      <alignment vertical="top"/>
      <protection locked="0"/>
    </xf>
    <xf numFmtId="0" fontId="132" fillId="0" borderId="0" applyNumberFormat="0" applyFill="0" applyBorder="0" applyAlignment="0" applyProtection="0">
      <alignment vertical="top"/>
      <protection locked="0"/>
    </xf>
    <xf numFmtId="0" fontId="132" fillId="0" borderId="0" applyNumberFormat="0" applyFill="0" applyBorder="0" applyAlignment="0" applyProtection="0">
      <alignment vertical="top"/>
      <protection locked="0"/>
    </xf>
    <xf numFmtId="0" fontId="132" fillId="0" borderId="0" applyNumberFormat="0" applyFill="0" applyBorder="0" applyAlignment="0" applyProtection="0">
      <alignment vertical="top"/>
      <protection locked="0"/>
    </xf>
    <xf numFmtId="0" fontId="127" fillId="38" borderId="53" applyNumberFormat="0" applyAlignment="0" applyProtection="0"/>
    <xf numFmtId="0" fontId="127" fillId="38" borderId="53" applyNumberFormat="0" applyAlignment="0" applyProtection="0"/>
    <xf numFmtId="0" fontId="127" fillId="38" borderId="53" applyNumberFormat="0" applyAlignment="0" applyProtection="0"/>
    <xf numFmtId="0" fontId="127" fillId="38" borderId="53" applyNumberFormat="0" applyAlignment="0" applyProtection="0"/>
    <xf numFmtId="224" fontId="174" fillId="0" borderId="20" applyNumberFormat="0" applyFont="0" applyFill="0" applyAlignment="0" applyProtection="0"/>
    <xf numFmtId="0" fontId="175" fillId="0" borderId="54" applyNumberFormat="0" applyFill="0" applyAlignment="0" applyProtection="0"/>
    <xf numFmtId="0" fontId="176" fillId="52" borderId="0" applyNumberFormat="0" applyBorder="0" applyAlignment="0" applyProtection="0"/>
    <xf numFmtId="0" fontId="144" fillId="0" borderId="0"/>
    <xf numFmtId="0" fontId="8" fillId="0" borderId="0"/>
    <xf numFmtId="0" fontId="8" fillId="0" borderId="0"/>
    <xf numFmtId="0" fontId="8" fillId="0" borderId="0"/>
    <xf numFmtId="0" fontId="8" fillId="0" borderId="0"/>
    <xf numFmtId="0" fontId="8" fillId="0" borderId="0"/>
    <xf numFmtId="0" fontId="8" fillId="0" borderId="0"/>
    <xf numFmtId="0" fontId="11" fillId="0" borderId="0"/>
    <xf numFmtId="0" fontId="11" fillId="0" borderId="0"/>
    <xf numFmtId="0" fontId="11" fillId="0" borderId="0"/>
    <xf numFmtId="0" fontId="11" fillId="0" borderId="0"/>
    <xf numFmtId="0" fontId="11" fillId="0" borderId="0"/>
    <xf numFmtId="0" fontId="11" fillId="0" borderId="0"/>
    <xf numFmtId="0" fontId="28" fillId="0" borderId="0"/>
    <xf numFmtId="0" fontId="11" fillId="0" borderId="0"/>
    <xf numFmtId="0" fontId="11" fillId="0" borderId="0"/>
    <xf numFmtId="0" fontId="11" fillId="0" borderId="0"/>
    <xf numFmtId="0" fontId="11" fillId="0" borderId="0"/>
    <xf numFmtId="0" fontId="11" fillId="0" borderId="0"/>
    <xf numFmtId="0" fontId="11" fillId="0" borderId="0"/>
    <xf numFmtId="0" fontId="28" fillId="0" borderId="0"/>
    <xf numFmtId="0" fontId="28" fillId="0" borderId="0"/>
    <xf numFmtId="0" fontId="28" fillId="0" borderId="0"/>
    <xf numFmtId="0" fontId="28" fillId="0" borderId="0"/>
    <xf numFmtId="0" fontId="28" fillId="0" borderId="0"/>
    <xf numFmtId="0" fontId="5" fillId="0" borderId="0"/>
    <xf numFmtId="0" fontId="11" fillId="0" borderId="0"/>
    <xf numFmtId="0" fontId="11" fillId="0" borderId="0"/>
    <xf numFmtId="0" fontId="5" fillId="0" borderId="0"/>
    <xf numFmtId="0" fontId="5" fillId="0" borderId="0"/>
    <xf numFmtId="0" fontId="5" fillId="0" borderId="0"/>
    <xf numFmtId="0" fontId="8" fillId="0" borderId="0"/>
    <xf numFmtId="43" fontId="11" fillId="0" borderId="0" applyFont="0" applyFill="0" applyBorder="0" applyAlignment="0" applyProtection="0"/>
    <xf numFmtId="0" fontId="11" fillId="0" borderId="0"/>
    <xf numFmtId="0" fontId="11" fillId="0" borderId="0"/>
    <xf numFmtId="0" fontId="11" fillId="0" borderId="0"/>
    <xf numFmtId="0" fontId="5" fillId="0" borderId="0"/>
    <xf numFmtId="0" fontId="11" fillId="0" borderId="0"/>
    <xf numFmtId="0" fontId="11" fillId="0" borderId="0"/>
    <xf numFmtId="0" fontId="144" fillId="0" borderId="0"/>
    <xf numFmtId="0" fontId="11" fillId="56" borderId="62" applyNumberFormat="0" applyFont="0" applyAlignment="0" applyProtection="0"/>
    <xf numFmtId="0" fontId="11" fillId="56" borderId="62" applyNumberFormat="0" applyFont="0" applyAlignment="0" applyProtection="0"/>
    <xf numFmtId="0" fontId="11" fillId="56" borderId="62" applyNumberFormat="0" applyFont="0" applyAlignment="0" applyProtection="0"/>
    <xf numFmtId="0" fontId="11" fillId="30" borderId="62" applyNumberFormat="0" applyFont="0" applyAlignment="0" applyProtection="0"/>
    <xf numFmtId="0" fontId="11" fillId="30" borderId="62" applyNumberFormat="0" applyFont="0" applyAlignment="0" applyProtection="0"/>
    <xf numFmtId="0" fontId="11" fillId="30" borderId="62" applyNumberFormat="0" applyFont="0" applyAlignment="0" applyProtection="0"/>
    <xf numFmtId="0" fontId="11" fillId="30" borderId="62" applyNumberFormat="0" applyFont="0" applyAlignment="0" applyProtection="0"/>
    <xf numFmtId="0" fontId="148" fillId="45" borderId="58" applyNumberFormat="0" applyAlignment="0" applyProtection="0"/>
    <xf numFmtId="0" fontId="148" fillId="45" borderId="58" applyNumberFormat="0" applyAlignment="0" applyProtection="0"/>
    <xf numFmtId="9" fontId="8" fillId="0" borderId="0" applyFont="0" applyFill="0" applyBorder="0" applyAlignment="0" applyProtection="0"/>
    <xf numFmtId="9" fontId="8" fillId="0" borderId="0" applyFont="0" applyFill="0" applyBorder="0" applyAlignment="0" applyProtection="0"/>
    <xf numFmtId="0" fontId="150" fillId="46" borderId="58" applyNumberFormat="0" applyAlignment="0" applyProtection="0"/>
    <xf numFmtId="0" fontId="150" fillId="46" borderId="58" applyNumberFormat="0" applyAlignment="0" applyProtection="0"/>
    <xf numFmtId="0" fontId="150" fillId="46" borderId="58" applyNumberFormat="0" applyAlignment="0" applyProtection="0"/>
    <xf numFmtId="224" fontId="174" fillId="0" borderId="0"/>
    <xf numFmtId="0" fontId="160" fillId="0" borderId="67" applyNumberFormat="0" applyFill="0" applyAlignment="0" applyProtection="0"/>
    <xf numFmtId="0" fontId="160" fillId="0" borderId="67" applyNumberFormat="0" applyFill="0" applyAlignment="0" applyProtection="0"/>
    <xf numFmtId="0" fontId="160" fillId="0" borderId="67" applyNumberFormat="0" applyFill="0" applyAlignment="0" applyProtection="0"/>
    <xf numFmtId="172"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8" fillId="0" borderId="0" applyFont="0" applyFill="0" applyBorder="0" applyAlignment="0" applyProtection="0"/>
    <xf numFmtId="43" fontId="8"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8"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0" fontId="153" fillId="0" borderId="0" applyNumberFormat="0" applyFill="0" applyBorder="0" applyAlignment="0" applyProtection="0"/>
    <xf numFmtId="0" fontId="177" fillId="0" borderId="0"/>
    <xf numFmtId="0" fontId="177" fillId="0" borderId="0"/>
    <xf numFmtId="0" fontId="177" fillId="0" borderId="0"/>
    <xf numFmtId="0" fontId="177" fillId="0" borderId="0"/>
    <xf numFmtId="0" fontId="177" fillId="0" borderId="0"/>
    <xf numFmtId="0" fontId="177" fillId="0" borderId="0"/>
    <xf numFmtId="0" fontId="177" fillId="0" borderId="0"/>
    <xf numFmtId="0" fontId="177" fillId="0" borderId="0"/>
    <xf numFmtId="0" fontId="177" fillId="0" borderId="0"/>
    <xf numFmtId="0" fontId="11" fillId="0" borderId="0"/>
    <xf numFmtId="0" fontId="178" fillId="0" borderId="0"/>
    <xf numFmtId="0" fontId="97" fillId="0" borderId="0"/>
    <xf numFmtId="0" fontId="5" fillId="0" borderId="0"/>
    <xf numFmtId="0" fontId="5" fillId="0" borderId="0"/>
    <xf numFmtId="0" fontId="5" fillId="0" borderId="0"/>
    <xf numFmtId="0" fontId="11" fillId="0" borderId="0"/>
    <xf numFmtId="0" fontId="11" fillId="0" borderId="0"/>
    <xf numFmtId="0" fontId="167" fillId="0" borderId="56" applyNumberFormat="0" applyBorder="0" applyProtection="0">
      <alignment horizontal="center"/>
    </xf>
    <xf numFmtId="0" fontId="167" fillId="0" borderId="56" applyNumberFormat="0" applyBorder="0" applyProtection="0">
      <alignment horizontal="center"/>
    </xf>
    <xf numFmtId="0" fontId="167" fillId="0" borderId="56" applyNumberFormat="0" applyBorder="0" applyProtection="0">
      <alignment horizontal="center"/>
    </xf>
    <xf numFmtId="0" fontId="167" fillId="0" borderId="56" applyNumberFormat="0" applyBorder="0" applyProtection="0">
      <alignment horizontal="center"/>
    </xf>
    <xf numFmtId="0" fontId="5" fillId="0" borderId="0"/>
    <xf numFmtId="0" fontId="11" fillId="0" borderId="0"/>
    <xf numFmtId="0" fontId="11" fillId="0" borderId="0"/>
    <xf numFmtId="9" fontId="11" fillId="0" borderId="0" applyFont="0" applyFill="0" applyBorder="0" applyAlignment="0" applyProtection="0"/>
    <xf numFmtId="9" fontId="144" fillId="0" borderId="0" applyFont="0" applyFill="0" applyBorder="0" applyAlignment="0" applyProtection="0"/>
    <xf numFmtId="43" fontId="96" fillId="0" borderId="0" applyFont="0" applyFill="0" applyBorder="0" applyAlignment="0" applyProtection="0"/>
    <xf numFmtId="0" fontId="89" fillId="0" borderId="0"/>
    <xf numFmtId="43" fontId="8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167" fillId="0" borderId="68" applyNumberFormat="0" applyBorder="0" applyProtection="0">
      <alignment horizontal="center"/>
    </xf>
    <xf numFmtId="0" fontId="167" fillId="0" borderId="68" applyNumberFormat="0" applyBorder="0" applyProtection="0">
      <alignment horizontal="center"/>
    </xf>
    <xf numFmtId="0" fontId="167" fillId="0" borderId="68" applyNumberFormat="0" applyBorder="0" applyProtection="0">
      <alignment horizontal="center"/>
    </xf>
    <xf numFmtId="0" fontId="167" fillId="0" borderId="68" applyNumberFormat="0" applyBorder="0" applyProtection="0">
      <alignment horizontal="center"/>
    </xf>
    <xf numFmtId="0" fontId="112" fillId="45" borderId="53" applyNumberFormat="0" applyAlignment="0" applyProtection="0"/>
    <xf numFmtId="0" fontId="112" fillId="45" borderId="53" applyNumberFormat="0" applyAlignment="0" applyProtection="0"/>
    <xf numFmtId="0" fontId="112" fillId="45" borderId="53" applyNumberFormat="0" applyAlignment="0" applyProtection="0"/>
    <xf numFmtId="0" fontId="112" fillId="45" borderId="53" applyNumberFormat="0" applyAlignment="0" applyProtection="0"/>
    <xf numFmtId="0" fontId="168" fillId="46" borderId="53" applyNumberFormat="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9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1"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210" fontId="5" fillId="0" borderId="0" applyFont="0" applyFill="0" applyBorder="0" applyAlignment="0" applyProtection="0"/>
    <xf numFmtId="210" fontId="5" fillId="0" borderId="0" applyFont="0" applyFill="0" applyBorder="0" applyAlignment="0" applyProtection="0"/>
    <xf numFmtId="210" fontId="5" fillId="0" borderId="0" applyFont="0" applyFill="0" applyBorder="0" applyAlignment="0" applyProtection="0"/>
    <xf numFmtId="210" fontId="5" fillId="0" borderId="0" applyFont="0" applyFill="0" applyBorder="0" applyAlignment="0" applyProtection="0"/>
    <xf numFmtId="210" fontId="5" fillId="0" borderId="0" applyFont="0" applyFill="0" applyBorder="0" applyAlignment="0" applyProtection="0"/>
    <xf numFmtId="210" fontId="5" fillId="0" borderId="0" applyFont="0" applyFill="0" applyBorder="0" applyAlignment="0" applyProtection="0"/>
    <xf numFmtId="210" fontId="5" fillId="0" borderId="0" applyFont="0" applyFill="0" applyBorder="0" applyAlignment="0" applyProtection="0"/>
    <xf numFmtId="210" fontId="5" fillId="0" borderId="0" applyFont="0" applyFill="0" applyBorder="0" applyAlignment="0" applyProtection="0"/>
    <xf numFmtId="210" fontId="5" fillId="0" borderId="0" applyFont="0" applyFill="0" applyBorder="0" applyAlignment="0" applyProtection="0"/>
    <xf numFmtId="210" fontId="5" fillId="0" borderId="0" applyFont="0" applyFill="0" applyBorder="0" applyAlignment="0" applyProtection="0"/>
    <xf numFmtId="210" fontId="5" fillId="0" borderId="0" applyFont="0" applyFill="0" applyBorder="0" applyAlignment="0" applyProtection="0"/>
    <xf numFmtId="210" fontId="5" fillId="0" borderId="0" applyFont="0" applyFill="0" applyBorder="0" applyAlignment="0" applyProtection="0"/>
    <xf numFmtId="210" fontId="5" fillId="0" borderId="0" applyFont="0" applyFill="0" applyBorder="0" applyAlignment="0" applyProtection="0"/>
    <xf numFmtId="210" fontId="5" fillId="0" borderId="0" applyFont="0" applyFill="0" applyBorder="0" applyAlignment="0" applyProtection="0"/>
    <xf numFmtId="210" fontId="5" fillId="0" borderId="0" applyFont="0" applyFill="0" applyBorder="0" applyAlignment="0" applyProtection="0"/>
    <xf numFmtId="210" fontId="5" fillId="0" borderId="0" applyFont="0" applyFill="0" applyBorder="0" applyAlignment="0" applyProtection="0"/>
    <xf numFmtId="201" fontId="123" fillId="0" borderId="56" applyBorder="0">
      <alignment vertical="center"/>
    </xf>
    <xf numFmtId="0" fontId="126" fillId="17" borderId="53" applyNumberFormat="0" applyAlignment="0" applyProtection="0"/>
    <xf numFmtId="44" fontId="8" fillId="0" borderId="0" applyFont="0" applyFill="0" applyBorder="0" applyAlignment="0" applyProtection="0"/>
    <xf numFmtId="0" fontId="103" fillId="0" borderId="45" applyNumberFormat="0" applyFill="0" applyAlignment="0" applyProtection="0"/>
    <xf numFmtId="0" fontId="126" fillId="17" borderId="53" applyNumberFormat="0" applyAlignment="0" applyProtection="0"/>
    <xf numFmtId="0" fontId="126" fillId="17" borderId="53" applyNumberFormat="0" applyAlignment="0" applyProtection="0"/>
    <xf numFmtId="0" fontId="126" fillId="17" borderId="53" applyNumberFormat="0" applyAlignment="0" applyProtection="0"/>
    <xf numFmtId="0" fontId="126" fillId="17" borderId="53" applyNumberFormat="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9" fillId="0" borderId="0"/>
    <xf numFmtId="0" fontId="5" fillId="0" borderId="0"/>
    <xf numFmtId="0" fontId="8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9" fillId="0" borderId="0"/>
    <xf numFmtId="0" fontId="5" fillId="0" borderId="0"/>
    <xf numFmtId="0" fontId="5" fillId="0" borderId="0"/>
    <xf numFmtId="0" fontId="1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201" fontId="123" fillId="0" borderId="68" applyBorder="0">
      <alignment vertical="center"/>
    </xf>
    <xf numFmtId="201" fontId="123" fillId="0" borderId="68" applyBorder="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 fillId="0" borderId="0"/>
    <xf numFmtId="0" fontId="8" fillId="0" borderId="0"/>
    <xf numFmtId="0" fontId="5" fillId="0" borderId="0"/>
    <xf numFmtId="0" fontId="5" fillId="0" borderId="0"/>
    <xf numFmtId="0" fontId="5" fillId="0" borderId="0"/>
    <xf numFmtId="0" fontId="5" fillId="0" borderId="0"/>
    <xf numFmtId="0" fontId="89" fillId="0" borderId="0"/>
    <xf numFmtId="0" fontId="8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67" fillId="0" borderId="68" applyNumberFormat="0" applyBorder="0" applyProtection="0">
      <alignment horizontal="center"/>
    </xf>
    <xf numFmtId="200" fontId="5" fillId="10" borderId="43" applyNumberFormat="0" applyFont="0" applyAlignment="0" applyProtection="0"/>
    <xf numFmtId="200" fontId="5" fillId="10" borderId="43" applyNumberFormat="0" applyFont="0" applyAlignment="0" applyProtection="0"/>
    <xf numFmtId="200" fontId="5" fillId="10" borderId="43" applyNumberFormat="0" applyFont="0" applyAlignment="0" applyProtection="0"/>
    <xf numFmtId="200" fontId="5" fillId="10" borderId="43" applyNumberFormat="0" applyFont="0" applyAlignment="0" applyProtection="0"/>
    <xf numFmtId="0" fontId="11" fillId="56" borderId="62" applyNumberFormat="0" applyFont="0" applyAlignment="0" applyProtection="0"/>
    <xf numFmtId="0" fontId="11" fillId="56" borderId="62" applyNumberFormat="0" applyFont="0" applyAlignment="0" applyProtection="0"/>
    <xf numFmtId="200" fontId="5" fillId="10" borderId="43" applyNumberFormat="0" applyFont="0" applyAlignment="0" applyProtection="0"/>
    <xf numFmtId="200" fontId="5" fillId="10" borderId="43" applyNumberFormat="0" applyFont="0" applyAlignment="0" applyProtection="0"/>
    <xf numFmtId="200" fontId="5" fillId="10" borderId="43" applyNumberFormat="0" applyFont="0" applyAlignment="0" applyProtection="0"/>
    <xf numFmtId="200" fontId="5" fillId="10" borderId="43" applyNumberFormat="0" applyFont="0" applyAlignment="0" applyProtection="0"/>
    <xf numFmtId="200" fontId="5" fillId="10" borderId="43" applyNumberFormat="0" applyFont="0" applyAlignment="0" applyProtection="0"/>
    <xf numFmtId="200" fontId="5" fillId="10" borderId="43" applyNumberFormat="0" applyFont="0" applyAlignment="0" applyProtection="0"/>
    <xf numFmtId="200" fontId="5" fillId="10" borderId="43" applyNumberFormat="0" applyFont="0" applyAlignment="0" applyProtection="0"/>
    <xf numFmtId="200" fontId="5" fillId="10" borderId="43" applyNumberFormat="0" applyFont="0" applyAlignment="0" applyProtection="0"/>
    <xf numFmtId="200" fontId="5" fillId="10" borderId="43" applyNumberFormat="0" applyFont="0" applyAlignment="0" applyProtection="0"/>
    <xf numFmtId="200" fontId="5" fillId="10" borderId="43" applyNumberFormat="0" applyFont="0" applyAlignment="0" applyProtection="0"/>
    <xf numFmtId="0" fontId="167" fillId="0" borderId="68" applyNumberFormat="0" applyBorder="0" applyProtection="0">
      <alignment horizontal="center"/>
    </xf>
    <xf numFmtId="0" fontId="11" fillId="56" borderId="62" applyNumberFormat="0" applyFont="0" applyAlignment="0" applyProtection="0"/>
    <xf numFmtId="0" fontId="11" fillId="56" borderId="62" applyNumberFormat="0" applyFont="0" applyAlignment="0" applyProtection="0"/>
    <xf numFmtId="0" fontId="11" fillId="56" borderId="62" applyNumberFormat="0" applyFont="0" applyAlignment="0" applyProtection="0"/>
    <xf numFmtId="0" fontId="11" fillId="56" borderId="62" applyNumberFormat="0" applyFont="0" applyAlignment="0" applyProtection="0"/>
    <xf numFmtId="0" fontId="148" fillId="45" borderId="58" applyNumberFormat="0" applyAlignment="0" applyProtection="0"/>
    <xf numFmtId="0" fontId="148" fillId="45" borderId="58" applyNumberFormat="0" applyAlignment="0" applyProtection="0"/>
    <xf numFmtId="0" fontId="148" fillId="45" borderId="58" applyNumberFormat="0" applyAlignment="0" applyProtection="0"/>
    <xf numFmtId="0" fontId="148" fillId="45" borderId="58" applyNumberFormat="0" applyAlignment="0" applyProtection="0"/>
    <xf numFmtId="9" fontId="5" fillId="0" borderId="0" applyFont="0" applyFill="0" applyBorder="0" applyAlignment="0" applyProtection="0"/>
    <xf numFmtId="0" fontId="167" fillId="0" borderId="68" applyNumberFormat="0" applyBorder="0" applyProtection="0">
      <alignment horizontal="center"/>
    </xf>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1" fillId="0" borderId="0" applyFont="0" applyFill="0" applyBorder="0" applyAlignment="0" applyProtection="0"/>
    <xf numFmtId="9" fontId="5" fillId="0" borderId="0" applyFont="0" applyFill="0" applyBorder="0" applyAlignment="0" applyProtection="0"/>
    <xf numFmtId="9" fontId="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150" fillId="46" borderId="58" applyNumberFormat="0" applyAlignment="0" applyProtection="0"/>
    <xf numFmtId="0" fontId="150" fillId="46" borderId="58" applyNumberFormat="0" applyAlignment="0" applyProtection="0"/>
    <xf numFmtId="0" fontId="160" fillId="0" borderId="67" applyNumberFormat="0" applyFill="0" applyAlignment="0" applyProtection="0"/>
    <xf numFmtId="0" fontId="160" fillId="0" borderId="67" applyNumberFormat="0" applyFill="0" applyAlignment="0" applyProtection="0"/>
    <xf numFmtId="43" fontId="96" fillId="0" borderId="0" applyFont="0" applyFill="0" applyBorder="0" applyAlignment="0" applyProtection="0"/>
    <xf numFmtId="43" fontId="9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1" fillId="0" borderId="0" applyFont="0" applyFill="0" applyBorder="0" applyAlignment="0" applyProtection="0"/>
    <xf numFmtId="43" fontId="162" fillId="0" borderId="0" applyFont="0" applyFill="0" applyBorder="0" applyAlignment="0" applyProtection="0"/>
    <xf numFmtId="229" fontId="144" fillId="0" borderId="0" applyFont="0" applyFill="0" applyBorder="0" applyAlignment="0" applyProtection="0"/>
    <xf numFmtId="43" fontId="5" fillId="0" borderId="0" applyFont="0" applyFill="0" applyBorder="0" applyAlignment="0" applyProtection="0"/>
    <xf numFmtId="172" fontId="1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230" fontId="144" fillId="0" borderId="0" applyFont="0" applyFill="0" applyBorder="0" applyAlignment="0" applyProtection="0"/>
    <xf numFmtId="169" fontId="144" fillId="0" borderId="0" applyFont="0" applyFill="0" applyBorder="0" applyAlignment="0" applyProtection="0"/>
    <xf numFmtId="43" fontId="11" fillId="0" borderId="0" applyFont="0" applyFill="0" applyBorder="0" applyAlignment="0" applyProtection="0"/>
    <xf numFmtId="43" fontId="144" fillId="0" borderId="0" applyFont="0" applyFill="0" applyBorder="0" applyAlignment="0" applyProtection="0"/>
    <xf numFmtId="43" fontId="5"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0" fontId="1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9" fillId="0" borderId="0"/>
    <xf numFmtId="0" fontId="89" fillId="0" borderId="0"/>
    <xf numFmtId="0" fontId="5" fillId="0" borderId="0"/>
    <xf numFmtId="0" fontId="5" fillId="0" borderId="0"/>
    <xf numFmtId="44" fontId="145" fillId="0" borderId="0" applyFont="0" applyFill="0" applyBorder="0" applyAlignment="0" applyProtection="0"/>
    <xf numFmtId="0" fontId="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1" fillId="0" borderId="0"/>
    <xf numFmtId="0" fontId="96" fillId="12" borderId="0" applyNumberFormat="0" applyBorder="0" applyAlignment="0" applyProtection="0"/>
    <xf numFmtId="0" fontId="96" fillId="13" borderId="0" applyNumberFormat="0" applyBorder="0" applyAlignment="0" applyProtection="0"/>
    <xf numFmtId="0" fontId="96" fillId="14" borderId="0" applyNumberFormat="0" applyBorder="0" applyAlignment="0" applyProtection="0"/>
    <xf numFmtId="0" fontId="96" fillId="15" borderId="0" applyNumberFormat="0" applyBorder="0" applyAlignment="0" applyProtection="0"/>
    <xf numFmtId="0" fontId="96" fillId="16" borderId="0" applyNumberFormat="0" applyBorder="0" applyAlignment="0" applyProtection="0"/>
    <xf numFmtId="0" fontId="96" fillId="17" borderId="0" applyNumberFormat="0" applyBorder="0" applyAlignment="0" applyProtection="0"/>
    <xf numFmtId="0" fontId="96" fillId="18" borderId="0" applyNumberFormat="0" applyBorder="0" applyAlignment="0" applyProtection="0"/>
    <xf numFmtId="0" fontId="96" fillId="19" borderId="0" applyNumberFormat="0" applyBorder="0" applyAlignment="0" applyProtection="0"/>
    <xf numFmtId="0" fontId="96" fillId="20" borderId="0" applyNumberFormat="0" applyBorder="0" applyAlignment="0" applyProtection="0"/>
    <xf numFmtId="0" fontId="96" fillId="15" borderId="0" applyNumberFormat="0" applyBorder="0" applyAlignment="0" applyProtection="0"/>
    <xf numFmtId="0" fontId="96" fillId="18" borderId="0" applyNumberFormat="0" applyBorder="0" applyAlignment="0" applyProtection="0"/>
    <xf numFmtId="0" fontId="96" fillId="21" borderId="0" applyNumberFormat="0" applyBorder="0" applyAlignment="0" applyProtection="0"/>
    <xf numFmtId="0" fontId="98" fillId="22" borderId="0" applyNumberFormat="0" applyBorder="0" applyAlignment="0" applyProtection="0"/>
    <xf numFmtId="0" fontId="98" fillId="19" borderId="0" applyNumberFormat="0" applyBorder="0" applyAlignment="0" applyProtection="0"/>
    <xf numFmtId="0" fontId="98" fillId="20" borderId="0" applyNumberFormat="0" applyBorder="0" applyAlignment="0" applyProtection="0"/>
    <xf numFmtId="0" fontId="98" fillId="23" borderId="0" applyNumberFormat="0" applyBorder="0" applyAlignment="0" applyProtection="0"/>
    <xf numFmtId="0" fontId="98" fillId="24" borderId="0" applyNumberFormat="0" applyBorder="0" applyAlignment="0" applyProtection="0"/>
    <xf numFmtId="0" fontId="98" fillId="25" borderId="0" applyNumberFormat="0" applyBorder="0" applyAlignment="0" applyProtection="0"/>
    <xf numFmtId="0" fontId="179" fillId="0" borderId="0"/>
    <xf numFmtId="0" fontId="179" fillId="0" borderId="0"/>
    <xf numFmtId="0" fontId="179" fillId="0" borderId="0"/>
    <xf numFmtId="0" fontId="179" fillId="0" borderId="0"/>
    <xf numFmtId="0" fontId="179" fillId="0" borderId="0"/>
    <xf numFmtId="0" fontId="98" fillId="47" borderId="0" applyNumberFormat="0" applyBorder="0" applyAlignment="0" applyProtection="0"/>
    <xf numFmtId="0" fontId="98" fillId="33" borderId="0" applyNumberFormat="0" applyBorder="0" applyAlignment="0" applyProtection="0"/>
    <xf numFmtId="0" fontId="98" fillId="48" borderId="0" applyNumberFormat="0" applyBorder="0" applyAlignment="0" applyProtection="0"/>
    <xf numFmtId="0" fontId="98" fillId="23" borderId="0" applyNumberFormat="0" applyBorder="0" applyAlignment="0" applyProtection="0"/>
    <xf numFmtId="0" fontId="98" fillId="24" borderId="0" applyNumberFormat="0" applyBorder="0" applyAlignment="0" applyProtection="0"/>
    <xf numFmtId="0" fontId="98" fillId="39" borderId="0" applyNumberFormat="0" applyBorder="0" applyAlignment="0" applyProtection="0"/>
    <xf numFmtId="0" fontId="120" fillId="14" borderId="0" applyNumberFormat="0" applyBorder="0" applyAlignment="0" applyProtection="0"/>
    <xf numFmtId="200" fontId="103" fillId="0" borderId="45" applyNumberFormat="0" applyFill="0" applyAlignment="0" applyProtection="0"/>
    <xf numFmtId="200" fontId="103" fillId="0" borderId="45" applyNumberFormat="0" applyFill="0" applyAlignment="0" applyProtection="0"/>
    <xf numFmtId="0" fontId="103" fillId="0" borderId="45" applyNumberFormat="0" applyFill="0" applyAlignment="0" applyProtection="0"/>
    <xf numFmtId="0" fontId="103" fillId="0" borderId="45" applyNumberFormat="0" applyFill="0" applyAlignment="0" applyProtection="0"/>
    <xf numFmtId="200" fontId="103" fillId="0" borderId="45" applyNumberFormat="0" applyFill="0" applyAlignment="0" applyProtection="0"/>
    <xf numFmtId="200" fontId="103" fillId="0" borderId="45" applyNumberFormat="0" applyFill="0" applyAlignment="0" applyProtection="0"/>
    <xf numFmtId="200" fontId="103" fillId="0" borderId="45" applyNumberFormat="0" applyFill="0" applyAlignment="0" applyProtection="0"/>
    <xf numFmtId="200" fontId="103" fillId="0" borderId="45" applyNumberFormat="0" applyFill="0" applyAlignment="0" applyProtection="0"/>
    <xf numFmtId="200" fontId="106" fillId="0" borderId="47" applyNumberFormat="0" applyFill="0" applyAlignment="0" applyProtection="0"/>
    <xf numFmtId="200" fontId="106" fillId="0" borderId="47" applyNumberFormat="0" applyFill="0" applyAlignment="0" applyProtection="0"/>
    <xf numFmtId="0" fontId="106" fillId="0" borderId="47" applyNumberFormat="0" applyFill="0" applyAlignment="0" applyProtection="0"/>
    <xf numFmtId="0" fontId="167" fillId="0" borderId="56" applyNumberFormat="0" applyBorder="0" applyProtection="0">
      <alignment horizontal="center"/>
    </xf>
    <xf numFmtId="0" fontId="106" fillId="0" borderId="47" applyNumberFormat="0" applyFill="0" applyAlignment="0" applyProtection="0"/>
    <xf numFmtId="0" fontId="167" fillId="0" borderId="56" applyNumberFormat="0" applyBorder="0" applyProtection="0">
      <alignment horizontal="center"/>
    </xf>
    <xf numFmtId="200" fontId="106" fillId="0" borderId="47" applyNumberFormat="0" applyFill="0" applyAlignment="0" applyProtection="0"/>
    <xf numFmtId="200" fontId="106" fillId="0" borderId="47" applyNumberFormat="0" applyFill="0" applyAlignment="0" applyProtection="0"/>
    <xf numFmtId="200" fontId="106" fillId="0" borderId="47" applyNumberFormat="0" applyFill="0" applyAlignment="0" applyProtection="0"/>
    <xf numFmtId="200" fontId="106" fillId="0" borderId="47" applyNumberFormat="0" applyFill="0" applyAlignment="0" applyProtection="0"/>
    <xf numFmtId="200" fontId="106" fillId="0" borderId="47" applyNumberFormat="0" applyFill="0" applyAlignment="0" applyProtection="0"/>
    <xf numFmtId="200" fontId="109" fillId="0" borderId="49" applyNumberFormat="0" applyFill="0" applyAlignment="0" applyProtection="0"/>
    <xf numFmtId="200" fontId="109" fillId="0" borderId="49" applyNumberFormat="0" applyFill="0" applyAlignment="0" applyProtection="0"/>
    <xf numFmtId="0" fontId="109" fillId="0" borderId="49" applyNumberFormat="0" applyFill="0" applyAlignment="0" applyProtection="0"/>
    <xf numFmtId="0" fontId="167" fillId="0" borderId="56" applyNumberFormat="0" applyBorder="0" applyProtection="0">
      <alignment horizontal="center"/>
    </xf>
    <xf numFmtId="0" fontId="109" fillId="0" borderId="49" applyNumberFormat="0" applyFill="0" applyAlignment="0" applyProtection="0"/>
    <xf numFmtId="0" fontId="167" fillId="0" borderId="56" applyNumberFormat="0" applyBorder="0" applyProtection="0">
      <alignment horizontal="center"/>
    </xf>
    <xf numFmtId="200" fontId="109" fillId="0" borderId="49" applyNumberFormat="0" applyFill="0" applyAlignment="0" applyProtection="0"/>
    <xf numFmtId="200" fontId="109" fillId="0" borderId="49" applyNumberFormat="0" applyFill="0" applyAlignment="0" applyProtection="0"/>
    <xf numFmtId="200" fontId="109" fillId="0" borderId="49" applyNumberFormat="0" applyFill="0" applyAlignment="0" applyProtection="0"/>
    <xf numFmtId="200" fontId="109" fillId="0" borderId="49" applyNumberFormat="0" applyFill="0" applyAlignment="0" applyProtection="0"/>
    <xf numFmtId="200" fontId="109" fillId="0" borderId="49" applyNumberFormat="0" applyFill="0" applyAlignment="0" applyProtection="0"/>
    <xf numFmtId="200" fontId="109" fillId="0" borderId="0" applyNumberFormat="0" applyFill="0" applyBorder="0" applyAlignment="0" applyProtection="0"/>
    <xf numFmtId="200" fontId="109" fillId="0" borderId="0" applyNumberFormat="0" applyFill="0" applyBorder="0" applyAlignment="0" applyProtection="0"/>
    <xf numFmtId="0" fontId="109" fillId="0" borderId="0" applyNumberFormat="0" applyFill="0" applyBorder="0" applyAlignment="0" applyProtection="0"/>
    <xf numFmtId="0" fontId="167" fillId="0" borderId="56" applyNumberFormat="0" applyBorder="0" applyProtection="0">
      <alignment horizontal="center"/>
    </xf>
    <xf numFmtId="0" fontId="109" fillId="0" borderId="0" applyNumberFormat="0" applyFill="0" applyBorder="0" applyAlignment="0" applyProtection="0"/>
    <xf numFmtId="0" fontId="167" fillId="0" borderId="56" applyNumberFormat="0" applyBorder="0" applyProtection="0">
      <alignment horizontal="center"/>
    </xf>
    <xf numFmtId="200" fontId="109" fillId="0" borderId="0" applyNumberFormat="0" applyFill="0" applyBorder="0" applyAlignment="0" applyProtection="0"/>
    <xf numFmtId="200" fontId="109" fillId="0" borderId="0" applyNumberFormat="0" applyFill="0" applyBorder="0" applyAlignment="0" applyProtection="0"/>
    <xf numFmtId="200" fontId="109" fillId="0" borderId="0" applyNumberFormat="0" applyFill="0" applyBorder="0" applyAlignment="0" applyProtection="0"/>
    <xf numFmtId="200" fontId="109" fillId="0" borderId="0" applyNumberFormat="0" applyFill="0" applyBorder="0" applyAlignment="0" applyProtection="0"/>
    <xf numFmtId="200" fontId="109" fillId="0" borderId="0" applyNumberFormat="0" applyFill="0" applyBorder="0" applyAlignment="0" applyProtection="0"/>
    <xf numFmtId="0" fontId="167" fillId="0" borderId="56" applyNumberFormat="0" applyBorder="0" applyProtection="0">
      <alignment horizontal="center"/>
    </xf>
    <xf numFmtId="0" fontId="167" fillId="0" borderId="56" applyNumberFormat="0" applyBorder="0" applyProtection="0">
      <alignment horizontal="center"/>
    </xf>
    <xf numFmtId="0" fontId="167" fillId="0" borderId="56" applyNumberFormat="0" applyBorder="0" applyProtection="0">
      <alignment horizontal="center"/>
    </xf>
    <xf numFmtId="165" fontId="10" fillId="0" borderId="72"/>
    <xf numFmtId="231" fontId="97" fillId="0" borderId="0" applyFill="0" applyBorder="0" applyAlignment="0"/>
    <xf numFmtId="232" fontId="97" fillId="0" borderId="0" applyFill="0" applyBorder="0" applyAlignment="0"/>
    <xf numFmtId="233" fontId="97" fillId="0" borderId="0" applyFill="0" applyBorder="0" applyAlignment="0"/>
    <xf numFmtId="234" fontId="97" fillId="0" borderId="0" applyFill="0" applyBorder="0" applyAlignment="0"/>
    <xf numFmtId="235" fontId="97" fillId="0" borderId="0" applyFill="0" applyBorder="0" applyAlignment="0"/>
    <xf numFmtId="231" fontId="97" fillId="0" borderId="0" applyFill="0" applyBorder="0" applyAlignment="0"/>
    <xf numFmtId="236" fontId="97" fillId="0" borderId="0" applyFill="0" applyBorder="0" applyAlignment="0"/>
    <xf numFmtId="232" fontId="97" fillId="0" borderId="0" applyFill="0" applyBorder="0" applyAlignment="0"/>
    <xf numFmtId="0" fontId="168" fillId="46" borderId="53" applyNumberFormat="0" applyAlignment="0" applyProtection="0"/>
    <xf numFmtId="0" fontId="161" fillId="59" borderId="55" applyNumberFormat="0" applyAlignment="0" applyProtection="0"/>
    <xf numFmtId="200" fontId="115" fillId="0" borderId="54" applyNumberFormat="0" applyFill="0" applyAlignment="0" applyProtection="0"/>
    <xf numFmtId="200" fontId="115" fillId="0" borderId="54" applyNumberFormat="0" applyFill="0" applyAlignment="0" applyProtection="0"/>
    <xf numFmtId="0" fontId="115" fillId="0" borderId="54" applyNumberFormat="0" applyFill="0" applyAlignment="0" applyProtection="0"/>
    <xf numFmtId="200" fontId="115" fillId="0" borderId="54" applyNumberFormat="0" applyFill="0" applyAlignment="0" applyProtection="0"/>
    <xf numFmtId="200" fontId="115" fillId="0" borderId="54" applyNumberFormat="0" applyFill="0" applyAlignment="0" applyProtection="0"/>
    <xf numFmtId="200" fontId="115" fillId="0" borderId="54" applyNumberFormat="0" applyFill="0" applyAlignment="0" applyProtection="0"/>
    <xf numFmtId="200" fontId="115" fillId="0" borderId="54" applyNumberFormat="0" applyFill="0" applyAlignment="0" applyProtection="0"/>
    <xf numFmtId="200" fontId="115" fillId="0" borderId="54" applyNumberFormat="0" applyFill="0" applyAlignment="0" applyProtection="0"/>
    <xf numFmtId="0" fontId="115" fillId="0" borderId="54" applyNumberFormat="0" applyFill="0" applyAlignment="0" applyProtection="0"/>
    <xf numFmtId="237" fontId="11" fillId="0" borderId="0"/>
    <xf numFmtId="237" fontId="11" fillId="0" borderId="0"/>
    <xf numFmtId="237" fontId="11" fillId="0" borderId="0"/>
    <xf numFmtId="237" fontId="11" fillId="0" borderId="0"/>
    <xf numFmtId="237" fontId="11" fillId="0" borderId="0"/>
    <xf numFmtId="237" fontId="11" fillId="0" borderId="0"/>
    <xf numFmtId="237" fontId="11" fillId="0" borderId="0"/>
    <xf numFmtId="237" fontId="11" fillId="0" borderId="0"/>
    <xf numFmtId="231" fontId="11"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227" fontId="11" fillId="0" borderId="0" applyFont="0" applyFill="0" applyBorder="0" applyAlignment="0" applyProtection="0"/>
    <xf numFmtId="200" fontId="120" fillId="14" borderId="0" applyNumberFormat="0" applyBorder="0" applyAlignment="0" applyProtection="0"/>
    <xf numFmtId="200" fontId="120" fillId="14" borderId="0" applyNumberFormat="0" applyBorder="0" applyAlignment="0" applyProtection="0"/>
    <xf numFmtId="0" fontId="120" fillId="14" borderId="0" applyNumberFormat="0" applyBorder="0" applyAlignment="0" applyProtection="0"/>
    <xf numFmtId="200" fontId="120" fillId="14" borderId="0" applyNumberFormat="0" applyBorder="0" applyAlignment="0" applyProtection="0"/>
    <xf numFmtId="200" fontId="120" fillId="14" borderId="0" applyNumberFormat="0" applyBorder="0" applyAlignment="0" applyProtection="0"/>
    <xf numFmtId="200" fontId="120" fillId="14" borderId="0" applyNumberFormat="0" applyBorder="0" applyAlignment="0" applyProtection="0"/>
    <xf numFmtId="200" fontId="120" fillId="14" borderId="0" applyNumberFormat="0" applyBorder="0" applyAlignment="0" applyProtection="0"/>
    <xf numFmtId="200" fontId="120" fillId="14" borderId="0" applyNumberFormat="0" applyBorder="0" applyAlignment="0" applyProtection="0"/>
    <xf numFmtId="232" fontId="11" fillId="0" borderId="0" applyFont="0" applyFill="0" applyBorder="0" applyAlignment="0" applyProtection="0"/>
    <xf numFmtId="210" fontId="96" fillId="0" borderId="0" applyFont="0" applyFill="0" applyBorder="0" applyAlignment="0" applyProtection="0"/>
    <xf numFmtId="210" fontId="96" fillId="0" borderId="0" applyFont="0" applyFill="0" applyBorder="0" applyAlignment="0" applyProtection="0"/>
    <xf numFmtId="210" fontId="96" fillId="0" borderId="0" applyFont="0" applyFill="0" applyBorder="0" applyAlignment="0" applyProtection="0"/>
    <xf numFmtId="210" fontId="96" fillId="0" borderId="0" applyFont="0" applyFill="0" applyBorder="0" applyAlignment="0" applyProtection="0"/>
    <xf numFmtId="210" fontId="96" fillId="0" borderId="0" applyFont="0" applyFill="0" applyBorder="0" applyAlignment="0" applyProtection="0"/>
    <xf numFmtId="210" fontId="96" fillId="0" borderId="0" applyFont="0" applyFill="0" applyBorder="0" applyAlignment="0" applyProtection="0"/>
    <xf numFmtId="210" fontId="96" fillId="0" borderId="0" applyFont="0" applyFill="0" applyBorder="0" applyAlignment="0" applyProtection="0"/>
    <xf numFmtId="210" fontId="96" fillId="0" borderId="0" applyFont="0" applyFill="0" applyBorder="0" applyAlignment="0" applyProtection="0"/>
    <xf numFmtId="14" fontId="97" fillId="0" borderId="0" applyFill="0" applyBorder="0" applyAlignment="0"/>
    <xf numFmtId="0" fontId="98" fillId="47" borderId="0" applyNumberFormat="0" applyBorder="0" applyAlignment="0" applyProtection="0"/>
    <xf numFmtId="0" fontId="98" fillId="33" borderId="0" applyNumberFormat="0" applyBorder="0" applyAlignment="0" applyProtection="0"/>
    <xf numFmtId="0" fontId="98" fillId="48" borderId="0" applyNumberFormat="0" applyBorder="0" applyAlignment="0" applyProtection="0"/>
    <xf numFmtId="0" fontId="98" fillId="23" borderId="0" applyNumberFormat="0" applyBorder="0" applyAlignment="0" applyProtection="0"/>
    <xf numFmtId="0" fontId="98" fillId="24" borderId="0" applyNumberFormat="0" applyBorder="0" applyAlignment="0" applyProtection="0"/>
    <xf numFmtId="0" fontId="98" fillId="39" borderId="0" applyNumberFormat="0" applyBorder="0" applyAlignment="0" applyProtection="0"/>
    <xf numFmtId="231" fontId="181" fillId="0" borderId="0" applyFill="0" applyBorder="0" applyAlignment="0"/>
    <xf numFmtId="232" fontId="181" fillId="0" borderId="0" applyFill="0" applyBorder="0" applyAlignment="0"/>
    <xf numFmtId="231" fontId="181" fillId="0" borderId="0" applyFill="0" applyBorder="0" applyAlignment="0"/>
    <xf numFmtId="236" fontId="181" fillId="0" borderId="0" applyFill="0" applyBorder="0" applyAlignment="0"/>
    <xf numFmtId="232" fontId="181" fillId="0" borderId="0" applyFill="0" applyBorder="0" applyAlignment="0"/>
    <xf numFmtId="200" fontId="126" fillId="17" borderId="53" applyNumberFormat="0" applyAlignment="0" applyProtection="0"/>
    <xf numFmtId="200" fontId="126" fillId="17" borderId="53" applyNumberFormat="0" applyAlignment="0" applyProtection="0"/>
    <xf numFmtId="0" fontId="126" fillId="17" borderId="53" applyNumberFormat="0" applyAlignment="0" applyProtection="0"/>
    <xf numFmtId="200" fontId="126" fillId="17" borderId="53" applyNumberFormat="0" applyAlignment="0" applyProtection="0"/>
    <xf numFmtId="200" fontId="126" fillId="17" borderId="53" applyNumberFormat="0" applyAlignment="0" applyProtection="0"/>
    <xf numFmtId="200" fontId="126" fillId="17" borderId="53" applyNumberFormat="0" applyAlignment="0" applyProtection="0"/>
    <xf numFmtId="200" fontId="126" fillId="17" borderId="53" applyNumberFormat="0" applyAlignment="0" applyProtection="0"/>
    <xf numFmtId="200" fontId="126" fillId="17" borderId="53" applyNumberFormat="0" applyAlignment="0" applyProtection="0"/>
    <xf numFmtId="0" fontId="11" fillId="0" borderId="0"/>
    <xf numFmtId="0" fontId="131" fillId="0" borderId="73" applyNumberFormat="0" applyAlignment="0" applyProtection="0">
      <alignment horizontal="left" vertical="center"/>
    </xf>
    <xf numFmtId="0" fontId="131" fillId="0" borderId="71">
      <alignment horizontal="left" vertical="center"/>
    </xf>
    <xf numFmtId="0" fontId="133" fillId="0" borderId="0" applyNumberFormat="0" applyFill="0" applyBorder="0" applyAlignment="0" applyProtection="0">
      <alignment vertical="top"/>
      <protection locked="0"/>
    </xf>
    <xf numFmtId="0" fontId="133" fillId="0" borderId="0" applyNumberFormat="0" applyFill="0" applyBorder="0" applyAlignment="0" applyProtection="0">
      <alignment vertical="top"/>
      <protection locked="0"/>
    </xf>
    <xf numFmtId="0" fontId="133" fillId="0" borderId="0" applyNumberFormat="0" applyFill="0" applyBorder="0" applyAlignment="0" applyProtection="0">
      <alignment vertical="top"/>
      <protection locked="0"/>
    </xf>
    <xf numFmtId="0" fontId="133" fillId="0" borderId="0" applyNumberFormat="0" applyFill="0" applyBorder="0" applyAlignment="0" applyProtection="0">
      <alignment vertical="top"/>
      <protection locked="0"/>
    </xf>
    <xf numFmtId="0" fontId="133" fillId="0" borderId="0" applyNumberFormat="0" applyFill="0" applyBorder="0" applyAlignment="0" applyProtection="0">
      <alignment vertical="top"/>
      <protection locked="0"/>
    </xf>
    <xf numFmtId="0" fontId="133" fillId="0" borderId="0" applyNumberFormat="0" applyFill="0" applyBorder="0" applyAlignment="0" applyProtection="0">
      <alignment vertical="top"/>
      <protection locked="0"/>
    </xf>
    <xf numFmtId="0" fontId="133" fillId="0" borderId="0" applyNumberFormat="0" applyFill="0" applyBorder="0" applyAlignment="0" applyProtection="0"/>
    <xf numFmtId="0" fontId="182" fillId="0" borderId="0" applyNumberFormat="0" applyFill="0" applyBorder="0" applyAlignment="0" applyProtection="0"/>
    <xf numFmtId="0" fontId="183" fillId="0" borderId="0" applyNumberFormat="0" applyFill="0" applyBorder="0" applyAlignment="0" applyProtection="0">
      <alignment vertical="top"/>
      <protection locked="0"/>
    </xf>
    <xf numFmtId="0" fontId="135" fillId="13" borderId="0" applyNumberFormat="0" applyBorder="0" applyAlignment="0" applyProtection="0"/>
    <xf numFmtId="10" fontId="59" fillId="42" borderId="65" applyNumberFormat="0" applyBorder="0" applyAlignment="0" applyProtection="0"/>
    <xf numFmtId="0" fontId="126" fillId="17" borderId="53" applyNumberFormat="0" applyAlignment="0" applyProtection="0"/>
    <xf numFmtId="231" fontId="184" fillId="0" borderId="0" applyFill="0" applyBorder="0" applyAlignment="0"/>
    <xf numFmtId="232" fontId="184" fillId="0" borderId="0" applyFill="0" applyBorder="0" applyAlignment="0"/>
    <xf numFmtId="231" fontId="184" fillId="0" borderId="0" applyFill="0" applyBorder="0" applyAlignment="0"/>
    <xf numFmtId="236" fontId="184" fillId="0" borderId="0" applyFill="0" applyBorder="0" applyAlignment="0"/>
    <xf numFmtId="232" fontId="184" fillId="0" borderId="0" applyFill="0" applyBorder="0" applyAlignment="0"/>
    <xf numFmtId="44" fontId="96" fillId="0" borderId="0" applyFont="0" applyFill="0" applyBorder="0" applyAlignment="0" applyProtection="0"/>
    <xf numFmtId="44" fontId="96" fillId="0" borderId="0" applyFont="0" applyFill="0" applyBorder="0" applyAlignment="0" applyProtection="0"/>
    <xf numFmtId="0" fontId="176" fillId="52" borderId="0" applyNumberFormat="0" applyBorder="0" applyAlignment="0" applyProtection="0"/>
    <xf numFmtId="0" fontId="142"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11"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185" fillId="0" borderId="0"/>
    <xf numFmtId="0" fontId="18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8" fillId="0" borderId="0"/>
    <xf numFmtId="0" fontId="11"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200" fontId="96" fillId="56" borderId="62" applyNumberFormat="0" applyFont="0" applyAlignment="0" applyProtection="0"/>
    <xf numFmtId="200" fontId="96" fillId="56" borderId="62" applyNumberFormat="0" applyFont="0" applyAlignment="0" applyProtection="0"/>
    <xf numFmtId="0" fontId="11" fillId="56" borderId="62" applyNumberFormat="0" applyFont="0" applyAlignment="0" applyProtection="0"/>
    <xf numFmtId="200" fontId="96" fillId="56" borderId="62" applyNumberFormat="0" applyFont="0" applyAlignment="0" applyProtection="0"/>
    <xf numFmtId="200" fontId="96" fillId="56" borderId="62" applyNumberFormat="0" applyFont="0" applyAlignment="0" applyProtection="0"/>
    <xf numFmtId="200" fontId="96" fillId="56" borderId="62" applyNumberFormat="0" applyFont="0" applyAlignment="0" applyProtection="0"/>
    <xf numFmtId="200" fontId="96" fillId="56" borderId="62" applyNumberFormat="0" applyFont="0" applyAlignment="0" applyProtection="0"/>
    <xf numFmtId="200" fontId="96" fillId="56" borderId="62" applyNumberFormat="0" applyFont="0" applyAlignment="0" applyProtection="0"/>
    <xf numFmtId="0" fontId="11" fillId="56" borderId="62" applyNumberFormat="0" applyFont="0" applyAlignment="0" applyProtection="0"/>
    <xf numFmtId="0" fontId="167" fillId="60" borderId="65" applyNumberFormat="0" applyBorder="0" applyProtection="0">
      <alignment horizontal="center"/>
    </xf>
    <xf numFmtId="0" fontId="150" fillId="46" borderId="58" applyNumberFormat="0" applyAlignment="0" applyProtection="0"/>
    <xf numFmtId="235" fontId="11" fillId="0" borderId="0" applyFont="0" applyFill="0" applyBorder="0" applyAlignment="0" applyProtection="0"/>
    <xf numFmtId="239" fontId="11" fillId="0" borderId="0" applyFont="0" applyFill="0" applyBorder="0" applyAlignment="0" applyProtection="0"/>
    <xf numFmtId="9" fontId="96" fillId="0" borderId="0" applyFont="0" applyFill="0" applyBorder="0" applyAlignment="0" applyProtection="0"/>
    <xf numFmtId="9" fontId="96" fillId="0" borderId="0" applyFont="0" applyFill="0" applyBorder="0" applyAlignment="0" applyProtection="0"/>
    <xf numFmtId="9" fontId="96" fillId="0" borderId="0" applyFont="0" applyFill="0" applyBorder="0" applyAlignment="0" applyProtection="0"/>
    <xf numFmtId="9" fontId="96" fillId="0" borderId="0" applyFont="0" applyFill="0" applyBorder="0" applyAlignment="0" applyProtection="0"/>
    <xf numFmtId="9" fontId="96" fillId="0" borderId="0" applyFont="0" applyFill="0" applyBorder="0" applyAlignment="0" applyProtection="0"/>
    <xf numFmtId="9" fontId="96" fillId="0" borderId="0" applyFont="0" applyFill="0" applyBorder="0" applyAlignment="0" applyProtection="0"/>
    <xf numFmtId="9" fontId="96" fillId="0" borderId="0" applyFont="0" applyFill="0" applyBorder="0" applyAlignment="0" applyProtection="0"/>
    <xf numFmtId="9" fontId="96" fillId="0" borderId="0" applyFont="0" applyFill="0" applyBorder="0" applyAlignment="0" applyProtection="0"/>
    <xf numFmtId="9" fontId="96" fillId="0" borderId="0" applyFont="0" applyFill="0" applyBorder="0" applyAlignment="0" applyProtection="0"/>
    <xf numFmtId="9" fontId="96" fillId="0" borderId="0" applyFont="0" applyFill="0" applyBorder="0" applyAlignment="0" applyProtection="0"/>
    <xf numFmtId="9" fontId="96" fillId="0" borderId="0" applyFont="0" applyFill="0" applyBorder="0" applyAlignment="0" applyProtection="0"/>
    <xf numFmtId="9" fontId="11" fillId="0" borderId="0" applyFont="0" applyFill="0" applyBorder="0" applyAlignment="0" applyProtection="0"/>
    <xf numFmtId="9" fontId="96" fillId="0" borderId="0" applyFont="0" applyFill="0" applyBorder="0" applyAlignment="0" applyProtection="0"/>
    <xf numFmtId="9" fontId="96" fillId="0" borderId="0" applyFont="0" applyFill="0" applyBorder="0" applyAlignment="0" applyProtection="0"/>
    <xf numFmtId="9" fontId="96" fillId="0" borderId="0" applyFont="0" applyFill="0" applyBorder="0" applyAlignment="0" applyProtection="0"/>
    <xf numFmtId="9" fontId="96" fillId="0" borderId="0" applyFont="0" applyFill="0" applyBorder="0" applyAlignment="0" applyProtection="0"/>
    <xf numFmtId="9" fontId="96" fillId="0" borderId="0" applyFont="0" applyFill="0" applyBorder="0" applyAlignment="0" applyProtection="0"/>
    <xf numFmtId="9" fontId="96" fillId="0" borderId="0" applyFont="0" applyFill="0" applyBorder="0" applyAlignment="0" applyProtection="0"/>
    <xf numFmtId="9" fontId="96" fillId="0" borderId="0" applyFont="0" applyFill="0" applyBorder="0" applyAlignment="0" applyProtection="0"/>
    <xf numFmtId="9" fontId="96" fillId="0" borderId="0" applyFont="0" applyFill="0" applyBorder="0" applyAlignment="0" applyProtection="0"/>
    <xf numFmtId="231" fontId="153" fillId="0" borderId="0" applyFill="0" applyBorder="0" applyAlignment="0"/>
    <xf numFmtId="232" fontId="153" fillId="0" borderId="0" applyFill="0" applyBorder="0" applyAlignment="0"/>
    <xf numFmtId="231" fontId="153" fillId="0" borderId="0" applyFill="0" applyBorder="0" applyAlignment="0"/>
    <xf numFmtId="236" fontId="153" fillId="0" borderId="0" applyFill="0" applyBorder="0" applyAlignment="0"/>
    <xf numFmtId="232" fontId="153" fillId="0" borderId="0" applyFill="0" applyBorder="0" applyAlignment="0"/>
    <xf numFmtId="49" fontId="97" fillId="0" borderId="0" applyFill="0" applyBorder="0" applyAlignment="0"/>
    <xf numFmtId="240" fontId="97" fillId="0" borderId="0" applyFill="0" applyBorder="0" applyAlignment="0"/>
    <xf numFmtId="241" fontId="97" fillId="0" borderId="0" applyFill="0" applyBorder="0" applyAlignment="0"/>
    <xf numFmtId="200" fontId="152" fillId="0" borderId="0" applyNumberFormat="0" applyFill="0" applyBorder="0" applyAlignment="0" applyProtection="0"/>
    <xf numFmtId="200" fontId="152" fillId="0" borderId="0" applyNumberFormat="0" applyFill="0" applyBorder="0" applyAlignment="0" applyProtection="0"/>
    <xf numFmtId="0" fontId="152" fillId="0" borderId="0" applyNumberFormat="0" applyFill="0" applyBorder="0" applyAlignment="0" applyProtection="0"/>
    <xf numFmtId="200" fontId="152" fillId="0" borderId="0" applyNumberFormat="0" applyFill="0" applyBorder="0" applyAlignment="0" applyProtection="0"/>
    <xf numFmtId="200" fontId="152" fillId="0" borderId="0" applyNumberFormat="0" applyFill="0" applyBorder="0" applyAlignment="0" applyProtection="0"/>
    <xf numFmtId="200" fontId="152" fillId="0" borderId="0" applyNumberFormat="0" applyFill="0" applyBorder="0" applyAlignment="0" applyProtection="0"/>
    <xf numFmtId="200" fontId="152" fillId="0" borderId="0" applyNumberFormat="0" applyFill="0" applyBorder="0" applyAlignment="0" applyProtection="0"/>
    <xf numFmtId="200" fontId="152" fillId="0" borderId="0" applyNumberFormat="0" applyFill="0" applyBorder="0" applyAlignment="0" applyProtection="0"/>
    <xf numFmtId="0" fontId="151" fillId="0" borderId="0" applyNumberFormat="0" applyFill="0" applyBorder="0" applyAlignment="0" applyProtection="0"/>
    <xf numFmtId="0" fontId="103" fillId="0" borderId="45" applyNumberFormat="0" applyFill="0" applyAlignment="0" applyProtection="0"/>
    <xf numFmtId="0" fontId="160" fillId="0" borderId="67" applyNumberFormat="0" applyFill="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200" fontId="11" fillId="0" borderId="0"/>
    <xf numFmtId="200" fontId="11" fillId="0" borderId="0"/>
    <xf numFmtId="200" fontId="11" fillId="0" borderId="0"/>
    <xf numFmtId="200" fontId="11" fillId="0" borderId="0"/>
    <xf numFmtId="0" fontId="11" fillId="0" borderId="0"/>
    <xf numFmtId="200" fontId="11" fillId="0" borderId="0"/>
    <xf numFmtId="200" fontId="11" fillId="0" borderId="0"/>
    <xf numFmtId="200" fontId="11" fillId="0" borderId="0"/>
    <xf numFmtId="0" fontId="11" fillId="0" borderId="0"/>
    <xf numFmtId="200" fontId="11" fillId="0" borderId="0"/>
    <xf numFmtId="200" fontId="11" fillId="0" borderId="0"/>
    <xf numFmtId="200" fontId="11" fillId="0" borderId="0"/>
    <xf numFmtId="200" fontId="11" fillId="0" borderId="0"/>
    <xf numFmtId="200" fontId="11" fillId="0" borderId="0"/>
    <xf numFmtId="200" fontId="11" fillId="0" borderId="0"/>
    <xf numFmtId="200" fontId="11" fillId="0" borderId="0"/>
    <xf numFmtId="200" fontId="11" fillId="0" borderId="0"/>
    <xf numFmtId="200" fontId="11" fillId="0" borderId="0"/>
    <xf numFmtId="200" fontId="11" fillId="0" borderId="0"/>
    <xf numFmtId="200" fontId="11" fillId="0" borderId="0"/>
    <xf numFmtId="200" fontId="11" fillId="0" borderId="0"/>
    <xf numFmtId="200" fontId="11" fillId="0" borderId="0"/>
    <xf numFmtId="200" fontId="11" fillId="0" borderId="0"/>
    <xf numFmtId="200" fontId="11" fillId="0" borderId="0"/>
    <xf numFmtId="0" fontId="11" fillId="0" borderId="0"/>
    <xf numFmtId="200" fontId="11" fillId="0" borderId="0"/>
    <xf numFmtId="200" fontId="11" fillId="0" borderId="0"/>
    <xf numFmtId="200" fontId="11" fillId="0" borderId="0"/>
    <xf numFmtId="0" fontId="11" fillId="0" borderId="0"/>
    <xf numFmtId="200" fontId="11" fillId="0" borderId="0"/>
    <xf numFmtId="200" fontId="11" fillId="0" borderId="0"/>
    <xf numFmtId="200" fontId="11" fillId="0" borderId="0"/>
    <xf numFmtId="200" fontId="11" fillId="0" borderId="0"/>
    <xf numFmtId="200" fontId="11" fillId="0" borderId="0"/>
    <xf numFmtId="200" fontId="11" fillId="0" borderId="0"/>
    <xf numFmtId="200" fontId="11" fillId="0" borderId="0"/>
    <xf numFmtId="200" fontId="11" fillId="0" borderId="0"/>
    <xf numFmtId="0" fontId="167" fillId="0" borderId="56" applyNumberFormat="0" applyBorder="0" applyProtection="0">
      <alignment horizontal="center"/>
    </xf>
    <xf numFmtId="0" fontId="167" fillId="0" borderId="56" applyNumberFormat="0" applyBorder="0" applyProtection="0">
      <alignment horizontal="center"/>
    </xf>
    <xf numFmtId="0" fontId="167" fillId="0" borderId="56" applyNumberFormat="0" applyBorder="0" applyProtection="0">
      <alignment horizontal="center"/>
    </xf>
    <xf numFmtId="0" fontId="167" fillId="0" borderId="56" applyNumberFormat="0" applyBorder="0" applyProtection="0">
      <alignment horizontal="center"/>
    </xf>
    <xf numFmtId="0" fontId="167" fillId="0" borderId="56" applyNumberFormat="0" applyBorder="0" applyProtection="0">
      <alignment horizontal="center"/>
    </xf>
    <xf numFmtId="0" fontId="167" fillId="0" borderId="56" applyNumberFormat="0" applyBorder="0" applyProtection="0">
      <alignment horizontal="center"/>
    </xf>
    <xf numFmtId="0" fontId="167" fillId="0" borderId="56" applyNumberFormat="0" applyBorder="0" applyProtection="0">
      <alignment horizontal="center"/>
    </xf>
    <xf numFmtId="203" fontId="11" fillId="42" borderId="52" applyNumberFormat="0">
      <alignment vertical="center"/>
    </xf>
    <xf numFmtId="202" fontId="11" fillId="43" borderId="52" applyNumberFormat="0">
      <alignment vertical="center"/>
    </xf>
    <xf numFmtId="202" fontId="11" fillId="44" borderId="52" applyNumberFormat="0">
      <alignment vertical="center"/>
    </xf>
    <xf numFmtId="3" fontId="11" fillId="0" borderId="52" applyNumberFormat="0">
      <alignment vertical="center"/>
    </xf>
    <xf numFmtId="202" fontId="11" fillId="41" borderId="52" applyNumberFormat="0">
      <alignment vertical="center"/>
    </xf>
    <xf numFmtId="203" fontId="11" fillId="0" borderId="0" applyFont="0" applyFill="0" applyBorder="0" applyAlignment="0" applyProtection="0"/>
    <xf numFmtId="20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203" fontId="11" fillId="0" borderId="0" applyFont="0" applyFill="0" applyBorder="0" applyAlignment="0" applyProtection="0"/>
    <xf numFmtId="205" fontId="11" fillId="0" borderId="0" applyFont="0" applyFill="0" applyBorder="0" applyAlignment="0" applyProtection="0"/>
    <xf numFmtId="201" fontId="11" fillId="0" borderId="0" applyFont="0" applyFill="0" applyBorder="0" applyAlignment="0" applyProtection="0"/>
    <xf numFmtId="206" fontId="11" fillId="0" borderId="0" applyFont="0" applyFill="0" applyBorder="0" applyAlignment="0" applyProtection="0"/>
    <xf numFmtId="203" fontId="11" fillId="0" borderId="0" applyFont="0" applyFill="0" applyBorder="0" applyAlignment="0" applyProtection="0"/>
    <xf numFmtId="203" fontId="11" fillId="0" borderId="0" applyFont="0" applyFill="0" applyBorder="0" applyAlignment="0" applyProtection="0"/>
    <xf numFmtId="203" fontId="11" fillId="0" borderId="0" applyFont="0" applyFill="0" applyBorder="0" applyAlignment="0" applyProtection="0"/>
    <xf numFmtId="203" fontId="11" fillId="0" borderId="0" applyFont="0" applyFill="0" applyBorder="0" applyAlignment="0" applyProtection="0"/>
    <xf numFmtId="203" fontId="11" fillId="0" borderId="0" applyFont="0" applyFill="0" applyBorder="0" applyAlignment="0" applyProtection="0"/>
    <xf numFmtId="203" fontId="11" fillId="0" borderId="0" applyFont="0" applyFill="0" applyBorder="0" applyAlignment="0" applyProtection="0"/>
    <xf numFmtId="203" fontId="11" fillId="0" borderId="0" applyFont="0" applyFill="0" applyBorder="0" applyAlignment="0" applyProtection="0"/>
    <xf numFmtId="201" fontId="11" fillId="0" borderId="0" applyFont="0" applyFill="0" applyBorder="0" applyAlignment="0" applyProtection="0"/>
    <xf numFmtId="207" fontId="11" fillId="0" borderId="0" applyFont="0" applyFill="0" applyBorder="0" applyAlignment="0" applyProtection="0"/>
    <xf numFmtId="201" fontId="11" fillId="0" borderId="0" applyFont="0" applyFill="0" applyBorder="0" applyAlignment="0" applyProtection="0"/>
    <xf numFmtId="206" fontId="11" fillId="0" borderId="0" applyFont="0" applyFill="0" applyBorder="0" applyAlignment="0" applyProtection="0"/>
    <xf numFmtId="203" fontId="11" fillId="0" borderId="0" applyFont="0" applyFill="0" applyBorder="0" applyAlignment="0" applyProtection="0"/>
    <xf numFmtId="203" fontId="11" fillId="0" borderId="0" applyFont="0" applyFill="0" applyBorder="0" applyAlignment="0" applyProtection="0"/>
    <xf numFmtId="203" fontId="11" fillId="0" borderId="0" applyFont="0" applyFill="0" applyBorder="0" applyAlignment="0" applyProtection="0"/>
    <xf numFmtId="203" fontId="11" fillId="0" borderId="0" applyFont="0" applyFill="0" applyBorder="0" applyAlignment="0" applyProtection="0"/>
    <xf numFmtId="203" fontId="11" fillId="0" borderId="0" applyFont="0" applyFill="0" applyBorder="0" applyAlignment="0" applyProtection="0"/>
    <xf numFmtId="198" fontId="11" fillId="0" borderId="0" applyFont="0" applyFill="0" applyBorder="0" applyAlignment="0" applyProtection="0"/>
    <xf numFmtId="204" fontId="11" fillId="0" borderId="0" applyFont="0" applyFill="0" applyBorder="0" applyAlignment="0" applyProtection="0"/>
    <xf numFmtId="231" fontId="11" fillId="0" borderId="0" applyFont="0" applyFill="0" applyBorder="0" applyAlignment="0" applyProtection="0"/>
    <xf numFmtId="208" fontId="11" fillId="0" borderId="0" applyFont="0" applyFill="0" applyBorder="0" applyAlignment="0" applyProtection="0"/>
    <xf numFmtId="43" fontId="11" fillId="0" borderId="0" applyFont="0" applyFill="0" applyBorder="0" applyAlignment="0" applyProtection="0"/>
    <xf numFmtId="3" fontId="11" fillId="0" borderId="0" applyFill="0" applyBorder="0" applyAlignment="0" applyProtection="0"/>
    <xf numFmtId="232" fontId="11" fillId="0" borderId="0" applyFont="0" applyFill="0" applyBorder="0" applyAlignment="0" applyProtection="0"/>
    <xf numFmtId="204" fontId="11" fillId="0" borderId="0" applyFont="0" applyFill="0" applyBorder="0" applyAlignment="0"/>
    <xf numFmtId="211" fontId="11" fillId="0" borderId="0" applyFill="0" applyBorder="0" applyAlignment="0" applyProtection="0"/>
    <xf numFmtId="238" fontId="180" fillId="0" borderId="0">
      <protection locked="0"/>
    </xf>
    <xf numFmtId="200" fontId="11" fillId="0" borderId="0"/>
    <xf numFmtId="200" fontId="11" fillId="0" borderId="0"/>
    <xf numFmtId="200" fontId="11" fillId="0" borderId="0"/>
    <xf numFmtId="0" fontId="11" fillId="0" borderId="0"/>
    <xf numFmtId="200" fontId="11" fillId="0" borderId="0"/>
    <xf numFmtId="200" fontId="11" fillId="0" borderId="0"/>
    <xf numFmtId="200" fontId="11" fillId="0" borderId="0"/>
    <xf numFmtId="200" fontId="11" fillId="0" borderId="0"/>
    <xf numFmtId="200" fontId="11" fillId="0" borderId="0"/>
    <xf numFmtId="200" fontId="11" fillId="0" borderId="0"/>
    <xf numFmtId="200" fontId="11" fillId="0" borderId="0"/>
    <xf numFmtId="200" fontId="11" fillId="0" borderId="0"/>
    <xf numFmtId="214" fontId="11" fillId="0" borderId="0" applyFont="0" applyFill="0" applyBorder="0" applyAlignment="0" applyProtection="0"/>
    <xf numFmtId="214" fontId="11" fillId="0" borderId="0" applyFont="0" applyFill="0" applyBorder="0" applyAlignment="0" applyProtection="0"/>
    <xf numFmtId="214"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169" fontId="11" fillId="0" borderId="0" applyFont="0" applyFill="0" applyBorder="0" applyAlignment="0" applyProtection="0"/>
    <xf numFmtId="38" fontId="59" fillId="44" borderId="0" applyNumberFormat="0" applyFont="0" applyBorder="0" applyAlignment="0">
      <protection hidden="1"/>
    </xf>
    <xf numFmtId="10" fontId="59" fillId="42" borderId="65" applyNumberFormat="0" applyBorder="0" applyAlignment="0" applyProtection="0"/>
    <xf numFmtId="215" fontId="59" fillId="42" borderId="0" applyFont="0" applyBorder="0" applyAlignment="0" applyProtection="0">
      <protection locked="0"/>
    </xf>
    <xf numFmtId="216" fontId="59" fillId="42" borderId="0">
      <protection locked="0"/>
    </xf>
    <xf numFmtId="10" fontId="59" fillId="42" borderId="0">
      <protection locked="0"/>
    </xf>
    <xf numFmtId="217" fontId="59" fillId="42" borderId="0" applyFont="0" applyBorder="0" applyAlignment="0">
      <protection locked="0"/>
    </xf>
    <xf numFmtId="219"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221" fontId="11" fillId="0" borderId="0"/>
    <xf numFmtId="0" fontId="142" fillId="0" borderId="0"/>
    <xf numFmtId="216" fontId="11" fillId="0" borderId="0" applyFont="0" applyFill="0" applyBorder="0" applyAlignment="0"/>
    <xf numFmtId="40" fontId="59" fillId="0" borderId="0" applyFont="0" applyFill="0" applyBorder="0" applyAlignment="0"/>
    <xf numFmtId="223" fontId="59" fillId="0" borderId="0" applyFont="0" applyFill="0" applyBorder="0" applyAlignment="0"/>
    <xf numFmtId="175" fontId="11" fillId="0" borderId="0"/>
    <xf numFmtId="200" fontId="11" fillId="0" borderId="0"/>
    <xf numFmtId="0" fontId="11" fillId="0" borderId="0"/>
    <xf numFmtId="0" fontId="11" fillId="0" borderId="0"/>
    <xf numFmtId="200" fontId="11" fillId="0" borderId="0"/>
    <xf numFmtId="200" fontId="11" fillId="0" borderId="0"/>
    <xf numFmtId="200" fontId="11" fillId="0" borderId="0"/>
    <xf numFmtId="200" fontId="11" fillId="0" borderId="0"/>
    <xf numFmtId="20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8"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200" fontId="11" fillId="0" borderId="0"/>
    <xf numFmtId="200" fontId="11" fillId="0" borderId="0"/>
    <xf numFmtId="200" fontId="11" fillId="0" borderId="0"/>
    <xf numFmtId="0" fontId="11" fillId="0" borderId="0"/>
    <xf numFmtId="200" fontId="11" fillId="0" borderId="0"/>
    <xf numFmtId="200" fontId="11" fillId="0" borderId="0"/>
    <xf numFmtId="200" fontId="11" fillId="0" borderId="0"/>
    <xf numFmtId="200" fontId="11" fillId="0" borderId="0"/>
    <xf numFmtId="200" fontId="11" fillId="0" borderId="0"/>
    <xf numFmtId="200" fontId="11" fillId="0" borderId="0"/>
    <xf numFmtId="200" fontId="11" fillId="0" borderId="0"/>
    <xf numFmtId="20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200" fontId="11" fillId="0" borderId="0"/>
    <xf numFmtId="200" fontId="11" fillId="0" borderId="0"/>
    <xf numFmtId="0" fontId="11" fillId="0" borderId="0"/>
    <xf numFmtId="0" fontId="11" fillId="0" borderId="0"/>
    <xf numFmtId="0" fontId="11" fillId="0" borderId="0"/>
    <xf numFmtId="0" fontId="11" fillId="0" borderId="0"/>
    <xf numFmtId="0" fontId="11" fillId="0" borderId="0"/>
    <xf numFmtId="0" fontId="5" fillId="0" borderId="0"/>
    <xf numFmtId="0" fontId="5" fillId="0" borderId="0"/>
    <xf numFmtId="0" fontId="5" fillId="0" borderId="0"/>
    <xf numFmtId="0" fontId="11" fillId="0" borderId="0"/>
    <xf numFmtId="200" fontId="11" fillId="56" borderId="62" applyNumberFormat="0" applyFont="0" applyAlignment="0" applyProtection="0"/>
    <xf numFmtId="200" fontId="11" fillId="56" borderId="62" applyNumberFormat="0" applyFont="0" applyAlignment="0" applyProtection="0"/>
    <xf numFmtId="200" fontId="11" fillId="56" borderId="62" applyNumberFormat="0" applyFont="0" applyAlignment="0" applyProtection="0"/>
    <xf numFmtId="200" fontId="11" fillId="56" borderId="62" applyNumberFormat="0" applyFont="0" applyAlignment="0" applyProtection="0"/>
    <xf numFmtId="200" fontId="11" fillId="56" borderId="62" applyNumberFormat="0" applyFont="0" applyAlignment="0" applyProtection="0"/>
    <xf numFmtId="200" fontId="11" fillId="56" borderId="62" applyNumberFormat="0" applyFont="0" applyAlignment="0" applyProtection="0"/>
    <xf numFmtId="200" fontId="11" fillId="56" borderId="62" applyNumberFormat="0" applyFont="0" applyAlignment="0" applyProtection="0"/>
    <xf numFmtId="200" fontId="11" fillId="56" borderId="62" applyNumberFormat="0" applyFont="0" applyAlignment="0" applyProtection="0"/>
    <xf numFmtId="200" fontId="11" fillId="56" borderId="62" applyNumberFormat="0" applyFont="0" applyAlignment="0" applyProtection="0"/>
    <xf numFmtId="200" fontId="11" fillId="56" borderId="62" applyNumberFormat="0" applyFont="0" applyAlignment="0" applyProtection="0"/>
    <xf numFmtId="200" fontId="11" fillId="56" borderId="62" applyNumberFormat="0" applyFont="0" applyAlignment="0" applyProtection="0"/>
    <xf numFmtId="0" fontId="11" fillId="30" borderId="62" applyNumberFormat="0" applyFont="0" applyAlignment="0" applyProtection="0"/>
    <xf numFmtId="0" fontId="11" fillId="30" borderId="62" applyNumberFormat="0" applyFont="0" applyAlignment="0" applyProtection="0"/>
    <xf numFmtId="3" fontId="11" fillId="0" borderId="0" applyFont="0" applyFill="0" applyBorder="0" applyAlignment="0" applyProtection="0">
      <alignment horizontal="right"/>
    </xf>
    <xf numFmtId="0" fontId="167" fillId="60" borderId="65" applyNumberFormat="0" applyBorder="0" applyProtection="0">
      <alignment horizontal="center"/>
    </xf>
    <xf numFmtId="224" fontId="59" fillId="0" borderId="64" applyNumberFormat="0" applyFill="0" applyBorder="0" applyAlignment="0" applyProtection="0"/>
    <xf numFmtId="235" fontId="11" fillId="0" borderId="0" applyFont="0" applyFill="0" applyBorder="0" applyAlignment="0" applyProtection="0"/>
    <xf numFmtId="239" fontId="11" fillId="0" borderId="0" applyFont="0" applyFill="0" applyBorder="0" applyAlignment="0" applyProtection="0"/>
    <xf numFmtId="225" fontId="11" fillId="0" borderId="0" applyFont="0" applyFill="0" applyBorder="0" applyAlignment="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226" fontId="59" fillId="0" borderId="0" applyFont="0" applyFill="0" applyBorder="0" applyAlignment="0" applyProtection="0"/>
    <xf numFmtId="201" fontId="11" fillId="44" borderId="0">
      <alignment horizontal="center" vertical="center"/>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227" fontId="11" fillId="0" borderId="0" applyFont="0" applyFill="0" applyBorder="0" applyAlignment="0" applyProtection="0"/>
    <xf numFmtId="227"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43"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67" fillId="0" borderId="68" applyNumberFormat="0" applyBorder="0" applyProtection="0">
      <alignment horizontal="center"/>
    </xf>
    <xf numFmtId="0" fontId="167" fillId="0" borderId="68" applyNumberFormat="0" applyBorder="0" applyProtection="0">
      <alignment horizontal="center"/>
    </xf>
    <xf numFmtId="0" fontId="167" fillId="0" borderId="68" applyNumberFormat="0" applyBorder="0" applyProtection="0">
      <alignment horizontal="center"/>
    </xf>
    <xf numFmtId="0" fontId="167" fillId="0" borderId="68" applyNumberFormat="0" applyBorder="0" applyProtection="0">
      <alignment horizontal="center"/>
    </xf>
    <xf numFmtId="0" fontId="167" fillId="0" borderId="68" applyNumberFormat="0" applyBorder="0" applyProtection="0">
      <alignment horizontal="center"/>
    </xf>
    <xf numFmtId="0" fontId="167" fillId="0" borderId="68" applyNumberFormat="0" applyBorder="0" applyProtection="0">
      <alignment horizontal="center"/>
    </xf>
    <xf numFmtId="0" fontId="167" fillId="0" borderId="68" applyNumberFormat="0" applyBorder="0" applyProtection="0">
      <alignment horizontal="center"/>
    </xf>
    <xf numFmtId="0" fontId="167" fillId="0" borderId="68" applyNumberFormat="0" applyBorder="0" applyProtection="0">
      <alignment horizontal="center"/>
    </xf>
    <xf numFmtId="0" fontId="167" fillId="0" borderId="68" applyNumberFormat="0" applyBorder="0" applyProtection="0">
      <alignment horizontal="center"/>
    </xf>
    <xf numFmtId="0" fontId="167" fillId="0" borderId="68" applyNumberFormat="0" applyBorder="0" applyProtection="0">
      <alignment horizontal="center"/>
    </xf>
    <xf numFmtId="0" fontId="167" fillId="0" borderId="68" applyNumberFormat="0" applyBorder="0" applyProtection="0">
      <alignment horizontal="center"/>
    </xf>
    <xf numFmtId="0" fontId="167" fillId="0" borderId="68" applyNumberFormat="0" applyBorder="0" applyProtection="0">
      <alignment horizontal="center"/>
    </xf>
    <xf numFmtId="0" fontId="167" fillId="0" borderId="68" applyNumberFormat="0" applyBorder="0" applyProtection="0">
      <alignment horizontal="center"/>
    </xf>
    <xf numFmtId="0" fontId="167" fillId="0" borderId="68" applyNumberFormat="0" applyBorder="0" applyProtection="0">
      <alignment horizontal="center"/>
    </xf>
    <xf numFmtId="0" fontId="167" fillId="0" borderId="68" applyNumberFormat="0" applyBorder="0" applyProtection="0">
      <alignment horizontal="center"/>
    </xf>
    <xf numFmtId="0" fontId="11" fillId="0" borderId="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0" fontId="11" fillId="0" borderId="0"/>
    <xf numFmtId="0" fontId="11" fillId="0" borderId="0"/>
    <xf numFmtId="0" fontId="11" fillId="0" borderId="0"/>
    <xf numFmtId="0" fontId="11" fillId="0" borderId="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11"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5" fillId="0" borderId="0" applyFont="0" applyFill="0" applyBorder="0" applyAlignment="0" applyProtection="0"/>
    <xf numFmtId="43" fontId="1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1" fillId="0" borderId="0" applyFont="0" applyFill="0" applyBorder="0" applyAlignment="0" applyProtection="0"/>
    <xf numFmtId="43" fontId="144" fillId="0" borderId="0" applyFont="0" applyFill="0" applyBorder="0" applyAlignment="0" applyProtection="0"/>
    <xf numFmtId="43" fontId="5"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0" fontId="11" fillId="0" borderId="0"/>
    <xf numFmtId="0" fontId="11" fillId="0" borderId="0"/>
    <xf numFmtId="0" fontId="11" fillId="0" borderId="0"/>
    <xf numFmtId="0" fontId="90" fillId="0" borderId="0" applyNumberFormat="0" applyFill="0" applyBorder="0" applyAlignment="0" applyProtection="0"/>
    <xf numFmtId="0" fontId="11" fillId="0" borderId="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0" fontId="11" fillId="0" borderId="0"/>
    <xf numFmtId="0" fontId="11" fillId="0" borderId="0"/>
    <xf numFmtId="0" fontId="11" fillId="0" borderId="0"/>
    <xf numFmtId="0" fontId="219" fillId="0" borderId="0"/>
    <xf numFmtId="0" fontId="219" fillId="0" borderId="0"/>
    <xf numFmtId="0" fontId="11" fillId="0" borderId="0"/>
    <xf numFmtId="0" fontId="11" fillId="0" borderId="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0" fontId="11" fillId="0" borderId="0"/>
    <xf numFmtId="0" fontId="11" fillId="0" borderId="0"/>
    <xf numFmtId="0" fontId="11" fillId="0" borderId="0"/>
    <xf numFmtId="0" fontId="11" fillId="0" borderId="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0" fontId="11" fillId="0" borderId="0"/>
    <xf numFmtId="0" fontId="11" fillId="0" borderId="0"/>
    <xf numFmtId="0" fontId="11" fillId="0" borderId="0"/>
    <xf numFmtId="0" fontId="11" fillId="0" borderId="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0" fontId="11" fillId="0" borderId="0"/>
    <xf numFmtId="0" fontId="11" fillId="0" borderId="0"/>
    <xf numFmtId="0" fontId="11" fillId="0" borderId="0"/>
    <xf numFmtId="0" fontId="11" fillId="0" borderId="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11"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5" fillId="0" borderId="0" applyFont="0" applyFill="0" applyBorder="0" applyAlignment="0" applyProtection="0"/>
    <xf numFmtId="43" fontId="1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1" fillId="0" borderId="0" applyFont="0" applyFill="0" applyBorder="0" applyAlignment="0" applyProtection="0"/>
    <xf numFmtId="43" fontId="144" fillId="0" borderId="0" applyFont="0" applyFill="0" applyBorder="0" applyAlignment="0" applyProtection="0"/>
    <xf numFmtId="43" fontId="5"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0" fontId="11" fillId="0" borderId="0"/>
    <xf numFmtId="0" fontId="11" fillId="0" borderId="0"/>
    <xf numFmtId="0" fontId="11" fillId="0" borderId="0"/>
    <xf numFmtId="0" fontId="11" fillId="0" borderId="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11"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5" fillId="0" borderId="0" applyFont="0" applyFill="0" applyBorder="0" applyAlignment="0" applyProtection="0"/>
    <xf numFmtId="43" fontId="1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1" fillId="0" borderId="0" applyFont="0" applyFill="0" applyBorder="0" applyAlignment="0" applyProtection="0"/>
    <xf numFmtId="43" fontId="144" fillId="0" borderId="0" applyFont="0" applyFill="0" applyBorder="0" applyAlignment="0" applyProtection="0"/>
    <xf numFmtId="43" fontId="5"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0" fontId="11" fillId="0" borderId="0"/>
    <xf numFmtId="0" fontId="11" fillId="0" borderId="0"/>
    <xf numFmtId="0" fontId="11" fillId="0" borderId="0"/>
    <xf numFmtId="0" fontId="11" fillId="0" borderId="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11"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5" fillId="0" borderId="0" applyFont="0" applyFill="0" applyBorder="0" applyAlignment="0" applyProtection="0"/>
    <xf numFmtId="43" fontId="1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1" fillId="0" borderId="0" applyFont="0" applyFill="0" applyBorder="0" applyAlignment="0" applyProtection="0"/>
    <xf numFmtId="43" fontId="144" fillId="0" borderId="0" applyFont="0" applyFill="0" applyBorder="0" applyAlignment="0" applyProtection="0"/>
    <xf numFmtId="43" fontId="5"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0" fontId="11" fillId="0" borderId="0"/>
    <xf numFmtId="0" fontId="11" fillId="0" borderId="0"/>
    <xf numFmtId="0" fontId="11" fillId="0" borderId="0"/>
    <xf numFmtId="0" fontId="11" fillId="0" borderId="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11"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5" fillId="0" borderId="0" applyFont="0" applyFill="0" applyBorder="0" applyAlignment="0" applyProtection="0"/>
    <xf numFmtId="43" fontId="1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1" fillId="0" borderId="0" applyFont="0" applyFill="0" applyBorder="0" applyAlignment="0" applyProtection="0"/>
    <xf numFmtId="43" fontId="144" fillId="0" borderId="0" applyFont="0" applyFill="0" applyBorder="0" applyAlignment="0" applyProtection="0"/>
    <xf numFmtId="43" fontId="5"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0" fontId="11" fillId="0" borderId="0"/>
    <xf numFmtId="0" fontId="11" fillId="0" borderId="0"/>
    <xf numFmtId="0" fontId="11" fillId="0" borderId="0"/>
    <xf numFmtId="0" fontId="11" fillId="0" borderId="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11"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5" fillId="0" borderId="0" applyFont="0" applyFill="0" applyBorder="0" applyAlignment="0" applyProtection="0"/>
    <xf numFmtId="43" fontId="1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1" fillId="0" borderId="0" applyFont="0" applyFill="0" applyBorder="0" applyAlignment="0" applyProtection="0"/>
    <xf numFmtId="43" fontId="144" fillId="0" borderId="0" applyFont="0" applyFill="0" applyBorder="0" applyAlignment="0" applyProtection="0"/>
    <xf numFmtId="43" fontId="5"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0" fontId="11" fillId="0" borderId="0"/>
    <xf numFmtId="0" fontId="11" fillId="0" borderId="0"/>
    <xf numFmtId="0" fontId="11" fillId="0" borderId="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11"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5" fillId="0" borderId="0" applyFont="0" applyFill="0" applyBorder="0" applyAlignment="0" applyProtection="0"/>
    <xf numFmtId="43" fontId="1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1" fillId="0" borderId="0" applyFont="0" applyFill="0" applyBorder="0" applyAlignment="0" applyProtection="0"/>
    <xf numFmtId="43" fontId="144" fillId="0" borderId="0" applyFont="0" applyFill="0" applyBorder="0" applyAlignment="0" applyProtection="0"/>
    <xf numFmtId="43" fontId="5"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0" fontId="11" fillId="0" borderId="0"/>
    <xf numFmtId="0" fontId="11" fillId="0" borderId="0"/>
    <xf numFmtId="0" fontId="11" fillId="0" borderId="0"/>
    <xf numFmtId="0" fontId="11" fillId="0" borderId="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11"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5" fillId="0" borderId="0" applyFont="0" applyFill="0" applyBorder="0" applyAlignment="0" applyProtection="0"/>
    <xf numFmtId="43" fontId="1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1" fillId="0" borderId="0" applyFont="0" applyFill="0" applyBorder="0" applyAlignment="0" applyProtection="0"/>
    <xf numFmtId="43" fontId="144" fillId="0" borderId="0" applyFont="0" applyFill="0" applyBorder="0" applyAlignment="0" applyProtection="0"/>
    <xf numFmtId="43" fontId="5"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0" fontId="11" fillId="0" borderId="0"/>
    <xf numFmtId="0" fontId="11" fillId="0" borderId="0"/>
    <xf numFmtId="0" fontId="11" fillId="0" borderId="0"/>
    <xf numFmtId="164" fontId="5" fillId="0" borderId="0" applyFont="0" applyFill="0" applyBorder="0" applyAlignment="0" applyProtection="0"/>
    <xf numFmtId="0" fontId="11" fillId="0" borderId="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11"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5" fillId="0" borderId="0" applyFont="0" applyFill="0" applyBorder="0" applyAlignment="0" applyProtection="0"/>
    <xf numFmtId="43" fontId="1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1" fillId="0" borderId="0" applyFont="0" applyFill="0" applyBorder="0" applyAlignment="0" applyProtection="0"/>
    <xf numFmtId="43" fontId="144" fillId="0" borderId="0" applyFont="0" applyFill="0" applyBorder="0" applyAlignment="0" applyProtection="0"/>
    <xf numFmtId="43" fontId="5"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0" fontId="11" fillId="0" borderId="0"/>
    <xf numFmtId="0" fontId="11" fillId="0" borderId="0"/>
    <xf numFmtId="0" fontId="11" fillId="0" borderId="0"/>
    <xf numFmtId="0" fontId="11" fillId="0" borderId="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11"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5" fillId="0" borderId="0" applyFont="0" applyFill="0" applyBorder="0" applyAlignment="0" applyProtection="0"/>
    <xf numFmtId="43" fontId="1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1" fillId="0" borderId="0" applyFont="0" applyFill="0" applyBorder="0" applyAlignment="0" applyProtection="0"/>
    <xf numFmtId="43" fontId="144" fillId="0" borderId="0" applyFont="0" applyFill="0" applyBorder="0" applyAlignment="0" applyProtection="0"/>
    <xf numFmtId="43" fontId="5"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0" fontId="11" fillId="0" borderId="0"/>
    <xf numFmtId="0" fontId="11" fillId="0" borderId="0"/>
    <xf numFmtId="0" fontId="11" fillId="0" borderId="0"/>
    <xf numFmtId="0" fontId="11" fillId="0" borderId="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11"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5" fillId="0" borderId="0" applyFont="0" applyFill="0" applyBorder="0" applyAlignment="0" applyProtection="0"/>
    <xf numFmtId="43" fontId="1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1" fillId="0" borderId="0" applyFont="0" applyFill="0" applyBorder="0" applyAlignment="0" applyProtection="0"/>
    <xf numFmtId="43" fontId="144" fillId="0" borderId="0" applyFont="0" applyFill="0" applyBorder="0" applyAlignment="0" applyProtection="0"/>
    <xf numFmtId="43" fontId="5"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0" fontId="11" fillId="0" borderId="0"/>
    <xf numFmtId="0" fontId="11" fillId="0" borderId="0"/>
    <xf numFmtId="0" fontId="11" fillId="0" borderId="0"/>
  </cellStyleXfs>
  <cellXfs count="1798">
    <xf numFmtId="0" fontId="0" fillId="0" borderId="0" xfId="0"/>
    <xf numFmtId="0" fontId="5" fillId="0" borderId="0" xfId="4"/>
    <xf numFmtId="166" fontId="10" fillId="4" borderId="0" xfId="6" applyNumberFormat="1" applyFont="1" applyFill="1" applyAlignment="1">
      <alignment vertical="center"/>
    </xf>
    <xf numFmtId="165" fontId="10" fillId="4" borderId="0" xfId="5" applyNumberFormat="1" applyFont="1" applyFill="1" applyAlignment="1">
      <alignment vertical="center"/>
    </xf>
    <xf numFmtId="165" fontId="10" fillId="3" borderId="0" xfId="5" applyNumberFormat="1" applyFont="1" applyFill="1" applyAlignment="1">
      <alignment vertical="center"/>
    </xf>
    <xf numFmtId="3" fontId="10" fillId="4" borderId="0" xfId="5" applyNumberFormat="1" applyFont="1" applyFill="1" applyAlignment="1">
      <alignment vertical="center"/>
    </xf>
    <xf numFmtId="166" fontId="10" fillId="4" borderId="0" xfId="6" applyNumberFormat="1" applyFont="1" applyFill="1" applyAlignment="1">
      <alignment horizontal="right" vertical="center" wrapText="1"/>
    </xf>
    <xf numFmtId="0" fontId="11" fillId="4" borderId="0" xfId="7" applyFill="1" applyAlignment="1">
      <alignment vertical="center"/>
    </xf>
    <xf numFmtId="165" fontId="10" fillId="5" borderId="0" xfId="5" applyNumberFormat="1" applyFont="1" applyFill="1" applyAlignment="1">
      <alignment vertical="center"/>
    </xf>
    <xf numFmtId="165" fontId="12" fillId="3" borderId="2" xfId="1" applyNumberFormat="1" applyFont="1" applyFill="1" applyBorder="1" applyAlignment="1">
      <alignment vertical="center"/>
    </xf>
    <xf numFmtId="0" fontId="13" fillId="3" borderId="2" xfId="7" applyFont="1" applyFill="1" applyBorder="1" applyAlignment="1">
      <alignment vertical="center"/>
    </xf>
    <xf numFmtId="165" fontId="14" fillId="3" borderId="2" xfId="1" applyNumberFormat="1" applyFont="1" applyFill="1" applyBorder="1" applyAlignment="1">
      <alignment horizontal="center" vertical="center" wrapText="1"/>
    </xf>
    <xf numFmtId="0" fontId="13" fillId="3" borderId="0" xfId="7" applyFont="1" applyFill="1" applyAlignment="1">
      <alignment vertical="center"/>
    </xf>
    <xf numFmtId="0" fontId="7" fillId="0" borderId="0" xfId="2" applyFill="1" applyAlignment="1">
      <alignment vertical="center"/>
    </xf>
    <xf numFmtId="0" fontId="11" fillId="0" borderId="0" xfId="7" applyBorder="1" applyAlignment="1">
      <alignment vertical="center"/>
    </xf>
    <xf numFmtId="0" fontId="11" fillId="0" borderId="0" xfId="7" applyAlignment="1">
      <alignment vertical="center"/>
    </xf>
    <xf numFmtId="0" fontId="11" fillId="0" borderId="0" xfId="7"/>
    <xf numFmtId="0" fontId="11" fillId="3" borderId="0" xfId="7" applyFill="1"/>
    <xf numFmtId="165" fontId="10" fillId="3" borderId="0" xfId="5" applyNumberFormat="1" applyFont="1" applyFill="1" applyBorder="1" applyAlignment="1">
      <alignment vertical="center"/>
    </xf>
    <xf numFmtId="168" fontId="11" fillId="3" borderId="0" xfId="7" applyNumberFormat="1" applyFill="1"/>
    <xf numFmtId="0" fontId="11" fillId="3" borderId="0" xfId="7" applyFill="1" applyBorder="1"/>
    <xf numFmtId="165" fontId="12" fillId="0" borderId="2" xfId="1" applyNumberFormat="1" applyFont="1" applyFill="1" applyBorder="1" applyAlignment="1" applyProtection="1">
      <alignment vertical="center"/>
      <protection locked="0"/>
    </xf>
    <xf numFmtId="165" fontId="29" fillId="0" borderId="0" xfId="12" applyNumberFormat="1" applyFont="1" applyFill="1" applyAlignment="1" applyProtection="1">
      <alignment vertical="center"/>
      <protection locked="0"/>
    </xf>
    <xf numFmtId="173" fontId="29" fillId="0" borderId="0" xfId="11" applyNumberFormat="1" applyFont="1" applyFill="1" applyAlignment="1" applyProtection="1">
      <alignment vertical="center"/>
      <protection locked="0"/>
    </xf>
    <xf numFmtId="43" fontId="29" fillId="0" borderId="0" xfId="11" applyFont="1" applyFill="1" applyAlignment="1" applyProtection="1">
      <alignment vertical="center"/>
      <protection locked="0"/>
    </xf>
    <xf numFmtId="165" fontId="34" fillId="0" borderId="0" xfId="16" applyNumberFormat="1" applyFont="1" applyFill="1" applyAlignment="1" applyProtection="1">
      <alignment vertical="center"/>
      <protection locked="0"/>
    </xf>
    <xf numFmtId="43" fontId="32" fillId="0" borderId="0" xfId="11" applyFont="1" applyFill="1" applyProtection="1">
      <protection locked="0"/>
    </xf>
    <xf numFmtId="174" fontId="32" fillId="0" borderId="0" xfId="11" applyNumberFormat="1" applyFont="1" applyFill="1" applyProtection="1">
      <protection locked="0"/>
    </xf>
    <xf numFmtId="165" fontId="30" fillId="0" borderId="0" xfId="12" applyNumberFormat="1" applyFont="1" applyFill="1" applyAlignment="1" applyProtection="1">
      <alignment vertical="center"/>
      <protection locked="0"/>
    </xf>
    <xf numFmtId="175" fontId="32" fillId="0" borderId="0" xfId="11" applyNumberFormat="1" applyFont="1" applyFill="1" applyProtection="1">
      <protection locked="0"/>
    </xf>
    <xf numFmtId="173" fontId="32" fillId="0" borderId="0" xfId="11" applyNumberFormat="1" applyFont="1" applyFill="1" applyProtection="1">
      <protection locked="0"/>
    </xf>
    <xf numFmtId="43" fontId="29" fillId="0" borderId="0" xfId="11" applyFont="1" applyFill="1" applyProtection="1">
      <protection locked="0"/>
    </xf>
    <xf numFmtId="43" fontId="29" fillId="0" borderId="0" xfId="17" applyFont="1" applyFill="1" applyAlignment="1" applyProtection="1">
      <alignment vertical="center"/>
      <protection locked="0"/>
    </xf>
    <xf numFmtId="0" fontId="32" fillId="0" borderId="0" xfId="7" applyFont="1" applyFill="1" applyProtection="1">
      <protection locked="0"/>
    </xf>
    <xf numFmtId="174" fontId="29" fillId="0" borderId="0" xfId="11" applyNumberFormat="1" applyFont="1" applyFill="1" applyAlignment="1" applyProtection="1">
      <alignment vertical="center"/>
      <protection locked="0"/>
    </xf>
    <xf numFmtId="177" fontId="32" fillId="0" borderId="0" xfId="11" applyNumberFormat="1" applyFont="1" applyFill="1" applyProtection="1">
      <protection locked="0"/>
    </xf>
    <xf numFmtId="178" fontId="32" fillId="0" borderId="0" xfId="11" applyNumberFormat="1" applyFont="1" applyFill="1" applyProtection="1">
      <protection locked="0"/>
    </xf>
    <xf numFmtId="179" fontId="32" fillId="0" borderId="0" xfId="11" applyNumberFormat="1" applyFont="1" applyFill="1" applyProtection="1">
      <protection locked="0"/>
    </xf>
    <xf numFmtId="165" fontId="29" fillId="0" borderId="0" xfId="18" applyNumberFormat="1" applyFont="1" applyFill="1" applyBorder="1" applyAlignment="1" applyProtection="1">
      <alignment horizontal="right" vertical="center"/>
      <protection locked="0"/>
    </xf>
    <xf numFmtId="179" fontId="29" fillId="0" borderId="0" xfId="11" applyNumberFormat="1" applyFont="1" applyFill="1" applyProtection="1">
      <protection locked="0"/>
    </xf>
    <xf numFmtId="180" fontId="32" fillId="0" borderId="0" xfId="11" applyNumberFormat="1" applyFont="1" applyFill="1" applyProtection="1">
      <protection locked="0"/>
    </xf>
    <xf numFmtId="165" fontId="33" fillId="0" borderId="0" xfId="12" applyNumberFormat="1" applyFont="1" applyFill="1" applyAlignment="1" applyProtection="1">
      <alignment vertical="center"/>
      <protection locked="0"/>
    </xf>
    <xf numFmtId="165" fontId="29" fillId="0" borderId="0" xfId="9" applyNumberFormat="1" applyFont="1" applyFill="1" applyAlignment="1" applyProtection="1">
      <alignment vertical="center"/>
      <protection locked="0"/>
    </xf>
    <xf numFmtId="0" fontId="32" fillId="0" borderId="0" xfId="18" applyFont="1" applyFill="1" applyProtection="1">
      <protection locked="0"/>
    </xf>
    <xf numFmtId="165" fontId="29" fillId="0" borderId="0" xfId="9" applyNumberFormat="1" applyFont="1" applyFill="1" applyBorder="1" applyAlignment="1" applyProtection="1">
      <alignment vertical="center"/>
      <protection locked="0"/>
    </xf>
    <xf numFmtId="43" fontId="32" fillId="0" borderId="0" xfId="18" applyNumberFormat="1" applyFont="1" applyFill="1" applyProtection="1">
      <protection locked="0"/>
    </xf>
    <xf numFmtId="43" fontId="29" fillId="0" borderId="0" xfId="11" applyFont="1" applyFill="1" applyBorder="1" applyAlignment="1" applyProtection="1">
      <alignment vertical="center"/>
      <protection locked="0"/>
    </xf>
    <xf numFmtId="165" fontId="29" fillId="0" borderId="0" xfId="9" applyNumberFormat="1" applyFont="1" applyFill="1" applyBorder="1" applyAlignment="1" applyProtection="1">
      <alignment horizontal="left" vertical="center" indent="2"/>
      <protection locked="0"/>
    </xf>
    <xf numFmtId="0" fontId="37" fillId="0" borderId="0" xfId="9" applyFont="1" applyFill="1" applyProtection="1">
      <protection locked="0"/>
    </xf>
    <xf numFmtId="166" fontId="10" fillId="0" borderId="0" xfId="6" applyNumberFormat="1" applyFont="1" applyFill="1" applyAlignment="1">
      <alignment horizontal="right" vertical="center" wrapText="1"/>
    </xf>
    <xf numFmtId="165" fontId="10" fillId="0" borderId="0" xfId="5" applyNumberFormat="1" applyFont="1" applyFill="1" applyAlignment="1">
      <alignment vertical="center"/>
    </xf>
    <xf numFmtId="165" fontId="39" fillId="0" borderId="2" xfId="1" applyNumberFormat="1" applyFont="1" applyFill="1" applyBorder="1" applyAlignment="1">
      <alignment vertical="center"/>
    </xf>
    <xf numFmtId="165" fontId="39" fillId="0" borderId="0" xfId="1" applyNumberFormat="1" applyFont="1" applyFill="1" applyBorder="1" applyAlignment="1">
      <alignment vertical="center"/>
    </xf>
    <xf numFmtId="0" fontId="40" fillId="0" borderId="0" xfId="19" applyFont="1" applyFill="1"/>
    <xf numFmtId="165" fontId="41" fillId="0" borderId="0" xfId="1" applyNumberFormat="1" applyFont="1" applyFill="1" applyBorder="1" applyAlignment="1">
      <alignment horizontal="center" vertical="center"/>
    </xf>
    <xf numFmtId="165" fontId="30" fillId="0" borderId="0" xfId="12" quotePrefix="1" applyNumberFormat="1" applyFont="1" applyFill="1" applyBorder="1" applyAlignment="1" applyProtection="1">
      <alignment horizontal="center" vertical="center" wrapText="1"/>
      <protection locked="0"/>
    </xf>
    <xf numFmtId="165" fontId="25" fillId="0" borderId="0" xfId="12" quotePrefix="1" applyNumberFormat="1" applyFont="1" applyFill="1" applyBorder="1" applyAlignment="1">
      <alignment horizontal="center" vertical="center" wrapText="1"/>
    </xf>
    <xf numFmtId="43" fontId="40" fillId="0" borderId="0" xfId="11" applyFont="1" applyFill="1"/>
    <xf numFmtId="165" fontId="40" fillId="0" borderId="0" xfId="19" applyNumberFormat="1" applyFont="1" applyFill="1"/>
    <xf numFmtId="181" fontId="40" fillId="0" borderId="0" xfId="19" applyNumberFormat="1" applyFont="1" applyFill="1"/>
    <xf numFmtId="43" fontId="40" fillId="0" borderId="0" xfId="19" applyNumberFormat="1" applyFont="1" applyFill="1"/>
    <xf numFmtId="182" fontId="40" fillId="0" borderId="0" xfId="11" applyNumberFormat="1" applyFont="1" applyFill="1"/>
    <xf numFmtId="165" fontId="21" fillId="0" borderId="0" xfId="18" applyNumberFormat="1" applyFont="1" applyFill="1" applyAlignment="1">
      <alignment vertical="center"/>
    </xf>
    <xf numFmtId="165" fontId="21" fillId="0" borderId="0" xfId="12" applyNumberFormat="1" applyFont="1" applyFill="1" applyAlignment="1">
      <alignment vertical="center"/>
    </xf>
    <xf numFmtId="0" fontId="21" fillId="0" borderId="0" xfId="16" applyFont="1" applyFill="1"/>
    <xf numFmtId="165" fontId="25" fillId="0" borderId="0" xfId="16" applyNumberFormat="1" applyFont="1" applyFill="1" applyAlignment="1">
      <alignment vertical="center"/>
    </xf>
    <xf numFmtId="43" fontId="21" fillId="0" borderId="0" xfId="11" applyFont="1" applyFill="1"/>
    <xf numFmtId="0" fontId="21" fillId="0" borderId="0" xfId="16" applyFont="1" applyFill="1" applyBorder="1"/>
    <xf numFmtId="4" fontId="21" fillId="0" borderId="0" xfId="16" applyNumberFormat="1" applyFont="1" applyFill="1"/>
    <xf numFmtId="171" fontId="21" fillId="0" borderId="0" xfId="16" applyNumberFormat="1" applyFont="1" applyFill="1" applyBorder="1" applyAlignment="1">
      <alignment horizontal="right"/>
    </xf>
    <xf numFmtId="176" fontId="21" fillId="0" borderId="0" xfId="11" applyNumberFormat="1" applyFont="1" applyFill="1"/>
    <xf numFmtId="0" fontId="21" fillId="0" borderId="0" xfId="16" applyFont="1" applyFill="1" applyBorder="1" applyAlignment="1">
      <alignment horizontal="right"/>
    </xf>
    <xf numFmtId="165" fontId="29" fillId="0" borderId="0" xfId="16" applyNumberFormat="1" applyFont="1" applyFill="1" applyBorder="1"/>
    <xf numFmtId="184" fontId="21" fillId="0" borderId="0" xfId="16" applyNumberFormat="1" applyFont="1" applyFill="1" applyBorder="1"/>
    <xf numFmtId="0" fontId="44" fillId="0" borderId="0" xfId="16" applyFont="1" applyFill="1"/>
    <xf numFmtId="186" fontId="21" fillId="0" borderId="0" xfId="16" applyNumberFormat="1" applyFont="1" applyFill="1"/>
    <xf numFmtId="187" fontId="21" fillId="0" borderId="0" xfId="16" applyNumberFormat="1" applyFont="1" applyFill="1"/>
    <xf numFmtId="0" fontId="21" fillId="0" borderId="0" xfId="16" applyFont="1" applyFill="1" applyBorder="1" applyAlignment="1">
      <alignment horizontal="left" vertical="top" wrapText="1"/>
    </xf>
    <xf numFmtId="0" fontId="21" fillId="0" borderId="0" xfId="16" applyFont="1" applyFill="1" applyAlignment="1">
      <alignment horizontal="left" vertical="top" wrapText="1"/>
    </xf>
    <xf numFmtId="165" fontId="21" fillId="0" borderId="0" xfId="12" applyNumberFormat="1" applyFont="1" applyFill="1" applyAlignment="1">
      <alignment horizontal="left" vertical="center" wrapText="1"/>
    </xf>
    <xf numFmtId="165" fontId="21" fillId="0" borderId="0" xfId="16" applyNumberFormat="1" applyFont="1" applyFill="1"/>
    <xf numFmtId="3" fontId="10" fillId="0" borderId="0" xfId="5" applyNumberFormat="1" applyFont="1" applyFill="1" applyAlignment="1">
      <alignment vertical="center"/>
    </xf>
    <xf numFmtId="2" fontId="45" fillId="0" borderId="0" xfId="1" applyNumberFormat="1" applyFont="1" applyFill="1" applyBorder="1" applyAlignment="1">
      <alignment horizontal="right" vertical="center"/>
    </xf>
    <xf numFmtId="0" fontId="21" fillId="0" borderId="0" xfId="16" applyFont="1" applyFill="1" applyBorder="1" applyAlignment="1">
      <alignment vertical="center"/>
    </xf>
    <xf numFmtId="165" fontId="21" fillId="0" borderId="0" xfId="12" applyNumberFormat="1" applyFont="1" applyFill="1" applyBorder="1" applyAlignment="1">
      <alignment horizontal="center" vertical="center" wrapText="1"/>
    </xf>
    <xf numFmtId="49" fontId="25" fillId="0" borderId="0" xfId="12" applyNumberFormat="1" applyFont="1" applyFill="1" applyBorder="1" applyAlignment="1">
      <alignment horizontal="center" vertical="center" wrapText="1"/>
    </xf>
    <xf numFmtId="165" fontId="21" fillId="0" borderId="0" xfId="18" applyNumberFormat="1" applyFont="1" applyFill="1" applyBorder="1" applyAlignment="1">
      <alignment horizontal="center" vertical="center" wrapText="1"/>
    </xf>
    <xf numFmtId="165" fontId="21" fillId="0" borderId="0" xfId="9" applyNumberFormat="1" applyFont="1" applyFill="1" applyAlignment="1">
      <alignment vertical="center"/>
    </xf>
    <xf numFmtId="43" fontId="21" fillId="0" borderId="0" xfId="11" applyFont="1" applyFill="1" applyAlignment="1">
      <alignment vertical="center"/>
    </xf>
    <xf numFmtId="43" fontId="47" fillId="0" borderId="0" xfId="11" applyFont="1" applyFill="1"/>
    <xf numFmtId="171" fontId="40" fillId="0" borderId="0" xfId="19" applyNumberFormat="1" applyFont="1" applyFill="1"/>
    <xf numFmtId="174" fontId="47" fillId="0" borderId="0" xfId="11" applyNumberFormat="1" applyFont="1" applyFill="1"/>
    <xf numFmtId="168" fontId="40" fillId="0" borderId="0" xfId="19" applyNumberFormat="1" applyFont="1" applyFill="1"/>
    <xf numFmtId="188" fontId="40" fillId="0" borderId="0" xfId="19" applyNumberFormat="1" applyFont="1" applyFill="1"/>
    <xf numFmtId="189" fontId="40" fillId="0" borderId="0" xfId="19" applyNumberFormat="1" applyFont="1" applyFill="1"/>
    <xf numFmtId="190" fontId="40" fillId="0" borderId="0" xfId="19" applyNumberFormat="1" applyFont="1" applyFill="1"/>
    <xf numFmtId="191" fontId="40" fillId="0" borderId="0" xfId="19" applyNumberFormat="1" applyFont="1" applyFill="1"/>
    <xf numFmtId="0" fontId="11" fillId="0" borderId="0" xfId="18" applyFill="1"/>
    <xf numFmtId="43" fontId="21" fillId="0" borderId="0" xfId="17" applyFont="1" applyFill="1" applyAlignment="1">
      <alignment vertical="center"/>
    </xf>
    <xf numFmtId="0" fontId="48" fillId="0" borderId="0" xfId="19" applyFont="1" applyFill="1" applyAlignment="1"/>
    <xf numFmtId="0" fontId="44" fillId="0" borderId="0" xfId="19" applyFont="1" applyFill="1"/>
    <xf numFmtId="0" fontId="50" fillId="0" borderId="0" xfId="19" applyFont="1" applyFill="1" applyAlignment="1">
      <alignment vertical="top" wrapText="1"/>
    </xf>
    <xf numFmtId="0" fontId="51" fillId="0" borderId="0" xfId="19" applyFont="1" applyFill="1"/>
    <xf numFmtId="165" fontId="52" fillId="0" borderId="0" xfId="5" applyNumberFormat="1" applyFont="1" applyFill="1" applyAlignment="1">
      <alignment vertical="center"/>
    </xf>
    <xf numFmtId="165" fontId="53" fillId="0" borderId="0" xfId="5" applyNumberFormat="1" applyFont="1" applyFill="1" applyAlignment="1">
      <alignment vertical="center"/>
    </xf>
    <xf numFmtId="0" fontId="21" fillId="0" borderId="0" xfId="19" applyFont="1" applyFill="1"/>
    <xf numFmtId="165" fontId="51" fillId="0" borderId="0" xfId="12" applyNumberFormat="1" applyFont="1" applyFill="1" applyAlignment="1">
      <alignment vertical="center"/>
    </xf>
    <xf numFmtId="0" fontId="51" fillId="0" borderId="0" xfId="20" applyFont="1" applyFill="1"/>
    <xf numFmtId="172" fontId="10" fillId="0" borderId="0" xfId="5" applyNumberFormat="1" applyFont="1" applyFill="1" applyAlignment="1">
      <alignment vertical="center"/>
    </xf>
    <xf numFmtId="172" fontId="39" fillId="0" borderId="2" xfId="1" applyNumberFormat="1" applyFont="1" applyFill="1" applyBorder="1" applyAlignment="1">
      <alignment vertical="center"/>
    </xf>
    <xf numFmtId="0" fontId="40" fillId="0" borderId="0" xfId="20" applyFont="1" applyFill="1"/>
    <xf numFmtId="172" fontId="21" fillId="0" borderId="0" xfId="12" applyNumberFormat="1" applyFont="1" applyFill="1" applyAlignment="1">
      <alignment vertical="center"/>
    </xf>
    <xf numFmtId="0" fontId="11" fillId="0" borderId="0" xfId="18" applyFill="1" applyBorder="1"/>
    <xf numFmtId="165" fontId="40" fillId="0" borderId="0" xfId="20" applyNumberFormat="1" applyFont="1" applyFill="1"/>
    <xf numFmtId="165" fontId="29" fillId="0" borderId="0" xfId="12" applyNumberFormat="1" applyFont="1" applyFill="1" applyBorder="1" applyAlignment="1" applyProtection="1">
      <alignment vertical="center"/>
      <protection locked="0"/>
    </xf>
    <xf numFmtId="192" fontId="40" fillId="0" borderId="0" xfId="20" applyNumberFormat="1" applyFont="1" applyFill="1"/>
    <xf numFmtId="172" fontId="51" fillId="0" borderId="0" xfId="12" applyNumberFormat="1" applyFont="1" applyFill="1" applyAlignment="1">
      <alignment vertical="center"/>
    </xf>
    <xf numFmtId="165" fontId="44" fillId="0" borderId="0" xfId="12" applyNumberFormat="1" applyFont="1" applyFill="1" applyAlignment="1">
      <alignment horizontal="left" vertical="center" wrapText="1"/>
    </xf>
    <xf numFmtId="165" fontId="21" fillId="0" borderId="0" xfId="14" applyNumberFormat="1" applyFont="1" applyFill="1" applyAlignment="1">
      <alignment vertical="center"/>
    </xf>
    <xf numFmtId="49" fontId="21" fillId="0" borderId="0" xfId="14" applyNumberFormat="1" applyFont="1" applyFill="1" applyAlignment="1">
      <alignment vertical="center"/>
    </xf>
    <xf numFmtId="165" fontId="25" fillId="0" borderId="0" xfId="14" applyNumberFormat="1" applyFont="1" applyFill="1" applyAlignment="1">
      <alignment vertical="center"/>
    </xf>
    <xf numFmtId="165" fontId="57" fillId="0" borderId="0" xfId="14" applyNumberFormat="1" applyFont="1" applyFill="1" applyAlignment="1">
      <alignment vertical="center"/>
    </xf>
    <xf numFmtId="165" fontId="21" fillId="0" borderId="0" xfId="11" applyNumberFormat="1" applyFont="1" applyFill="1" applyAlignment="1">
      <alignment vertical="center"/>
    </xf>
    <xf numFmtId="184" fontId="10" fillId="0" borderId="0" xfId="5" applyNumberFormat="1" applyFont="1" applyFill="1" applyAlignment="1">
      <alignment vertical="center"/>
    </xf>
    <xf numFmtId="0" fontId="21" fillId="0" borderId="0" xfId="18" applyFont="1" applyFill="1"/>
    <xf numFmtId="165" fontId="21" fillId="0" borderId="0" xfId="18" applyNumberFormat="1" applyFont="1" applyFill="1"/>
    <xf numFmtId="165" fontId="21" fillId="0" borderId="0" xfId="18" applyNumberFormat="1" applyFont="1" applyFill="1" applyAlignment="1">
      <alignment horizontal="right"/>
    </xf>
    <xf numFmtId="165" fontId="21" fillId="0" borderId="0" xfId="12" quotePrefix="1" applyNumberFormat="1" applyFont="1" applyFill="1" applyBorder="1" applyAlignment="1">
      <alignment horizontal="center" vertical="center" wrapText="1"/>
    </xf>
    <xf numFmtId="0" fontId="25" fillId="0" borderId="0" xfId="18" applyFont="1" applyFill="1"/>
    <xf numFmtId="3" fontId="21" fillId="0" borderId="0" xfId="18" applyNumberFormat="1" applyFont="1" applyFill="1"/>
    <xf numFmtId="0" fontId="21" fillId="0" borderId="0" xfId="18" applyFont="1" applyFill="1" applyAlignment="1">
      <alignment horizontal="left"/>
    </xf>
    <xf numFmtId="0" fontId="21" fillId="0" borderId="0" xfId="18" applyFont="1" applyFill="1" applyAlignment="1">
      <alignment horizontal="left" indent="2"/>
    </xf>
    <xf numFmtId="43" fontId="0" fillId="0" borderId="0" xfId="11" applyFont="1" applyFill="1"/>
    <xf numFmtId="165" fontId="55" fillId="0" borderId="0" xfId="12" quotePrefix="1" applyNumberFormat="1" applyFont="1" applyFill="1" applyAlignment="1">
      <alignment vertical="center"/>
    </xf>
    <xf numFmtId="165" fontId="21" fillId="0" borderId="0" xfId="18" applyNumberFormat="1" applyFont="1" applyFill="1" applyAlignment="1">
      <alignment wrapText="1"/>
    </xf>
    <xf numFmtId="0" fontId="21" fillId="0" borderId="0" xfId="18" applyFont="1" applyFill="1" applyAlignment="1">
      <alignment wrapText="1"/>
    </xf>
    <xf numFmtId="165" fontId="21" fillId="0" borderId="0" xfId="12" applyNumberFormat="1" applyFont="1" applyFill="1" applyBorder="1" applyAlignment="1">
      <alignment vertical="center"/>
    </xf>
    <xf numFmtId="0" fontId="17" fillId="0" borderId="0" xfId="18" applyFont="1" applyFill="1"/>
    <xf numFmtId="0" fontId="11" fillId="3" borderId="0" xfId="18" applyFill="1"/>
    <xf numFmtId="0" fontId="17" fillId="0" borderId="0" xfId="18" applyFont="1" applyFill="1" applyBorder="1"/>
    <xf numFmtId="165" fontId="18" fillId="0" borderId="0" xfId="15" applyNumberFormat="1" applyFont="1" applyFill="1" applyBorder="1" applyAlignment="1">
      <alignment horizontal="center"/>
    </xf>
    <xf numFmtId="0" fontId="29" fillId="0" borderId="0" xfId="15" applyFont="1" applyFill="1" applyBorder="1" applyAlignment="1"/>
    <xf numFmtId="0" fontId="37" fillId="0" borderId="0" xfId="15" applyFont="1" applyFill="1" applyBorder="1" applyAlignment="1"/>
    <xf numFmtId="165" fontId="29" fillId="0" borderId="0" xfId="15" applyNumberFormat="1" applyFont="1" applyFill="1" applyBorder="1" applyAlignment="1"/>
    <xf numFmtId="1" fontId="30" fillId="0" borderId="0" xfId="18" quotePrefix="1" applyNumberFormat="1" applyFont="1" applyFill="1" applyBorder="1" applyAlignment="1">
      <alignment horizontal="center" vertical="center"/>
    </xf>
    <xf numFmtId="1" fontId="29" fillId="0" borderId="0" xfId="27" applyNumberFormat="1" applyFont="1" applyFill="1" applyBorder="1" applyAlignment="1">
      <alignment horizontal="center" vertical="center"/>
    </xf>
    <xf numFmtId="0" fontId="29" fillId="0" borderId="0" xfId="15" applyNumberFormat="1" applyFont="1" applyFill="1" applyBorder="1" applyAlignment="1">
      <alignment horizontal="center" vertical="center" wrapText="1"/>
    </xf>
    <xf numFmtId="1" fontId="29" fillId="0" borderId="0" xfId="18" quotePrefix="1" applyNumberFormat="1" applyFont="1" applyFill="1" applyBorder="1" applyAlignment="1">
      <alignment horizontal="center" vertical="center" wrapText="1"/>
    </xf>
    <xf numFmtId="165" fontId="35" fillId="0" borderId="0" xfId="27" applyNumberFormat="1" applyFont="1" applyFill="1" applyBorder="1" applyAlignment="1"/>
    <xf numFmtId="165" fontId="29" fillId="0" borderId="0" xfId="27" applyNumberFormat="1" applyFont="1" applyFill="1" applyBorder="1" applyAlignment="1">
      <alignment vertical="center"/>
    </xf>
    <xf numFmtId="0" fontId="62" fillId="0" borderId="0" xfId="18" applyFont="1" applyFill="1" applyBorder="1"/>
    <xf numFmtId="165" fontId="36" fillId="0" borderId="0" xfId="27" applyNumberFormat="1" applyFont="1" applyFill="1" applyBorder="1" applyAlignment="1">
      <alignment vertical="center"/>
    </xf>
    <xf numFmtId="0" fontId="62" fillId="0" borderId="0" xfId="18" applyFont="1" applyFill="1"/>
    <xf numFmtId="0" fontId="63" fillId="0" borderId="0" xfId="18" applyFont="1" applyFill="1" applyBorder="1"/>
    <xf numFmtId="165" fontId="64" fillId="0" borderId="0" xfId="27" applyNumberFormat="1" applyFont="1" applyFill="1" applyBorder="1" applyAlignment="1">
      <alignment vertical="center"/>
    </xf>
    <xf numFmtId="0" fontId="63" fillId="0" borderId="0" xfId="18" applyFont="1" applyFill="1"/>
    <xf numFmtId="166" fontId="10" fillId="0" borderId="0" xfId="6" applyNumberFormat="1" applyFont="1" applyFill="1" applyAlignment="1">
      <alignment vertical="center"/>
    </xf>
    <xf numFmtId="165" fontId="34" fillId="0" borderId="0" xfId="7" applyNumberFormat="1" applyFont="1" applyFill="1" applyBorder="1" applyAlignment="1">
      <alignment horizontal="right" vertical="center"/>
    </xf>
    <xf numFmtId="165" fontId="34" fillId="0" borderId="0" xfId="7" applyNumberFormat="1" applyFont="1" applyFill="1" applyBorder="1" applyAlignment="1">
      <alignment horizontal="right"/>
    </xf>
    <xf numFmtId="165" fontId="24" fillId="0" borderId="0" xfId="7" applyNumberFormat="1" applyFont="1" applyFill="1" applyBorder="1" applyAlignment="1">
      <alignment horizontal="right"/>
    </xf>
    <xf numFmtId="165" fontId="46" fillId="0" borderId="0" xfId="7" applyNumberFormat="1" applyFont="1" applyFill="1" applyBorder="1" applyAlignment="1">
      <alignment horizontal="right"/>
    </xf>
    <xf numFmtId="165" fontId="11" fillId="0" borderId="0" xfId="18" applyNumberFormat="1" applyFill="1" applyBorder="1"/>
    <xf numFmtId="165" fontId="10" fillId="0" borderId="0" xfId="5" applyNumberFormat="1" applyFont="1" applyFill="1" applyBorder="1" applyAlignment="1">
      <alignment vertical="center"/>
    </xf>
    <xf numFmtId="165" fontId="10" fillId="0" borderId="0" xfId="5" applyNumberFormat="1" applyFont="1" applyFill="1" applyBorder="1" applyAlignment="1"/>
    <xf numFmtId="0" fontId="11" fillId="0" borderId="0" xfId="18" applyFill="1" applyAlignment="1"/>
    <xf numFmtId="0" fontId="29" fillId="0" borderId="0" xfId="7" applyFont="1" applyFill="1" applyBorder="1" applyAlignment="1">
      <alignment vertical="top"/>
    </xf>
    <xf numFmtId="0" fontId="72" fillId="0" borderId="0" xfId="18" applyFont="1" applyFill="1" applyBorder="1" applyAlignment="1"/>
    <xf numFmtId="0" fontId="59" fillId="0" borderId="0" xfId="18" applyFont="1" applyFill="1"/>
    <xf numFmtId="165" fontId="29" fillId="3" borderId="0" xfId="10" applyNumberFormat="1" applyFont="1" applyFill="1" applyAlignment="1">
      <alignment vertical="center"/>
    </xf>
    <xf numFmtId="0" fontId="11" fillId="3" borderId="0" xfId="18" applyFill="1" applyBorder="1"/>
    <xf numFmtId="1" fontId="29" fillId="3" borderId="0" xfId="16" applyNumberFormat="1" applyFont="1" applyFill="1" applyBorder="1" applyAlignment="1">
      <alignment horizontal="right"/>
    </xf>
    <xf numFmtId="3" fontId="21" fillId="0" borderId="0" xfId="18" applyNumberFormat="1" applyFont="1" applyFill="1" applyAlignment="1">
      <alignment vertical="center"/>
    </xf>
    <xf numFmtId="165" fontId="21" fillId="0" borderId="0" xfId="18" applyNumberFormat="1" applyFont="1" applyFill="1" applyBorder="1" applyAlignment="1">
      <alignment vertical="center"/>
    </xf>
    <xf numFmtId="3" fontId="21" fillId="0" borderId="0" xfId="18" applyNumberFormat="1" applyFont="1" applyFill="1" applyBorder="1" applyAlignment="1">
      <alignment vertical="center"/>
    </xf>
    <xf numFmtId="165" fontId="44" fillId="0" borderId="0" xfId="18" applyNumberFormat="1" applyFont="1" applyFill="1" applyAlignment="1">
      <alignment vertical="center"/>
    </xf>
    <xf numFmtId="3" fontId="44" fillId="0" borderId="0" xfId="18" applyNumberFormat="1" applyFont="1" applyFill="1" applyAlignment="1">
      <alignment vertical="center"/>
    </xf>
    <xf numFmtId="165" fontId="21" fillId="0" borderId="0" xfId="15" applyNumberFormat="1" applyFont="1" applyFill="1" applyAlignment="1">
      <alignment vertical="center"/>
    </xf>
    <xf numFmtId="165" fontId="77" fillId="0" borderId="0" xfId="15" applyNumberFormat="1" applyFont="1" applyFill="1" applyAlignment="1">
      <alignment horizontal="left" vertical="center"/>
    </xf>
    <xf numFmtId="0" fontId="78" fillId="0" borderId="0" xfId="15" applyFont="1" applyFill="1" applyAlignment="1">
      <alignment vertical="center"/>
    </xf>
    <xf numFmtId="0" fontId="79" fillId="0" borderId="0" xfId="18" applyFont="1" applyFill="1"/>
    <xf numFmtId="165" fontId="21" fillId="0" borderId="0" xfId="15" applyNumberFormat="1" applyFont="1" applyFill="1" applyBorder="1" applyAlignment="1">
      <alignment vertical="center"/>
    </xf>
    <xf numFmtId="0" fontId="21" fillId="0" borderId="0" xfId="15" applyFont="1" applyFill="1" applyAlignment="1">
      <alignment vertical="center"/>
    </xf>
    <xf numFmtId="0" fontId="83" fillId="0" borderId="0" xfId="15" applyFont="1" applyFill="1" applyAlignment="1">
      <alignment vertical="center"/>
    </xf>
    <xf numFmtId="0" fontId="25" fillId="0" borderId="0" xfId="15" applyFont="1" applyFill="1" applyAlignment="1">
      <alignment vertical="center"/>
    </xf>
    <xf numFmtId="165" fontId="21" fillId="0" borderId="0" xfId="38" applyNumberFormat="1" applyFont="1" applyFill="1" applyAlignment="1">
      <alignment vertical="center"/>
    </xf>
    <xf numFmtId="165" fontId="73" fillId="0" borderId="0" xfId="32" applyNumberFormat="1" applyFont="1" applyFill="1" applyAlignment="1">
      <alignment vertical="center"/>
    </xf>
    <xf numFmtId="0" fontId="74" fillId="0" borderId="0" xfId="18" applyFont="1" applyFill="1"/>
    <xf numFmtId="165" fontId="21" fillId="0" borderId="0" xfId="32" applyNumberFormat="1" applyFont="1" applyFill="1" applyAlignment="1">
      <alignment vertical="center"/>
    </xf>
    <xf numFmtId="165" fontId="75" fillId="0" borderId="0" xfId="32" applyNumberFormat="1" applyFont="1" applyFill="1" applyAlignment="1">
      <alignment vertical="center"/>
    </xf>
    <xf numFmtId="165" fontId="31" fillId="4" borderId="0" xfId="5" applyNumberFormat="1" applyFont="1" applyFill="1" applyAlignment="1">
      <alignment vertical="center"/>
    </xf>
    <xf numFmtId="165" fontId="31" fillId="0" borderId="0" xfId="5" applyNumberFormat="1" applyFont="1" applyFill="1" applyAlignment="1">
      <alignment vertical="center"/>
    </xf>
    <xf numFmtId="0" fontId="32" fillId="0" borderId="0" xfId="18" applyFont="1"/>
    <xf numFmtId="166" fontId="31" fillId="4" borderId="0" xfId="6" applyNumberFormat="1" applyFont="1" applyFill="1" applyAlignment="1">
      <alignment vertical="center"/>
    </xf>
    <xf numFmtId="165" fontId="29" fillId="0" borderId="0" xfId="40" applyNumberFormat="1" applyFont="1" applyFill="1" applyAlignment="1">
      <alignment vertical="center"/>
    </xf>
    <xf numFmtId="184" fontId="31" fillId="4" borderId="0" xfId="5" applyNumberFormat="1" applyFont="1" applyFill="1" applyAlignment="1">
      <alignment vertical="center"/>
    </xf>
    <xf numFmtId="165" fontId="32" fillId="0" borderId="0" xfId="18" applyNumberFormat="1" applyFont="1"/>
    <xf numFmtId="184" fontId="29" fillId="0" borderId="0" xfId="18" applyNumberFormat="1" applyFont="1"/>
    <xf numFmtId="43" fontId="29" fillId="0" borderId="0" xfId="18" applyNumberFormat="1" applyFont="1"/>
    <xf numFmtId="4" fontId="31" fillId="4" borderId="0" xfId="5" applyNumberFormat="1" applyFont="1" applyFill="1" applyAlignment="1">
      <alignment vertical="center"/>
    </xf>
    <xf numFmtId="165" fontId="32" fillId="0" borderId="0" xfId="18" applyNumberFormat="1" applyFont="1" applyAlignment="1">
      <alignment horizontal="center"/>
    </xf>
    <xf numFmtId="0" fontId="87" fillId="0" borderId="0" xfId="18" applyFont="1" applyAlignment="1">
      <alignment horizontal="center" vertical="center"/>
    </xf>
    <xf numFmtId="165" fontId="88" fillId="4" borderId="0" xfId="10" applyNumberFormat="1" applyFont="1" applyFill="1" applyAlignment="1">
      <alignment vertical="center"/>
    </xf>
    <xf numFmtId="165" fontId="6" fillId="4" borderId="0" xfId="1" applyNumberFormat="1" applyFont="1" applyFill="1" applyBorder="1" applyAlignment="1">
      <alignment vertical="center"/>
    </xf>
    <xf numFmtId="3" fontId="31" fillId="4" borderId="0" xfId="5" applyNumberFormat="1" applyFont="1" applyFill="1" applyAlignment="1">
      <alignment vertical="center"/>
    </xf>
    <xf numFmtId="165" fontId="31" fillId="5" borderId="0" xfId="5" applyNumberFormat="1" applyFont="1" applyFill="1" applyAlignment="1">
      <alignment vertical="center"/>
    </xf>
    <xf numFmtId="166" fontId="31" fillId="4" borderId="0" xfId="6" applyNumberFormat="1" applyFont="1" applyFill="1" applyAlignment="1">
      <alignment horizontal="right" vertical="center" wrapText="1"/>
    </xf>
    <xf numFmtId="168" fontId="11" fillId="3" borderId="0" xfId="18" applyNumberFormat="1" applyFill="1"/>
    <xf numFmtId="168" fontId="23" fillId="3" borderId="0" xfId="18" applyNumberFormat="1" applyFont="1" applyFill="1"/>
    <xf numFmtId="169" fontId="27" fillId="3" borderId="0" xfId="18" applyNumberFormat="1" applyFont="1" applyFill="1"/>
    <xf numFmtId="170" fontId="23" fillId="3" borderId="0" xfId="18" applyNumberFormat="1" applyFont="1" applyFill="1"/>
    <xf numFmtId="0" fontId="33" fillId="0" borderId="0" xfId="9" applyFont="1" applyFill="1" applyProtection="1">
      <protection locked="0"/>
    </xf>
    <xf numFmtId="4" fontId="34" fillId="0" borderId="0" xfId="7" applyNumberFormat="1" applyFont="1" applyFill="1" applyBorder="1" applyAlignment="1">
      <alignment horizontal="right" vertical="center"/>
    </xf>
    <xf numFmtId="165" fontId="33" fillId="0" borderId="0" xfId="12" applyNumberFormat="1" applyFont="1" applyFill="1" applyAlignment="1" applyProtection="1">
      <alignment horizontal="center" vertical="center"/>
      <protection locked="0"/>
    </xf>
    <xf numFmtId="0" fontId="56" fillId="0" borderId="0" xfId="12" applyNumberFormat="1" applyFont="1" applyFill="1" applyBorder="1" applyAlignment="1">
      <alignment horizontal="left" vertical="center"/>
    </xf>
    <xf numFmtId="0" fontId="40" fillId="0" borderId="0" xfId="19" applyFont="1" applyFill="1" applyBorder="1" applyAlignment="1">
      <alignment horizontal="left" vertical="center"/>
    </xf>
    <xf numFmtId="0" fontId="48" fillId="0" borderId="0" xfId="19" applyFont="1" applyFill="1" applyAlignment="1">
      <alignment horizontal="left" indent="1"/>
    </xf>
    <xf numFmtId="169" fontId="0" fillId="0" borderId="0" xfId="0" applyNumberFormat="1"/>
    <xf numFmtId="165" fontId="21" fillId="0" borderId="0" xfId="19" applyNumberFormat="1" applyFont="1" applyFill="1"/>
    <xf numFmtId="180" fontId="22" fillId="0" borderId="0" xfId="11" applyNumberFormat="1" applyFont="1" applyFill="1" applyAlignment="1">
      <alignment horizontal="right"/>
    </xf>
    <xf numFmtId="2" fontId="40" fillId="0" borderId="0" xfId="19" applyNumberFormat="1" applyFont="1" applyFill="1" applyAlignment="1">
      <alignment vertical="justify" wrapText="1"/>
    </xf>
    <xf numFmtId="2" fontId="40" fillId="0" borderId="0" xfId="19" applyNumberFormat="1" applyFont="1" applyFill="1" applyAlignment="1">
      <alignment vertical="center" wrapText="1"/>
    </xf>
    <xf numFmtId="165" fontId="29" fillId="0" borderId="0" xfId="18" applyNumberFormat="1" applyFont="1" applyFill="1" applyBorder="1" applyProtection="1">
      <protection locked="0"/>
    </xf>
    <xf numFmtId="165" fontId="29" fillId="0" borderId="0" xfId="18" applyNumberFormat="1" applyFont="1" applyFill="1" applyBorder="1" applyAlignment="1" applyProtection="1">
      <alignment horizontal="right"/>
      <protection locked="0"/>
    </xf>
    <xf numFmtId="165" fontId="29" fillId="0" borderId="0" xfId="12" applyNumberFormat="1" applyFont="1" applyFill="1" applyBorder="1" applyAlignment="1" applyProtection="1">
      <alignment horizontal="right" vertical="center"/>
      <protection locked="0"/>
    </xf>
    <xf numFmtId="172" fontId="29" fillId="0" borderId="0" xfId="12" applyNumberFormat="1" applyFont="1" applyFill="1" applyBorder="1" applyAlignment="1">
      <alignment horizontal="right" vertical="center"/>
    </xf>
    <xf numFmtId="0" fontId="11" fillId="0" borderId="0" xfId="18" applyFill="1" applyBorder="1" applyProtection="1">
      <protection locked="0"/>
    </xf>
    <xf numFmtId="2" fontId="44" fillId="0" borderId="0" xfId="19" applyNumberFormat="1" applyFont="1" applyFill="1" applyAlignment="1">
      <alignment horizontal="justify" vertical="justify" wrapText="1"/>
    </xf>
    <xf numFmtId="2" fontId="40" fillId="0" borderId="0" xfId="19" applyNumberFormat="1" applyFont="1" applyFill="1" applyAlignment="1">
      <alignment vertical="justify"/>
    </xf>
    <xf numFmtId="172" fontId="21" fillId="0" borderId="0" xfId="18" applyNumberFormat="1" applyFont="1" applyFill="1" applyAlignment="1">
      <alignment vertical="center"/>
    </xf>
    <xf numFmtId="165" fontId="21" fillId="0" borderId="0" xfId="16" applyNumberFormat="1" applyFont="1" applyFill="1" applyBorder="1" applyAlignment="1">
      <alignment horizontal="center" vertical="center"/>
    </xf>
    <xf numFmtId="165" fontId="21" fillId="0" borderId="0" xfId="18" applyNumberFormat="1" applyFont="1" applyFill="1" applyAlignment="1">
      <alignment vertical="center"/>
    </xf>
    <xf numFmtId="183" fontId="21" fillId="0" borderId="0" xfId="18" applyNumberFormat="1" applyFont="1" applyFill="1" applyAlignment="1">
      <alignment vertical="center"/>
    </xf>
    <xf numFmtId="172" fontId="21" fillId="0" borderId="0" xfId="18" applyNumberFormat="1" applyFont="1" applyFill="1" applyBorder="1" applyAlignment="1">
      <alignment vertical="center"/>
    </xf>
    <xf numFmtId="184" fontId="21" fillId="0" borderId="0" xfId="18" applyNumberFormat="1" applyFont="1" applyFill="1" applyAlignment="1">
      <alignment vertical="center"/>
    </xf>
    <xf numFmtId="43" fontId="21" fillId="0" borderId="0" xfId="42" applyFont="1" applyFill="1" applyAlignment="1">
      <alignment vertical="center"/>
    </xf>
    <xf numFmtId="43" fontId="80" fillId="0" borderId="0" xfId="42" applyFont="1" applyFill="1" applyAlignment="1">
      <alignment vertical="center"/>
    </xf>
    <xf numFmtId="43" fontId="21" fillId="0" borderId="0" xfId="42" applyFont="1" applyFill="1" applyBorder="1" applyAlignment="1">
      <alignment vertical="center"/>
    </xf>
    <xf numFmtId="43" fontId="51" fillId="0" borderId="0" xfId="42" applyFont="1" applyFill="1" applyAlignment="1">
      <alignment vertical="center"/>
    </xf>
    <xf numFmtId="43" fontId="11" fillId="0" borderId="0" xfId="42" applyFont="1" applyFill="1"/>
    <xf numFmtId="43" fontId="84" fillId="0" borderId="0" xfId="42" applyFont="1" applyFill="1" applyAlignment="1">
      <alignment vertical="center"/>
    </xf>
    <xf numFmtId="43" fontId="25" fillId="0" borderId="0" xfId="42" applyFont="1" applyFill="1" applyAlignment="1">
      <alignment vertical="center"/>
    </xf>
    <xf numFmtId="165" fontId="165" fillId="0" borderId="0" xfId="5" applyNumberFormat="1" applyFont="1" applyFill="1" applyAlignment="1">
      <alignment vertical="center"/>
    </xf>
    <xf numFmtId="0" fontId="164" fillId="3" borderId="0" xfId="18" applyFont="1" applyFill="1"/>
    <xf numFmtId="165" fontId="166" fillId="0" borderId="0" xfId="18" applyNumberFormat="1" applyFont="1" applyFill="1" applyAlignment="1">
      <alignment vertical="center"/>
    </xf>
    <xf numFmtId="3" fontId="166" fillId="0" borderId="0" xfId="18" applyNumberFormat="1" applyFont="1" applyFill="1" applyAlignment="1">
      <alignment vertical="center"/>
    </xf>
    <xf numFmtId="0" fontId="17" fillId="0" borderId="0" xfId="27" applyFont="1" applyFill="1"/>
    <xf numFmtId="183" fontId="0" fillId="0" borderId="0" xfId="0" applyNumberFormat="1" applyFill="1"/>
    <xf numFmtId="0" fontId="0" fillId="0" borderId="0" xfId="0" applyFill="1"/>
    <xf numFmtId="0" fontId="59" fillId="0" borderId="0" xfId="7" applyFont="1" applyFill="1" applyBorder="1"/>
    <xf numFmtId="165" fontId="189" fillId="0" borderId="0" xfId="5" applyNumberFormat="1" applyFont="1" applyFill="1" applyAlignment="1">
      <alignment vertical="center"/>
    </xf>
    <xf numFmtId="165" fontId="189" fillId="3" borderId="0" xfId="5" applyNumberFormat="1" applyFont="1" applyFill="1" applyBorder="1" applyAlignment="1">
      <alignment vertical="center"/>
    </xf>
    <xf numFmtId="0" fontId="190" fillId="0" borderId="0" xfId="18" applyFont="1" applyFill="1"/>
    <xf numFmtId="0" fontId="190" fillId="3" borderId="0" xfId="18" applyFont="1" applyFill="1"/>
    <xf numFmtId="0" fontId="194" fillId="0" borderId="0" xfId="18" applyFont="1"/>
    <xf numFmtId="165" fontId="187" fillId="4" borderId="0" xfId="5" applyNumberFormat="1" applyFont="1" applyFill="1" applyAlignment="1">
      <alignment vertical="center"/>
    </xf>
    <xf numFmtId="165" fontId="187" fillId="0" borderId="0" xfId="5" applyNumberFormat="1" applyFont="1" applyFill="1" applyAlignment="1">
      <alignment vertical="center"/>
    </xf>
    <xf numFmtId="165" fontId="194" fillId="0" borderId="0" xfId="18" applyNumberFormat="1" applyFont="1" applyAlignment="1">
      <alignment horizontal="center"/>
    </xf>
    <xf numFmtId="4" fontId="187" fillId="4" borderId="0" xfId="5" applyNumberFormat="1" applyFont="1" applyFill="1" applyAlignment="1">
      <alignment vertical="center"/>
    </xf>
    <xf numFmtId="165" fontId="194" fillId="0" borderId="0" xfId="18" applyNumberFormat="1" applyFont="1"/>
    <xf numFmtId="165" fontId="194" fillId="0" borderId="0" xfId="18" applyNumberFormat="1" applyFont="1" applyAlignment="1">
      <alignment horizontal="right"/>
    </xf>
    <xf numFmtId="165" fontId="191" fillId="0" borderId="0" xfId="12" applyNumberFormat="1" applyFont="1" applyFill="1" applyAlignment="1" applyProtection="1">
      <alignment vertical="center"/>
      <protection locked="0"/>
    </xf>
    <xf numFmtId="173" fontId="191" fillId="0" borderId="0" xfId="11" applyNumberFormat="1" applyFont="1" applyFill="1" applyAlignment="1" applyProtection="1">
      <alignment vertical="center"/>
      <protection locked="0"/>
    </xf>
    <xf numFmtId="43" fontId="191" fillId="0" borderId="0" xfId="11" applyFont="1" applyFill="1" applyAlignment="1" applyProtection="1">
      <alignment vertical="center"/>
      <protection locked="0"/>
    </xf>
    <xf numFmtId="43" fontId="194" fillId="0" borderId="0" xfId="11" applyFont="1" applyFill="1" applyProtection="1">
      <protection locked="0"/>
    </xf>
    <xf numFmtId="174" fontId="194" fillId="0" borderId="0" xfId="11" applyNumberFormat="1" applyFont="1" applyFill="1" applyProtection="1">
      <protection locked="0"/>
    </xf>
    <xf numFmtId="165" fontId="35" fillId="0" borderId="0" xfId="12" applyNumberFormat="1" applyFont="1" applyFill="1" applyAlignment="1" applyProtection="1">
      <alignment vertical="center"/>
      <protection locked="0"/>
    </xf>
    <xf numFmtId="176" fontId="194" fillId="0" borderId="0" xfId="11" applyNumberFormat="1" applyFont="1" applyFill="1" applyProtection="1">
      <protection locked="0"/>
    </xf>
    <xf numFmtId="165" fontId="191" fillId="0" borderId="0" xfId="9" applyNumberFormat="1" applyFont="1" applyFill="1" applyAlignment="1" applyProtection="1">
      <alignment vertical="center"/>
      <protection locked="0"/>
    </xf>
    <xf numFmtId="165" fontId="191" fillId="0" borderId="0" xfId="9" applyNumberFormat="1" applyFont="1" applyFill="1" applyBorder="1" applyAlignment="1" applyProtection="1">
      <alignment vertical="center"/>
      <protection locked="0"/>
    </xf>
    <xf numFmtId="165" fontId="35" fillId="0" borderId="0" xfId="9" applyNumberFormat="1" applyFont="1" applyFill="1" applyBorder="1" applyAlignment="1" applyProtection="1">
      <alignment vertical="center"/>
      <protection locked="0"/>
    </xf>
    <xf numFmtId="43" fontId="194" fillId="0" borderId="0" xfId="18" applyNumberFormat="1" applyFont="1" applyFill="1" applyProtection="1">
      <protection locked="0"/>
    </xf>
    <xf numFmtId="43" fontId="191" fillId="0" borderId="0" xfId="11" applyFont="1" applyFill="1" applyBorder="1" applyAlignment="1" applyProtection="1">
      <alignment vertical="center"/>
      <protection locked="0"/>
    </xf>
    <xf numFmtId="0" fontId="192" fillId="0" borderId="0" xfId="19" applyFont="1" applyFill="1"/>
    <xf numFmtId="165" fontId="20" fillId="0" borderId="0" xfId="9" applyNumberFormat="1" applyFont="1" applyFill="1" applyAlignment="1">
      <alignment horizontal="right"/>
    </xf>
    <xf numFmtId="43" fontId="192" fillId="0" borderId="0" xfId="11" applyFont="1" applyFill="1"/>
    <xf numFmtId="165" fontId="192" fillId="0" borderId="0" xfId="19" applyNumberFormat="1" applyFont="1" applyFill="1"/>
    <xf numFmtId="181" fontId="192" fillId="0" borderId="0" xfId="19" applyNumberFormat="1" applyFont="1" applyFill="1"/>
    <xf numFmtId="165" fontId="35" fillId="0" borderId="0" xfId="14" applyNumberFormat="1" applyFont="1" applyFill="1" applyBorder="1" applyAlignment="1">
      <alignment horizontal="right" vertical="center"/>
    </xf>
    <xf numFmtId="0" fontId="192" fillId="0" borderId="0" xfId="16" applyFont="1" applyFill="1"/>
    <xf numFmtId="165" fontId="46" fillId="0" borderId="0" xfId="16" applyNumberFormat="1" applyFont="1" applyFill="1" applyBorder="1" applyAlignment="1">
      <alignment horizontal="right"/>
    </xf>
    <xf numFmtId="4" fontId="192" fillId="0" borderId="0" xfId="16" applyNumberFormat="1" applyFont="1" applyFill="1"/>
    <xf numFmtId="165" fontId="46" fillId="0" borderId="0" xfId="16" applyNumberFormat="1" applyFont="1" applyFill="1" applyBorder="1" applyAlignment="1">
      <alignment horizontal="right" vertical="center"/>
    </xf>
    <xf numFmtId="165" fontId="35" fillId="0" borderId="0" xfId="14" applyNumberFormat="1" applyFont="1" applyFill="1" applyBorder="1" applyAlignment="1">
      <alignment horizontal="right"/>
    </xf>
    <xf numFmtId="43" fontId="191" fillId="0" borderId="0" xfId="11" applyFont="1" applyFill="1"/>
    <xf numFmtId="171" fontId="192" fillId="0" borderId="0" xfId="19" applyNumberFormat="1" applyFont="1" applyFill="1"/>
    <xf numFmtId="165" fontId="35" fillId="0" borderId="0" xfId="14" applyNumberFormat="1" applyFont="1" applyFill="1" applyBorder="1" applyAlignment="1" applyProtection="1">
      <alignment horizontal="right"/>
      <protection locked="0"/>
    </xf>
    <xf numFmtId="176" fontId="191" fillId="0" borderId="0" xfId="11" applyNumberFormat="1" applyFont="1" applyFill="1"/>
    <xf numFmtId="173" fontId="191" fillId="0" borderId="0" xfId="11" applyNumberFormat="1" applyFont="1" applyFill="1"/>
    <xf numFmtId="191" fontId="192" fillId="0" borderId="0" xfId="19" applyNumberFormat="1" applyFont="1" applyFill="1"/>
    <xf numFmtId="0" fontId="192" fillId="0" borderId="0" xfId="20" applyFont="1" applyFill="1"/>
    <xf numFmtId="165" fontId="192" fillId="0" borderId="0" xfId="20" applyNumberFormat="1" applyFont="1" applyFill="1"/>
    <xf numFmtId="165" fontId="192" fillId="0" borderId="0" xfId="14" applyNumberFormat="1" applyFont="1" applyFill="1" applyAlignment="1">
      <alignment vertical="center"/>
    </xf>
    <xf numFmtId="165" fontId="20" fillId="0" borderId="0" xfId="5" applyNumberFormat="1" applyFont="1" applyFill="1" applyAlignment="1">
      <alignment horizontal="center" vertical="center" wrapText="1"/>
    </xf>
    <xf numFmtId="165" fontId="46" fillId="0" borderId="0" xfId="14" applyNumberFormat="1" applyFont="1" applyFill="1" applyAlignment="1">
      <alignment vertical="center"/>
    </xf>
    <xf numFmtId="43" fontId="192" fillId="0" borderId="0" xfId="11" applyFont="1" applyFill="1" applyAlignment="1">
      <alignment vertical="center"/>
    </xf>
    <xf numFmtId="0" fontId="192" fillId="0" borderId="0" xfId="18" applyFont="1" applyFill="1"/>
    <xf numFmtId="0" fontId="46" fillId="0" borderId="0" xfId="18" applyFont="1" applyFill="1"/>
    <xf numFmtId="180" fontId="46" fillId="0" borderId="0" xfId="11" applyNumberFormat="1" applyFont="1" applyFill="1" applyAlignment="1">
      <alignment horizontal="right"/>
    </xf>
    <xf numFmtId="0" fontId="46" fillId="0" borderId="0" xfId="18" applyFont="1" applyFill="1" applyAlignment="1">
      <alignment vertical="center"/>
    </xf>
    <xf numFmtId="0" fontId="199" fillId="0" borderId="0" xfId="18" applyFont="1" applyFill="1"/>
    <xf numFmtId="0" fontId="197" fillId="0" borderId="0" xfId="0" applyFont="1" applyFill="1"/>
    <xf numFmtId="0" fontId="199" fillId="0" borderId="0" xfId="18" applyFont="1" applyFill="1" applyBorder="1"/>
    <xf numFmtId="165" fontId="35" fillId="0" borderId="0" xfId="7" applyNumberFormat="1" applyFont="1" applyFill="1" applyBorder="1" applyAlignment="1">
      <alignment horizontal="right" vertical="center"/>
    </xf>
    <xf numFmtId="183" fontId="197" fillId="0" borderId="0" xfId="0" applyNumberFormat="1" applyFont="1" applyFill="1"/>
    <xf numFmtId="1" fontId="191" fillId="0" borderId="0" xfId="27" applyNumberFormat="1" applyFont="1" applyFill="1" applyBorder="1" applyAlignment="1">
      <alignment horizontal="center" vertical="center"/>
    </xf>
    <xf numFmtId="0" fontId="191" fillId="0" borderId="0" xfId="15" applyNumberFormat="1" applyFont="1" applyFill="1" applyBorder="1" applyAlignment="1">
      <alignment horizontal="center" vertical="center" wrapText="1"/>
    </xf>
    <xf numFmtId="1" fontId="191" fillId="0" borderId="0" xfId="18" quotePrefix="1" applyNumberFormat="1" applyFont="1" applyFill="1" applyBorder="1" applyAlignment="1">
      <alignment horizontal="center" vertical="center" wrapText="1"/>
    </xf>
    <xf numFmtId="165" fontId="35" fillId="0" borderId="0" xfId="27" applyNumberFormat="1" applyFont="1" applyFill="1" applyBorder="1" applyAlignment="1">
      <alignment vertical="center"/>
    </xf>
    <xf numFmtId="197" fontId="191" fillId="0" borderId="0" xfId="27" applyNumberFormat="1" applyFont="1" applyFill="1" applyBorder="1" applyAlignment="1">
      <alignment horizontal="center" vertical="center"/>
    </xf>
    <xf numFmtId="198" fontId="191" fillId="0" borderId="0" xfId="27" applyNumberFormat="1" applyFont="1" applyFill="1" applyBorder="1" applyAlignment="1">
      <alignment horizontal="center" vertical="center"/>
    </xf>
    <xf numFmtId="169" fontId="197" fillId="0" borderId="0" xfId="0" applyNumberFormat="1" applyFont="1"/>
    <xf numFmtId="165" fontId="35" fillId="0" borderId="0" xfId="7" applyNumberFormat="1" applyFont="1" applyFill="1" applyBorder="1" applyAlignment="1">
      <alignment horizontal="right"/>
    </xf>
    <xf numFmtId="165" fontId="190" fillId="0" borderId="0" xfId="18" applyNumberFormat="1" applyFont="1" applyFill="1" applyBorder="1"/>
    <xf numFmtId="165" fontId="189" fillId="0" borderId="0" xfId="5" applyNumberFormat="1" applyFont="1" applyFill="1" applyBorder="1" applyAlignment="1">
      <alignment vertical="center"/>
    </xf>
    <xf numFmtId="0" fontId="190" fillId="0" borderId="0" xfId="18" applyFont="1" applyFill="1" applyBorder="1"/>
    <xf numFmtId="181" fontId="35" fillId="0" borderId="0" xfId="7" applyNumberFormat="1" applyFont="1" applyFill="1" applyBorder="1" applyAlignment="1">
      <alignment horizontal="right" vertical="center"/>
    </xf>
    <xf numFmtId="0" fontId="190" fillId="3" borderId="0" xfId="18" applyFont="1" applyFill="1" applyBorder="1"/>
    <xf numFmtId="1" fontId="191" fillId="3" borderId="0" xfId="16" applyNumberFormat="1" applyFont="1" applyFill="1" applyBorder="1" applyAlignment="1">
      <alignment horizontal="right"/>
    </xf>
    <xf numFmtId="165" fontId="192" fillId="0" borderId="0" xfId="15" applyNumberFormat="1" applyFont="1" applyFill="1" applyBorder="1" applyAlignment="1">
      <alignment vertical="center"/>
    </xf>
    <xf numFmtId="165" fontId="46" fillId="0" borderId="0" xfId="15" applyNumberFormat="1" applyFont="1" applyFill="1" applyBorder="1" applyAlignment="1">
      <alignment vertical="center"/>
    </xf>
    <xf numFmtId="43" fontId="192" fillId="0" borderId="0" xfId="42" applyFont="1" applyFill="1" applyBorder="1" applyAlignment="1">
      <alignment vertical="center"/>
    </xf>
    <xf numFmtId="165" fontId="192" fillId="0" borderId="0" xfId="15" applyNumberFormat="1" applyFont="1" applyFill="1" applyAlignment="1">
      <alignment vertical="center"/>
    </xf>
    <xf numFmtId="0" fontId="202" fillId="0" borderId="0" xfId="15" applyFont="1" applyFill="1" applyAlignment="1">
      <alignment vertical="center"/>
    </xf>
    <xf numFmtId="43" fontId="190" fillId="0" borderId="0" xfId="42" applyFont="1" applyFill="1"/>
    <xf numFmtId="43" fontId="46" fillId="0" borderId="0" xfId="42" applyFont="1" applyFill="1" applyAlignment="1">
      <alignment vertical="center"/>
    </xf>
    <xf numFmtId="0" fontId="46" fillId="0" borderId="0" xfId="15" applyFont="1" applyFill="1" applyAlignment="1">
      <alignment vertical="center"/>
    </xf>
    <xf numFmtId="173" fontId="192" fillId="0" borderId="0" xfId="11" applyNumberFormat="1" applyFont="1" applyFill="1" applyAlignment="1">
      <alignment vertical="center"/>
    </xf>
    <xf numFmtId="0" fontId="203" fillId="4" borderId="0" xfId="7" quotePrefix="1" applyFont="1" applyFill="1" applyAlignment="1">
      <alignment vertical="center"/>
    </xf>
    <xf numFmtId="165" fontId="51" fillId="3" borderId="0" xfId="12" applyNumberFormat="1" applyFont="1" applyFill="1" applyAlignment="1">
      <alignment vertical="center"/>
    </xf>
    <xf numFmtId="0" fontId="51" fillId="3" borderId="0" xfId="19" applyFont="1" applyFill="1"/>
    <xf numFmtId="172" fontId="51" fillId="3" borderId="0" xfId="12" applyNumberFormat="1" applyFont="1" applyFill="1" applyAlignment="1">
      <alignment vertical="center"/>
    </xf>
    <xf numFmtId="176" fontId="32" fillId="0" borderId="0" xfId="11" applyNumberFormat="1" applyFont="1" applyFill="1" applyProtection="1">
      <protection locked="0"/>
    </xf>
    <xf numFmtId="0" fontId="32" fillId="0" borderId="0" xfId="18" applyFont="1" applyFill="1"/>
    <xf numFmtId="43" fontId="32" fillId="0" borderId="0" xfId="11" applyFont="1" applyFill="1"/>
    <xf numFmtId="165" fontId="11" fillId="3" borderId="0" xfId="18" applyNumberFormat="1" applyFill="1"/>
    <xf numFmtId="165" fontId="39" fillId="3" borderId="2" xfId="1" applyNumberFormat="1" applyFont="1" applyFill="1" applyBorder="1" applyAlignment="1">
      <alignment vertical="center"/>
    </xf>
    <xf numFmtId="165" fontId="29" fillId="3" borderId="17" xfId="10" applyNumberFormat="1" applyFont="1" applyFill="1" applyBorder="1" applyAlignment="1">
      <alignment vertical="center"/>
    </xf>
    <xf numFmtId="3" fontId="10" fillId="3" borderId="0" xfId="5" applyNumberFormat="1" applyFont="1" applyFill="1" applyAlignment="1">
      <alignment vertical="center"/>
    </xf>
    <xf numFmtId="0" fontId="76" fillId="3" borderId="0" xfId="18" applyFont="1" applyFill="1" applyAlignment="1"/>
    <xf numFmtId="0" fontId="76" fillId="3" borderId="0" xfId="18" applyFont="1" applyFill="1" applyAlignment="1">
      <alignment horizontal="center"/>
    </xf>
    <xf numFmtId="2" fontId="11" fillId="3" borderId="0" xfId="18" applyNumberFormat="1" applyFill="1" applyBorder="1"/>
    <xf numFmtId="3" fontId="31" fillId="3" borderId="0" xfId="18" applyNumberFormat="1" applyFont="1" applyFill="1" applyBorder="1"/>
    <xf numFmtId="0" fontId="164" fillId="3" borderId="0" xfId="18" applyFont="1" applyFill="1" applyBorder="1"/>
    <xf numFmtId="165" fontId="51" fillId="0" borderId="0" xfId="12" applyNumberFormat="1" applyFont="1" applyFill="1" applyAlignment="1">
      <alignment horizontal="left" vertical="center" wrapText="1"/>
    </xf>
    <xf numFmtId="0" fontId="206" fillId="0" borderId="0" xfId="18" applyFont="1" applyFill="1"/>
    <xf numFmtId="0" fontId="205" fillId="0" borderId="0" xfId="19" applyFont="1" applyFill="1"/>
    <xf numFmtId="165" fontId="207" fillId="0" borderId="0" xfId="5" applyNumberFormat="1" applyFont="1" applyFill="1" applyAlignment="1">
      <alignment vertical="center"/>
    </xf>
    <xf numFmtId="0" fontId="208" fillId="0" borderId="0" xfId="19" applyFont="1" applyFill="1" applyAlignment="1">
      <alignment vertical="top" wrapText="1"/>
    </xf>
    <xf numFmtId="172" fontId="205" fillId="0" borderId="0" xfId="19" applyNumberFormat="1" applyFont="1" applyFill="1"/>
    <xf numFmtId="172" fontId="205" fillId="0" borderId="0" xfId="20" applyNumberFormat="1" applyFont="1" applyFill="1"/>
    <xf numFmtId="0" fontId="205" fillId="0" borderId="0" xfId="20" applyFont="1" applyFill="1"/>
    <xf numFmtId="165" fontId="205" fillId="0" borderId="0" xfId="12" applyNumberFormat="1" applyFont="1" applyFill="1" applyAlignment="1">
      <alignment vertical="center"/>
    </xf>
    <xf numFmtId="0" fontId="51" fillId="0" borderId="0" xfId="20" applyFont="1" applyFill="1" applyAlignment="1">
      <alignment horizontal="left" wrapText="1"/>
    </xf>
    <xf numFmtId="180" fontId="191" fillId="0" borderId="0" xfId="11" applyNumberFormat="1" applyFont="1" applyFill="1"/>
    <xf numFmtId="180" fontId="47" fillId="0" borderId="0" xfId="11" applyNumberFormat="1" applyFont="1" applyFill="1"/>
    <xf numFmtId="180" fontId="40" fillId="0" borderId="0" xfId="19" applyNumberFormat="1" applyFont="1" applyFill="1"/>
    <xf numFmtId="43" fontId="192" fillId="0" borderId="0" xfId="42" applyFont="1" applyFill="1"/>
    <xf numFmtId="43" fontId="40" fillId="0" borderId="0" xfId="42" applyFont="1" applyFill="1"/>
    <xf numFmtId="165" fontId="88" fillId="0" borderId="0" xfId="10" applyNumberFormat="1" applyFont="1" applyFill="1" applyAlignment="1">
      <alignment vertical="center"/>
    </xf>
    <xf numFmtId="166" fontId="31" fillId="0" borderId="0" xfId="6" applyNumberFormat="1" applyFont="1" applyFill="1" applyAlignment="1">
      <alignment vertical="center"/>
    </xf>
    <xf numFmtId="165" fontId="44" fillId="0" borderId="0" xfId="12" applyNumberFormat="1" applyFont="1" applyFill="1" applyAlignment="1">
      <alignment vertical="center"/>
    </xf>
    <xf numFmtId="172" fontId="44" fillId="0" borderId="0" xfId="12" applyNumberFormat="1" applyFont="1" applyFill="1" applyAlignment="1">
      <alignment vertical="center"/>
    </xf>
    <xf numFmtId="0" fontId="51" fillId="0" borderId="0" xfId="18" quotePrefix="1" applyFont="1" applyFill="1"/>
    <xf numFmtId="165" fontId="51" fillId="0" borderId="0" xfId="18" applyNumberFormat="1" applyFont="1" applyFill="1"/>
    <xf numFmtId="0" fontId="51" fillId="0" borderId="0" xfId="18" applyFont="1" applyFill="1"/>
    <xf numFmtId="0" fontId="44" fillId="0" borderId="0" xfId="18" quotePrefix="1" applyFont="1" applyFill="1" applyAlignment="1"/>
    <xf numFmtId="0" fontId="210" fillId="0" borderId="0" xfId="15" applyFont="1" applyFill="1" applyAlignment="1">
      <alignment vertical="center"/>
    </xf>
    <xf numFmtId="0" fontId="192" fillId="0" borderId="0" xfId="15" applyFont="1" applyFill="1" applyAlignment="1">
      <alignment vertical="center"/>
    </xf>
    <xf numFmtId="43" fontId="192" fillId="0" borderId="0" xfId="42" applyFont="1" applyFill="1" applyAlignment="1">
      <alignment vertical="center"/>
    </xf>
    <xf numFmtId="0" fontId="15" fillId="0" borderId="0" xfId="2308" applyFont="1"/>
    <xf numFmtId="0" fontId="17" fillId="3" borderId="0" xfId="18" applyFont="1" applyFill="1"/>
    <xf numFmtId="0" fontId="59" fillId="3" borderId="0" xfId="18" applyFont="1" applyFill="1"/>
    <xf numFmtId="165" fontId="21" fillId="3" borderId="0" xfId="5" applyNumberFormat="1" applyFont="1" applyFill="1" applyAlignment="1">
      <alignment vertical="center"/>
    </xf>
    <xf numFmtId="0" fontId="17" fillId="3" borderId="0" xfId="27" applyFont="1" applyFill="1"/>
    <xf numFmtId="165" fontId="51" fillId="0" borderId="0" xfId="19" applyNumberFormat="1" applyFont="1" applyFill="1" applyAlignment="1">
      <alignment vertical="center" wrapText="1"/>
    </xf>
    <xf numFmtId="0" fontId="51" fillId="0" borderId="0" xfId="19" applyFont="1" applyFill="1" applyAlignment="1">
      <alignment vertical="top"/>
    </xf>
    <xf numFmtId="43" fontId="51" fillId="0" borderId="0" xfId="11" applyFont="1" applyFill="1"/>
    <xf numFmtId="165" fontId="44" fillId="0" borderId="0" xfId="12" applyNumberFormat="1" applyFont="1" applyFill="1" applyAlignment="1">
      <alignment horizontal="left" vertical="center" wrapText="1"/>
    </xf>
    <xf numFmtId="165" fontId="51" fillId="0" borderId="0" xfId="19" applyNumberFormat="1" applyFont="1" applyFill="1"/>
    <xf numFmtId="0" fontId="203" fillId="4" borderId="0" xfId="7" applyFont="1" applyFill="1" applyAlignment="1">
      <alignment vertical="center"/>
    </xf>
    <xf numFmtId="0" fontId="163" fillId="0" borderId="0" xfId="19" applyFont="1" applyFill="1" applyAlignment="1">
      <alignment vertical="top" wrapText="1"/>
    </xf>
    <xf numFmtId="0" fontId="211" fillId="0" borderId="0" xfId="18" applyFont="1" applyFill="1" applyAlignment="1">
      <alignment vertical="center"/>
    </xf>
    <xf numFmtId="172" fontId="51" fillId="0" borderId="0" xfId="19" applyNumberFormat="1" applyFont="1" applyFill="1"/>
    <xf numFmtId="0" fontId="209" fillId="0" borderId="0" xfId="18" applyFont="1" applyFill="1" applyAlignment="1">
      <alignment vertical="center"/>
    </xf>
    <xf numFmtId="165" fontId="46" fillId="0" borderId="0" xfId="14" applyNumberFormat="1" applyFont="1" applyFill="1" applyAlignment="1">
      <alignment horizontal="center" vertical="center"/>
    </xf>
    <xf numFmtId="43" fontId="22" fillId="0" borderId="0" xfId="11" applyFont="1" applyFill="1" applyAlignment="1">
      <alignment horizontal="right"/>
    </xf>
    <xf numFmtId="195" fontId="190" fillId="0" borderId="0" xfId="18" applyNumberFormat="1" applyFont="1" applyFill="1" applyBorder="1"/>
    <xf numFmtId="195" fontId="11" fillId="0" borderId="0" xfId="18" applyNumberFormat="1" applyFill="1" applyBorder="1"/>
    <xf numFmtId="196" fontId="190" fillId="0" borderId="0" xfId="18" applyNumberFormat="1" applyFont="1" applyFill="1" applyBorder="1"/>
    <xf numFmtId="196" fontId="11" fillId="0" borderId="0" xfId="18" applyNumberFormat="1" applyFill="1" applyBorder="1"/>
    <xf numFmtId="199" fontId="190" fillId="0" borderId="0" xfId="18" applyNumberFormat="1" applyFont="1" applyFill="1" applyBorder="1"/>
    <xf numFmtId="165" fontId="50" fillId="3" borderId="0" xfId="30" applyNumberFormat="1" applyFont="1" applyFill="1"/>
    <xf numFmtId="0" fontId="60" fillId="3" borderId="0" xfId="30" applyFill="1"/>
    <xf numFmtId="0" fontId="194" fillId="3" borderId="0" xfId="30" applyFont="1" applyFill="1"/>
    <xf numFmtId="165" fontId="50" fillId="3" borderId="0" xfId="30" applyNumberFormat="1" applyFont="1" applyFill="1" applyAlignment="1">
      <alignment vertical="center"/>
    </xf>
    <xf numFmtId="0" fontId="50" fillId="3" borderId="0" xfId="30" applyFont="1" applyFill="1"/>
    <xf numFmtId="49" fontId="50" fillId="3" borderId="0" xfId="30" applyNumberFormat="1" applyFont="1" applyFill="1" applyBorder="1"/>
    <xf numFmtId="165" fontId="50" fillId="3" borderId="0" xfId="30" applyNumberFormat="1" applyFont="1" applyFill="1" applyBorder="1"/>
    <xf numFmtId="49" fontId="50" fillId="3" borderId="0" xfId="30" applyNumberFormat="1" applyFont="1" applyFill="1"/>
    <xf numFmtId="165" fontId="50" fillId="3" borderId="0" xfId="30" applyNumberFormat="1" applyFont="1" applyFill="1" applyAlignment="1">
      <alignment wrapText="1"/>
    </xf>
    <xf numFmtId="0" fontId="21" fillId="3" borderId="0" xfId="16" applyFont="1" applyFill="1"/>
    <xf numFmtId="165" fontId="21" fillId="3" borderId="0" xfId="16" applyNumberFormat="1" applyFont="1" applyFill="1" applyBorder="1"/>
    <xf numFmtId="165" fontId="22" fillId="3" borderId="0" xfId="14" applyNumberFormat="1" applyFont="1" applyFill="1" applyBorder="1" applyAlignment="1">
      <alignment vertical="center"/>
    </xf>
    <xf numFmtId="171" fontId="191" fillId="3" borderId="0" xfId="30" applyNumberFormat="1" applyFont="1" applyFill="1"/>
    <xf numFmtId="168" fontId="191" fillId="3" borderId="0" xfId="30" applyNumberFormat="1" applyFont="1" applyFill="1"/>
    <xf numFmtId="165" fontId="191" fillId="3" borderId="0" xfId="30" applyNumberFormat="1" applyFont="1" applyFill="1"/>
    <xf numFmtId="171" fontId="50" fillId="3" borderId="0" xfId="30" applyNumberFormat="1" applyFont="1" applyFill="1"/>
    <xf numFmtId="168" fontId="50" fillId="3" borderId="0" xfId="30" applyNumberFormat="1" applyFont="1" applyFill="1"/>
    <xf numFmtId="0" fontId="191" fillId="3" borderId="0" xfId="30" applyFont="1" applyFill="1"/>
    <xf numFmtId="165" fontId="21" fillId="3" borderId="0" xfId="14" applyNumberFormat="1" applyFont="1" applyFill="1" applyBorder="1" applyAlignment="1">
      <alignment vertical="center"/>
    </xf>
    <xf numFmtId="165" fontId="50" fillId="3" borderId="0" xfId="18" applyNumberFormat="1" applyFont="1" applyFill="1"/>
    <xf numFmtId="188" fontId="163" fillId="3" borderId="0" xfId="30" applyNumberFormat="1" applyFont="1" applyFill="1"/>
    <xf numFmtId="165" fontId="50" fillId="3" borderId="0" xfId="18" applyNumberFormat="1" applyFont="1" applyFill="1" applyBorder="1"/>
    <xf numFmtId="165" fontId="50" fillId="3" borderId="0" xfId="18" applyNumberFormat="1" applyFont="1" applyFill="1" applyBorder="1" applyAlignment="1">
      <alignment vertical="center"/>
    </xf>
    <xf numFmtId="172" fontId="60" fillId="3" borderId="0" xfId="30" applyNumberFormat="1" applyFill="1"/>
    <xf numFmtId="0" fontId="50" fillId="0" borderId="0" xfId="0" quotePrefix="1" applyFont="1" applyFill="1"/>
    <xf numFmtId="0" fontId="216" fillId="0" borderId="0" xfId="7" applyFont="1" applyFill="1" applyAlignment="1">
      <alignment vertical="center"/>
    </xf>
    <xf numFmtId="0" fontId="217" fillId="0" borderId="0" xfId="7" applyFont="1" applyFill="1" applyAlignment="1">
      <alignment vertical="center"/>
    </xf>
    <xf numFmtId="43" fontId="0" fillId="0" borderId="0" xfId="42" applyFont="1" applyFill="1"/>
    <xf numFmtId="43" fontId="197" fillId="0" borderId="0" xfId="42" applyFont="1" applyFill="1"/>
    <xf numFmtId="165" fontId="73" fillId="0" borderId="0" xfId="32" applyNumberFormat="1" applyFont="1" applyFill="1" applyAlignment="1">
      <alignment vertical="center" wrapText="1"/>
    </xf>
    <xf numFmtId="165" fontId="21" fillId="0" borderId="0" xfId="5" applyNumberFormat="1" applyFont="1" applyFill="1" applyAlignment="1">
      <alignment vertical="center"/>
    </xf>
    <xf numFmtId="170" fontId="21" fillId="0" borderId="0" xfId="18" applyNumberFormat="1" applyFont="1" applyFill="1" applyBorder="1" applyAlignment="1">
      <alignment vertical="center"/>
    </xf>
    <xf numFmtId="183" fontId="21" fillId="0" borderId="0" xfId="18" applyNumberFormat="1" applyFont="1" applyFill="1" applyBorder="1" applyAlignment="1">
      <alignment vertical="center"/>
    </xf>
    <xf numFmtId="180" fontId="192" fillId="0" borderId="0" xfId="11" applyNumberFormat="1" applyFont="1" applyFill="1" applyAlignment="1">
      <alignment vertical="center"/>
    </xf>
    <xf numFmtId="0" fontId="219" fillId="0" borderId="0" xfId="2320"/>
    <xf numFmtId="0" fontId="219" fillId="0" borderId="0" xfId="2320" applyFill="1"/>
    <xf numFmtId="0" fontId="44" fillId="0" borderId="0" xfId="20" applyFont="1" applyFill="1"/>
    <xf numFmtId="165" fontId="44" fillId="0" borderId="0" xfId="32" applyNumberFormat="1" applyFont="1" applyFill="1" applyAlignment="1">
      <alignment vertical="center"/>
    </xf>
    <xf numFmtId="165" fontId="21" fillId="3" borderId="0" xfId="32" applyNumberFormat="1" applyFont="1" applyFill="1" applyAlignment="1">
      <alignment vertical="center"/>
    </xf>
    <xf numFmtId="165" fontId="22" fillId="3" borderId="0" xfId="32" applyNumberFormat="1" applyFont="1" applyFill="1" applyAlignment="1">
      <alignment horizontal="right"/>
    </xf>
    <xf numFmtId="165" fontId="73" fillId="3" borderId="0" xfId="32" applyNumberFormat="1" applyFont="1" applyFill="1" applyAlignment="1">
      <alignment vertical="center"/>
    </xf>
    <xf numFmtId="166" fontId="10" fillId="3" borderId="0" xfId="6" applyNumberFormat="1" applyFont="1" applyFill="1" applyAlignment="1">
      <alignment horizontal="right" vertical="center" wrapText="1"/>
    </xf>
    <xf numFmtId="165" fontId="21" fillId="3" borderId="0" xfId="31" applyNumberFormat="1" applyFont="1" applyFill="1" applyAlignment="1">
      <alignment vertical="center"/>
    </xf>
    <xf numFmtId="0" fontId="74" fillId="3" borderId="0" xfId="18" applyFont="1" applyFill="1"/>
    <xf numFmtId="165" fontId="75" fillId="3" borderId="0" xfId="32" applyNumberFormat="1" applyFont="1" applyFill="1" applyAlignment="1">
      <alignment vertical="center"/>
    </xf>
    <xf numFmtId="165" fontId="192" fillId="3" borderId="0" xfId="31" applyNumberFormat="1" applyFont="1" applyFill="1" applyAlignment="1">
      <alignment vertical="center"/>
    </xf>
    <xf numFmtId="165" fontId="192" fillId="3" borderId="0" xfId="32" applyNumberFormat="1" applyFont="1" applyFill="1" applyAlignment="1">
      <alignment vertical="center"/>
    </xf>
    <xf numFmtId="183" fontId="192" fillId="3" borderId="0" xfId="32" applyNumberFormat="1" applyFont="1" applyFill="1" applyAlignment="1">
      <alignment vertical="center"/>
    </xf>
    <xf numFmtId="183" fontId="21" fillId="3" borderId="0" xfId="32" applyNumberFormat="1" applyFont="1" applyFill="1" applyAlignment="1">
      <alignment vertical="center"/>
    </xf>
    <xf numFmtId="165" fontId="25" fillId="3" borderId="0" xfId="31" applyNumberFormat="1" applyFont="1" applyFill="1" applyAlignment="1">
      <alignment vertical="center"/>
    </xf>
    <xf numFmtId="170" fontId="21" fillId="3" borderId="0" xfId="32" applyNumberFormat="1" applyFont="1" applyFill="1" applyAlignment="1">
      <alignment vertical="center"/>
    </xf>
    <xf numFmtId="3" fontId="219" fillId="0" borderId="0" xfId="2320" applyNumberFormat="1" applyFill="1"/>
    <xf numFmtId="243" fontId="0" fillId="0" borderId="0" xfId="0" applyNumberFormat="1"/>
    <xf numFmtId="165" fontId="219" fillId="0" borderId="0" xfId="2320" applyNumberFormat="1" applyFill="1"/>
    <xf numFmtId="181" fontId="46" fillId="0" borderId="0" xfId="7" applyNumberFormat="1" applyFont="1" applyFill="1" applyBorder="1" applyAlignment="1">
      <alignment horizontal="left"/>
    </xf>
    <xf numFmtId="184" fontId="46" fillId="0" borderId="0" xfId="7" applyNumberFormat="1" applyFont="1" applyFill="1" applyBorder="1" applyAlignment="1">
      <alignment horizontal="left"/>
    </xf>
    <xf numFmtId="185" fontId="46" fillId="0" borderId="0" xfId="7" applyNumberFormat="1" applyFont="1" applyFill="1" applyBorder="1" applyAlignment="1">
      <alignment horizontal="left"/>
    </xf>
    <xf numFmtId="165" fontId="24" fillId="0" borderId="0" xfId="18" applyNumberFormat="1" applyFont="1" applyFill="1" applyBorder="1" applyAlignment="1">
      <alignment vertical="center"/>
    </xf>
    <xf numFmtId="171" fontId="10" fillId="0" borderId="0" xfId="5" applyNumberFormat="1" applyFont="1" applyFill="1" applyAlignment="1">
      <alignment vertical="center"/>
    </xf>
    <xf numFmtId="171" fontId="73" fillId="0" borderId="0" xfId="32" applyNumberFormat="1" applyFont="1" applyFill="1" applyAlignment="1">
      <alignment vertical="center"/>
    </xf>
    <xf numFmtId="171" fontId="21" fillId="0" borderId="0" xfId="32" applyNumberFormat="1" applyFont="1" applyFill="1" applyAlignment="1">
      <alignment vertical="center"/>
    </xf>
    <xf numFmtId="171" fontId="0" fillId="0" borderId="0" xfId="0" applyNumberFormat="1" applyFill="1"/>
    <xf numFmtId="171" fontId="0" fillId="0" borderId="0" xfId="0" applyNumberFormat="1"/>
    <xf numFmtId="165" fontId="44" fillId="0" borderId="0" xfId="12" applyNumberFormat="1" applyFont="1" applyFill="1" applyAlignment="1">
      <alignment horizontal="left" vertical="center" wrapText="1"/>
    </xf>
    <xf numFmtId="0" fontId="54" fillId="0" borderId="0" xfId="19" applyFont="1" applyFill="1" applyAlignment="1"/>
    <xf numFmtId="170" fontId="31" fillId="4" borderId="0" xfId="5" applyNumberFormat="1" applyFont="1" applyFill="1" applyAlignment="1">
      <alignment vertical="center"/>
    </xf>
    <xf numFmtId="170" fontId="32" fillId="0" borderId="0" xfId="18" applyNumberFormat="1" applyFont="1"/>
    <xf numFmtId="170" fontId="219" fillId="0" borderId="0" xfId="2320" applyNumberFormat="1"/>
    <xf numFmtId="170" fontId="219" fillId="0" borderId="0" xfId="2320" applyNumberFormat="1" applyFill="1"/>
    <xf numFmtId="165" fontId="46" fillId="0" borderId="0" xfId="37" applyNumberFormat="1" applyFont="1" applyFill="1" applyAlignment="1">
      <alignment horizontal="right"/>
    </xf>
    <xf numFmtId="165" fontId="22" fillId="0" borderId="0" xfId="37" applyNumberFormat="1" applyFont="1" applyFill="1" applyAlignment="1">
      <alignment horizontal="right"/>
    </xf>
    <xf numFmtId="1" fontId="191" fillId="0" borderId="0" xfId="16" applyNumberFormat="1" applyFont="1" applyFill="1" applyBorder="1" applyAlignment="1">
      <alignment horizontal="right"/>
    </xf>
    <xf numFmtId="165" fontId="188" fillId="0" borderId="0" xfId="10" applyNumberFormat="1" applyFont="1" applyFill="1" applyBorder="1" applyAlignment="1">
      <alignment horizontal="right" vertical="center"/>
    </xf>
    <xf numFmtId="165" fontId="19" fillId="0" borderId="0" xfId="10" applyNumberFormat="1" applyFont="1" applyFill="1" applyBorder="1" applyAlignment="1">
      <alignment horizontal="right" vertical="center"/>
    </xf>
    <xf numFmtId="183" fontId="46" fillId="0" borderId="0" xfId="18" applyNumberFormat="1" applyFont="1" applyFill="1"/>
    <xf numFmtId="165" fontId="22" fillId="3" borderId="0" xfId="14" applyNumberFormat="1" applyFont="1" applyFill="1" applyAlignment="1"/>
    <xf numFmtId="0" fontId="219" fillId="0" borderId="0" xfId="2320" applyFill="1" applyAlignment="1">
      <alignment vertical="center" wrapText="1"/>
    </xf>
    <xf numFmtId="170" fontId="219" fillId="0" borderId="0" xfId="2320" applyNumberFormat="1" applyFill="1" applyAlignment="1">
      <alignment vertical="center" wrapText="1"/>
    </xf>
    <xf numFmtId="43" fontId="21" fillId="3" borderId="0" xfId="11" applyFont="1" applyFill="1"/>
    <xf numFmtId="0" fontId="219" fillId="0" borderId="0" xfId="2320" quotePrefix="1"/>
    <xf numFmtId="0" fontId="163" fillId="6" borderId="0" xfId="9" applyFont="1" applyFill="1" applyProtection="1">
      <protection locked="0"/>
    </xf>
    <xf numFmtId="165" fontId="44" fillId="0" borderId="0" xfId="32" quotePrefix="1" applyNumberFormat="1" applyFont="1" applyFill="1" applyAlignment="1">
      <alignment vertical="center"/>
    </xf>
    <xf numFmtId="0" fontId="40" fillId="0" borderId="0" xfId="19" quotePrefix="1" applyFont="1" applyFill="1" applyAlignment="1">
      <alignment horizontal="left" vertical="top" wrapText="1"/>
    </xf>
    <xf numFmtId="0" fontId="40" fillId="0" borderId="0" xfId="19" applyFont="1" applyFill="1" applyAlignment="1">
      <alignment horizontal="left" vertical="top" wrapText="1"/>
    </xf>
    <xf numFmtId="0" fontId="40" fillId="0" borderId="0" xfId="19" applyFont="1" applyFill="1" applyBorder="1"/>
    <xf numFmtId="0" fontId="1" fillId="0" borderId="0" xfId="2320" applyFont="1" applyFill="1"/>
    <xf numFmtId="0" fontId="21" fillId="0" borderId="0" xfId="18" applyFont="1" applyFill="1" applyBorder="1"/>
    <xf numFmtId="171" fontId="5" fillId="0" borderId="0" xfId="24" applyNumberFormat="1" applyFill="1"/>
    <xf numFmtId="175" fontId="0" fillId="0" borderId="0" xfId="21" applyNumberFormat="1" applyFont="1" applyFill="1"/>
    <xf numFmtId="4" fontId="0" fillId="0" borderId="0" xfId="21" applyNumberFormat="1" applyFont="1" applyFill="1"/>
    <xf numFmtId="175" fontId="29" fillId="0" borderId="0" xfId="21" applyNumberFormat="1" applyFont="1" applyFill="1"/>
    <xf numFmtId="175" fontId="50" fillId="0" borderId="0" xfId="21" applyNumberFormat="1" applyFont="1" applyFill="1"/>
    <xf numFmtId="171" fontId="11" fillId="0" borderId="0" xfId="22" applyNumberFormat="1" applyFill="1"/>
    <xf numFmtId="171" fontId="30" fillId="0" borderId="0" xfId="14" applyNumberFormat="1" applyFont="1" applyFill="1" applyAlignment="1">
      <alignment vertical="center"/>
    </xf>
    <xf numFmtId="175" fontId="30" fillId="0" borderId="0" xfId="21" applyNumberFormat="1" applyFont="1" applyFill="1" applyAlignment="1">
      <alignment vertical="center"/>
    </xf>
    <xf numFmtId="171" fontId="50" fillId="0" borderId="0" xfId="25" applyNumberFormat="1" applyFont="1" applyFill="1"/>
    <xf numFmtId="171" fontId="49" fillId="0" borderId="0" xfId="25" applyNumberFormat="1" applyFont="1" applyFill="1"/>
    <xf numFmtId="4" fontId="5" fillId="0" borderId="0" xfId="24" applyNumberFormat="1" applyFill="1"/>
    <xf numFmtId="175" fontId="11" fillId="0" borderId="0" xfId="21" applyNumberFormat="1" applyFont="1" applyFill="1"/>
    <xf numFmtId="171" fontId="190" fillId="0" borderId="0" xfId="22" applyNumberFormat="1" applyFont="1" applyFill="1"/>
    <xf numFmtId="171" fontId="197" fillId="0" borderId="0" xfId="24" applyNumberFormat="1" applyFont="1" applyFill="1"/>
    <xf numFmtId="171" fontId="11" fillId="0" borderId="0" xfId="22" applyNumberFormat="1" applyFill="1" applyBorder="1"/>
    <xf numFmtId="1" fontId="25" fillId="0" borderId="0" xfId="18" quotePrefix="1" applyNumberFormat="1" applyFont="1" applyFill="1" applyBorder="1" applyAlignment="1">
      <alignment horizontal="center" vertical="center" wrapText="1"/>
    </xf>
    <xf numFmtId="171" fontId="50" fillId="0" borderId="0" xfId="25" applyNumberFormat="1" applyFont="1" applyFill="1" applyBorder="1"/>
    <xf numFmtId="43" fontId="190" fillId="0" borderId="0" xfId="11" applyFont="1" applyFill="1" applyBorder="1"/>
    <xf numFmtId="171" fontId="194" fillId="0" borderId="0" xfId="25" applyNumberFormat="1" applyFont="1" applyFill="1"/>
    <xf numFmtId="197" fontId="194" fillId="0" borderId="0" xfId="25" applyNumberFormat="1" applyFont="1" applyFill="1"/>
    <xf numFmtId="43" fontId="11" fillId="0" borderId="0" xfId="11" applyFill="1" applyBorder="1"/>
    <xf numFmtId="171" fontId="60" fillId="0" borderId="0" xfId="25" applyNumberFormat="1" applyFont="1" applyFill="1"/>
    <xf numFmtId="171" fontId="61" fillId="0" borderId="0" xfId="25" quotePrefix="1" applyNumberFormat="1" applyFont="1" applyFill="1"/>
    <xf numFmtId="171" fontId="198" fillId="0" borderId="0" xfId="25" quotePrefix="1" applyNumberFormat="1" applyFont="1" applyFill="1"/>
    <xf numFmtId="171" fontId="61" fillId="0" borderId="0" xfId="25" applyNumberFormat="1" applyFont="1" applyFill="1"/>
    <xf numFmtId="171" fontId="50" fillId="0" borderId="0" xfId="23" applyNumberFormat="1" applyFont="1" applyFill="1"/>
    <xf numFmtId="171" fontId="60" fillId="0" borderId="0" xfId="23" applyNumberFormat="1" applyFont="1" applyFill="1"/>
    <xf numFmtId="242" fontId="190" fillId="0" borderId="0" xfId="11" applyNumberFormat="1" applyFont="1" applyFill="1" applyBorder="1"/>
    <xf numFmtId="180" fontId="190" fillId="0" borderId="0" xfId="11" applyNumberFormat="1" applyFont="1" applyFill="1" applyBorder="1"/>
    <xf numFmtId="175" fontId="29" fillId="0" borderId="0" xfId="21" applyNumberFormat="1" applyFont="1" applyFill="1" applyAlignment="1">
      <alignment vertical="center"/>
    </xf>
    <xf numFmtId="175" fontId="21" fillId="0" borderId="0" xfId="21" applyNumberFormat="1" applyFont="1" applyFill="1" applyAlignment="1">
      <alignment vertical="center"/>
    </xf>
    <xf numFmtId="244" fontId="50" fillId="0" borderId="0" xfId="0" applyNumberFormat="1" applyFont="1"/>
    <xf numFmtId="165" fontId="51" fillId="0" borderId="0" xfId="32" applyNumberFormat="1" applyFont="1" applyFill="1" applyAlignment="1">
      <alignment vertical="center"/>
    </xf>
    <xf numFmtId="0" fontId="5" fillId="3" borderId="0" xfId="8" applyFill="1"/>
    <xf numFmtId="0" fontId="5" fillId="3" borderId="0" xfId="8" applyFill="1" applyBorder="1"/>
    <xf numFmtId="0" fontId="222" fillId="3" borderId="0" xfId="8" applyFont="1" applyFill="1"/>
    <xf numFmtId="0" fontId="222" fillId="3" borderId="0" xfId="8" applyFont="1" applyFill="1" applyBorder="1"/>
    <xf numFmtId="10" fontId="222" fillId="3" borderId="0" xfId="13" applyNumberFormat="1" applyFont="1" applyFill="1"/>
    <xf numFmtId="0" fontId="5" fillId="3" borderId="0" xfId="8" applyFont="1" applyFill="1"/>
    <xf numFmtId="0" fontId="225" fillId="3" borderId="0" xfId="8" applyFont="1" applyFill="1"/>
    <xf numFmtId="0" fontId="225" fillId="3" borderId="0" xfId="8" applyFont="1" applyFill="1" applyBorder="1"/>
    <xf numFmtId="0" fontId="17" fillId="3" borderId="0" xfId="7" applyFont="1" applyFill="1"/>
    <xf numFmtId="0" fontId="228" fillId="3" borderId="0" xfId="8" applyFont="1" applyFill="1" applyBorder="1"/>
    <xf numFmtId="0" fontId="228" fillId="3" borderId="2" xfId="8" applyFont="1" applyFill="1" applyBorder="1"/>
    <xf numFmtId="165" fontId="229" fillId="3" borderId="2" xfId="1" applyNumberFormat="1" applyFont="1" applyFill="1" applyBorder="1" applyAlignment="1">
      <alignment vertical="center"/>
    </xf>
    <xf numFmtId="165" fontId="230" fillId="3" borderId="2" xfId="1" applyNumberFormat="1" applyFont="1" applyFill="1" applyBorder="1" applyAlignment="1">
      <alignment vertical="center"/>
    </xf>
    <xf numFmtId="0" fontId="0" fillId="0" borderId="0" xfId="0" quotePrefix="1"/>
    <xf numFmtId="43" fontId="0" fillId="0" borderId="0" xfId="42" applyFont="1"/>
    <xf numFmtId="183" fontId="40" fillId="0" borderId="0" xfId="19" applyNumberFormat="1" applyFont="1" applyFill="1"/>
    <xf numFmtId="165" fontId="163" fillId="0" borderId="0" xfId="12" applyNumberFormat="1" applyFont="1" applyFill="1" applyAlignment="1">
      <alignment vertical="center"/>
    </xf>
    <xf numFmtId="165" fontId="21" fillId="0" borderId="0" xfId="18" applyNumberFormat="1" applyFont="1" applyFill="1" applyBorder="1" applyAlignment="1"/>
    <xf numFmtId="165" fontId="44" fillId="0" borderId="0" xfId="12" applyNumberFormat="1" applyFont="1" applyFill="1" applyAlignment="1">
      <alignment horizontal="left" vertical="center" wrapText="1"/>
    </xf>
    <xf numFmtId="165" fontId="6" fillId="0" borderId="0" xfId="1" applyNumberFormat="1" applyFont="1" applyFill="1" applyBorder="1" applyAlignment="1">
      <alignment vertical="center"/>
    </xf>
    <xf numFmtId="0" fontId="1" fillId="0" borderId="0" xfId="2320" applyFont="1"/>
    <xf numFmtId="43" fontId="194" fillId="0" borderId="0" xfId="11" applyFont="1" applyFill="1"/>
    <xf numFmtId="178" fontId="32" fillId="0" borderId="0" xfId="11" applyNumberFormat="1" applyFont="1" applyFill="1"/>
    <xf numFmtId="165" fontId="29" fillId="0" borderId="0" xfId="10" quotePrefix="1" applyNumberFormat="1" applyFont="1" applyFill="1" applyBorder="1" applyAlignment="1">
      <alignment horizontal="left" vertical="top" wrapText="1"/>
    </xf>
    <xf numFmtId="0" fontId="44" fillId="0" borderId="0" xfId="19" applyFont="1" applyFill="1" applyAlignment="1">
      <alignment horizontal="left" vertical="justify" wrapText="1"/>
    </xf>
    <xf numFmtId="3" fontId="29" fillId="0" borderId="0" xfId="11" applyNumberFormat="1" applyFont="1" applyFill="1" applyAlignment="1" applyProtection="1">
      <alignment vertical="center"/>
      <protection locked="0"/>
    </xf>
    <xf numFmtId="176" fontId="29" fillId="0" borderId="0" xfId="11" applyNumberFormat="1" applyFont="1" applyFill="1" applyAlignment="1" applyProtection="1">
      <alignment vertical="center"/>
      <protection locked="0"/>
    </xf>
    <xf numFmtId="4" fontId="187" fillId="3" borderId="0" xfId="8" applyNumberFormat="1" applyFont="1" applyFill="1"/>
    <xf numFmtId="0" fontId="187" fillId="3" borderId="0" xfId="8" applyFont="1" applyFill="1"/>
    <xf numFmtId="4" fontId="187" fillId="3" borderId="0" xfId="8" applyNumberFormat="1" applyFont="1" applyFill="1" applyBorder="1"/>
    <xf numFmtId="4" fontId="225" fillId="3" borderId="0" xfId="8" applyNumberFormat="1" applyFont="1" applyFill="1" applyBorder="1"/>
    <xf numFmtId="165" fontId="223" fillId="3" borderId="0" xfId="5" quotePrefix="1" applyNumberFormat="1" applyFont="1" applyFill="1" applyBorder="1" applyAlignment="1">
      <alignment horizontal="center" vertical="center"/>
    </xf>
    <xf numFmtId="4" fontId="225" fillId="3" borderId="0" xfId="8" applyNumberFormat="1" applyFont="1" applyFill="1"/>
    <xf numFmtId="165" fontId="223" fillId="3" borderId="0" xfId="5" quotePrefix="1" applyNumberFormat="1" applyFont="1" applyFill="1" applyBorder="1" applyAlignment="1">
      <alignment horizontal="right" vertical="center"/>
    </xf>
    <xf numFmtId="165" fontId="225" fillId="3" borderId="0" xfId="8" applyNumberFormat="1" applyFont="1" applyFill="1"/>
    <xf numFmtId="165" fontId="223" fillId="3" borderId="0" xfId="5" applyNumberFormat="1" applyFont="1" applyFill="1" applyBorder="1" applyAlignment="1">
      <alignment horizontal="right" vertical="center"/>
    </xf>
    <xf numFmtId="165" fontId="226" fillId="3" borderId="0" xfId="5" applyNumberFormat="1" applyFont="1" applyFill="1" applyBorder="1" applyAlignment="1">
      <alignment horizontal="right" vertical="center"/>
    </xf>
    <xf numFmtId="165" fontId="187" fillId="3" borderId="0" xfId="8" applyNumberFormat="1" applyFont="1" applyFill="1"/>
    <xf numFmtId="165" fontId="20" fillId="3" borderId="0" xfId="5" applyNumberFormat="1" applyFont="1" applyFill="1" applyBorder="1" applyAlignment="1">
      <alignment horizontal="right" vertical="center"/>
    </xf>
    <xf numFmtId="165" fontId="223" fillId="3" borderId="0" xfId="6" applyNumberFormat="1" applyFont="1" applyFill="1" applyBorder="1" applyAlignment="1">
      <alignment horizontal="right" vertical="center"/>
    </xf>
    <xf numFmtId="165" fontId="5" fillId="3" borderId="0" xfId="8" applyNumberFormat="1" applyFill="1"/>
    <xf numFmtId="0" fontId="190" fillId="3" borderId="0" xfId="7" applyFont="1" applyFill="1" applyAlignment="1"/>
    <xf numFmtId="168" fontId="190" fillId="3" borderId="0" xfId="7" applyNumberFormat="1" applyFont="1" applyFill="1" applyAlignment="1"/>
    <xf numFmtId="0" fontId="190" fillId="3" borderId="0" xfId="7" applyFont="1" applyFill="1"/>
    <xf numFmtId="168" fontId="190" fillId="3" borderId="0" xfId="7" applyNumberFormat="1" applyFont="1" applyFill="1"/>
    <xf numFmtId="0" fontId="23" fillId="3" borderId="0" xfId="7" applyFont="1" applyFill="1"/>
    <xf numFmtId="168" fontId="23" fillId="3" borderId="0" xfId="7" applyNumberFormat="1" applyFont="1" applyFill="1"/>
    <xf numFmtId="165" fontId="46" fillId="3" borderId="0" xfId="15" applyNumberFormat="1" applyFont="1" applyFill="1" applyBorder="1" applyAlignment="1">
      <alignment vertical="center"/>
    </xf>
    <xf numFmtId="169" fontId="193" fillId="3" borderId="0" xfId="7" applyNumberFormat="1" applyFont="1" applyFill="1"/>
    <xf numFmtId="170" fontId="189" fillId="3" borderId="0" xfId="7" applyNumberFormat="1" applyFont="1" applyFill="1"/>
    <xf numFmtId="168" fontId="189" fillId="3" borderId="0" xfId="7" applyNumberFormat="1" applyFont="1" applyFill="1"/>
    <xf numFmtId="169" fontId="27" fillId="3" borderId="0" xfId="7" applyNumberFormat="1" applyFont="1" applyFill="1"/>
    <xf numFmtId="165" fontId="21" fillId="3" borderId="0" xfId="15" applyNumberFormat="1" applyFont="1" applyFill="1" applyBorder="1" applyAlignment="1">
      <alignment vertical="center"/>
    </xf>
    <xf numFmtId="170" fontId="23" fillId="3" borderId="0" xfId="7" applyNumberFormat="1" applyFont="1" applyFill="1"/>
    <xf numFmtId="165" fontId="29" fillId="3" borderId="0" xfId="12" applyNumberFormat="1" applyFont="1" applyFill="1" applyAlignment="1">
      <alignment vertical="center"/>
    </xf>
    <xf numFmtId="165" fontId="30" fillId="3" borderId="0" xfId="7" applyNumberFormat="1" applyFont="1" applyFill="1" applyBorder="1" applyAlignment="1">
      <alignment vertical="center"/>
    </xf>
    <xf numFmtId="168" fontId="31" fillId="3" borderId="0" xfId="12" applyNumberFormat="1" applyFont="1" applyFill="1" applyAlignment="1">
      <alignment vertical="center"/>
    </xf>
    <xf numFmtId="165" fontId="192" fillId="3" borderId="0" xfId="15" applyNumberFormat="1" applyFont="1" applyFill="1" applyBorder="1" applyAlignment="1">
      <alignment vertical="center"/>
    </xf>
    <xf numFmtId="0" fontId="204" fillId="3" borderId="0" xfId="0" applyFont="1" applyFill="1" applyAlignment="1">
      <alignment vertical="center"/>
    </xf>
    <xf numFmtId="0" fontId="204" fillId="3" borderId="0" xfId="0" applyFont="1" applyFill="1" applyAlignment="1">
      <alignment horizontal="justify" vertical="center"/>
    </xf>
    <xf numFmtId="0" fontId="23" fillId="3" borderId="0" xfId="7" applyFont="1" applyFill="1" applyBorder="1"/>
    <xf numFmtId="168" fontId="23" fillId="3" borderId="0" xfId="7" applyNumberFormat="1" applyFont="1" applyFill="1" applyBorder="1"/>
    <xf numFmtId="0" fontId="11" fillId="3" borderId="0" xfId="7" applyFill="1" applyBorder="1" applyAlignment="1"/>
    <xf numFmtId="0" fontId="23" fillId="3" borderId="0" xfId="7" applyFont="1" applyFill="1" applyBorder="1" applyAlignment="1"/>
    <xf numFmtId="168" fontId="23" fillId="3" borderId="0" xfId="7" applyNumberFormat="1" applyFont="1" applyFill="1" applyBorder="1" applyAlignment="1"/>
    <xf numFmtId="170" fontId="190" fillId="3" borderId="0" xfId="7" applyNumberFormat="1" applyFont="1" applyFill="1"/>
    <xf numFmtId="170" fontId="11" fillId="3" borderId="0" xfId="7" applyNumberFormat="1" applyFill="1"/>
    <xf numFmtId="165" fontId="11" fillId="3" borderId="0" xfId="7" applyNumberFormat="1" applyFill="1"/>
    <xf numFmtId="165" fontId="33" fillId="3" borderId="0" xfId="12" applyNumberFormat="1" applyFont="1" applyFill="1" applyAlignment="1" applyProtection="1">
      <alignment vertical="center"/>
      <protection locked="0"/>
    </xf>
    <xf numFmtId="168" fontId="190" fillId="3" borderId="0" xfId="18" applyNumberFormat="1" applyFont="1" applyFill="1"/>
    <xf numFmtId="0" fontId="23" fillId="3" borderId="0" xfId="18" applyFont="1" applyFill="1"/>
    <xf numFmtId="169" fontId="193" fillId="3" borderId="0" xfId="18" applyNumberFormat="1" applyFont="1" applyFill="1"/>
    <xf numFmtId="170" fontId="189" fillId="3" borderId="0" xfId="18" applyNumberFormat="1" applyFont="1" applyFill="1"/>
    <xf numFmtId="168" fontId="189" fillId="3" borderId="0" xfId="18" applyNumberFormat="1" applyFont="1" applyFill="1"/>
    <xf numFmtId="243" fontId="0" fillId="0" borderId="0" xfId="0" applyNumberFormat="1" applyFill="1"/>
    <xf numFmtId="244" fontId="50" fillId="0" borderId="0" xfId="0" applyNumberFormat="1" applyFont="1" applyFill="1"/>
    <xf numFmtId="0" fontId="231" fillId="0" borderId="0" xfId="2320" applyFont="1" applyFill="1" applyAlignment="1">
      <alignment wrapText="1"/>
    </xf>
    <xf numFmtId="0" fontId="221" fillId="0" borderId="0" xfId="2320" applyFont="1" applyFill="1"/>
    <xf numFmtId="165" fontId="190" fillId="0" borderId="0" xfId="18" applyNumberFormat="1" applyFont="1" applyFill="1"/>
    <xf numFmtId="4" fontId="25" fillId="0" borderId="0" xfId="18" applyNumberFormat="1" applyFont="1" applyFill="1"/>
    <xf numFmtId="165" fontId="51" fillId="0" borderId="0" xfId="15" applyNumberFormat="1" applyFont="1" applyFill="1" applyAlignment="1">
      <alignment vertical="center"/>
    </xf>
    <xf numFmtId="43" fontId="232" fillId="0" borderId="0" xfId="42" applyFont="1" applyFill="1"/>
    <xf numFmtId="43" fontId="95" fillId="0" borderId="0" xfId="42" applyFont="1" applyFill="1"/>
    <xf numFmtId="0" fontId="232" fillId="0" borderId="0" xfId="18" applyFont="1" applyFill="1"/>
    <xf numFmtId="0" fontId="51" fillId="0" borderId="0" xfId="15" applyFont="1" applyFill="1" applyAlignment="1">
      <alignment horizontal="right" vertical="center"/>
    </xf>
    <xf numFmtId="43" fontId="51" fillId="0" borderId="0" xfId="11" applyFont="1" applyFill="1" applyAlignment="1">
      <alignment vertical="center"/>
    </xf>
    <xf numFmtId="179" fontId="51" fillId="0" borderId="0" xfId="11" applyNumberFormat="1" applyFont="1" applyFill="1" applyAlignment="1">
      <alignment vertical="center"/>
    </xf>
    <xf numFmtId="0" fontId="51" fillId="0" borderId="0" xfId="42" applyNumberFormat="1" applyFont="1" applyFill="1" applyAlignment="1">
      <alignment vertical="center"/>
    </xf>
    <xf numFmtId="165" fontId="51" fillId="0" borderId="0" xfId="15" applyNumberFormat="1" applyFont="1" applyFill="1" applyAlignment="1">
      <alignment horizontal="left" vertical="center"/>
    </xf>
    <xf numFmtId="0" fontId="233" fillId="0" borderId="0" xfId="15" applyFont="1" applyFill="1" applyAlignment="1">
      <alignment horizontal="left" vertical="center"/>
    </xf>
    <xf numFmtId="43" fontId="44" fillId="0" borderId="0" xfId="42" applyFont="1" applyFill="1" applyAlignment="1">
      <alignment vertical="center"/>
    </xf>
    <xf numFmtId="43" fontId="203" fillId="0" borderId="0" xfId="42" applyFont="1" applyFill="1"/>
    <xf numFmtId="43" fontId="234" fillId="0" borderId="0" xfId="42" applyFont="1" applyFill="1"/>
    <xf numFmtId="43" fontId="44" fillId="0" borderId="0" xfId="42" applyFont="1" applyFill="1" applyAlignment="1">
      <alignment horizontal="left" vertical="center"/>
    </xf>
    <xf numFmtId="0" fontId="44" fillId="0" borderId="0" xfId="15" applyFont="1" applyFill="1" applyAlignment="1">
      <alignment vertical="center"/>
    </xf>
    <xf numFmtId="0" fontId="44" fillId="0" borderId="0" xfId="15" applyFont="1" applyFill="1" applyAlignment="1">
      <alignment horizontal="left" vertical="center"/>
    </xf>
    <xf numFmtId="0" fontId="203" fillId="0" borderId="0" xfId="18" applyFont="1" applyFill="1"/>
    <xf numFmtId="165" fontId="44" fillId="0" borderId="0" xfId="15" applyNumberFormat="1" applyFont="1" applyFill="1" applyAlignment="1">
      <alignment vertical="center"/>
    </xf>
    <xf numFmtId="0" fontId="44" fillId="0" borderId="0" xfId="15" applyFont="1" applyFill="1" applyAlignment="1">
      <alignment horizontal="right" vertical="center"/>
    </xf>
    <xf numFmtId="43" fontId="44" fillId="0" borderId="0" xfId="11" applyFont="1" applyFill="1" applyAlignment="1">
      <alignment vertical="center"/>
    </xf>
    <xf numFmtId="179" fontId="44" fillId="0" borderId="0" xfId="11" applyNumberFormat="1" applyFont="1" applyFill="1" applyAlignment="1">
      <alignment vertical="center"/>
    </xf>
    <xf numFmtId="165" fontId="32" fillId="0" borderId="0" xfId="5" applyNumberFormat="1" applyFont="1" applyAlignment="1">
      <alignment horizontal="left" vertical="center"/>
    </xf>
    <xf numFmtId="165" fontId="31" fillId="0" borderId="0" xfId="5" applyNumberFormat="1" applyFont="1" applyAlignment="1">
      <alignment vertical="center"/>
    </xf>
    <xf numFmtId="0" fontId="219" fillId="0" borderId="0" xfId="2320" applyAlignment="1">
      <alignment horizontal="left"/>
    </xf>
    <xf numFmtId="0" fontId="60" fillId="0" borderId="0" xfId="2320" applyFont="1" applyAlignment="1">
      <alignment horizontal="left" vertical="center" wrapText="1"/>
    </xf>
    <xf numFmtId="0" fontId="60" fillId="0" borderId="0" xfId="2320" applyFont="1" applyAlignment="1">
      <alignment horizontal="left" vertical="center"/>
    </xf>
    <xf numFmtId="0" fontId="61" fillId="0" borderId="0" xfId="2320" applyFont="1" applyAlignment="1">
      <alignment horizontal="left" vertical="center"/>
    </xf>
    <xf numFmtId="0" fontId="61" fillId="0" borderId="0" xfId="2320" applyFont="1" applyFill="1" applyAlignment="1">
      <alignment horizontal="left" vertical="center"/>
    </xf>
    <xf numFmtId="0" fontId="15" fillId="0" borderId="0" xfId="2308" applyFont="1" applyAlignment="1">
      <alignment vertical="top" wrapText="1"/>
    </xf>
    <xf numFmtId="0" fontId="44" fillId="0" borderId="0" xfId="42" applyNumberFormat="1" applyFont="1" applyFill="1" applyAlignment="1">
      <alignment vertical="center"/>
    </xf>
    <xf numFmtId="165" fontId="44" fillId="0" borderId="0" xfId="15" applyNumberFormat="1" applyFont="1" applyFill="1" applyAlignment="1">
      <alignment horizontal="left" vertical="center"/>
    </xf>
    <xf numFmtId="165" fontId="236" fillId="0" borderId="0" xfId="15" applyNumberFormat="1" applyFont="1" applyFill="1" applyAlignment="1">
      <alignment vertical="center"/>
    </xf>
    <xf numFmtId="165" fontId="21" fillId="0" borderId="0" xfId="12" applyNumberFormat="1" applyFont="1" applyFill="1" applyAlignment="1">
      <alignment horizontal="left" vertical="center" wrapText="1"/>
    </xf>
    <xf numFmtId="43" fontId="0" fillId="0" borderId="0" xfId="0" applyNumberFormat="1"/>
    <xf numFmtId="165" fontId="73" fillId="0" borderId="0" xfId="32" quotePrefix="1" applyNumberFormat="1" applyFont="1" applyFill="1" applyAlignment="1">
      <alignment vertical="center"/>
    </xf>
    <xf numFmtId="0" fontId="60" fillId="0" borderId="0" xfId="2320" applyFont="1" applyAlignment="1">
      <alignment horizontal="left" vertical="center" wrapText="1"/>
    </xf>
    <xf numFmtId="165" fontId="24" fillId="0" borderId="0" xfId="2320" applyNumberFormat="1" applyFont="1" applyFill="1" applyBorder="1"/>
    <xf numFmtId="0" fontId="0" fillId="0" borderId="0" xfId="0" applyBorder="1"/>
    <xf numFmtId="165" fontId="1" fillId="0" borderId="0" xfId="2320" applyNumberFormat="1" applyFont="1" applyFill="1" applyBorder="1"/>
    <xf numFmtId="43" fontId="235" fillId="0" borderId="0" xfId="42" applyFont="1" applyFill="1" applyAlignment="1">
      <alignment vertical="center"/>
    </xf>
    <xf numFmtId="43" fontId="235" fillId="0" borderId="0" xfId="42" applyFont="1" applyFill="1" applyAlignment="1">
      <alignment horizontal="left" vertical="center"/>
    </xf>
    <xf numFmtId="43" fontId="44" fillId="0" borderId="0" xfId="42" applyFont="1" applyFill="1" applyBorder="1" applyAlignment="1">
      <alignment vertical="center"/>
    </xf>
    <xf numFmtId="165" fontId="50" fillId="3" borderId="0" xfId="2320" applyNumberFormat="1" applyFont="1" applyFill="1" applyAlignment="1">
      <alignment horizontal="left" wrapText="1"/>
    </xf>
    <xf numFmtId="0" fontId="219" fillId="3" borderId="0" xfId="2320" applyFill="1"/>
    <xf numFmtId="165" fontId="219" fillId="3" borderId="0" xfId="2320" applyNumberFormat="1" applyFill="1"/>
    <xf numFmtId="165" fontId="24" fillId="3" borderId="0" xfId="2320" applyNumberFormat="1" applyFont="1" applyFill="1" applyBorder="1"/>
    <xf numFmtId="165" fontId="24" fillId="3" borderId="0" xfId="2320" applyNumberFormat="1" applyFont="1" applyFill="1"/>
    <xf numFmtId="0" fontId="219" fillId="3" borderId="0" xfId="2320" applyFill="1" applyBorder="1"/>
    <xf numFmtId="165" fontId="1" fillId="3" borderId="0" xfId="2320" applyNumberFormat="1" applyFont="1" applyFill="1" applyBorder="1"/>
    <xf numFmtId="165" fontId="0" fillId="0" borderId="0" xfId="0" applyNumberFormat="1"/>
    <xf numFmtId="187" fontId="24" fillId="0" borderId="0" xfId="2320" applyNumberFormat="1" applyFont="1" applyFill="1" applyBorder="1"/>
    <xf numFmtId="0" fontId="50" fillId="3" borderId="0" xfId="2320" applyFont="1" applyFill="1" applyAlignment="1">
      <alignment vertical="top" wrapText="1"/>
    </xf>
    <xf numFmtId="0" fontId="50" fillId="3" borderId="0" xfId="2320" applyFont="1" applyFill="1" applyAlignment="1">
      <alignment vertical="center" wrapText="1"/>
    </xf>
    <xf numFmtId="245" fontId="0" fillId="0" borderId="0" xfId="0" applyNumberFormat="1"/>
    <xf numFmtId="165" fontId="21" fillId="3" borderId="0" xfId="18" applyNumberFormat="1" applyFont="1" applyFill="1" applyBorder="1" applyAlignment="1"/>
    <xf numFmtId="0" fontId="21" fillId="3" borderId="0" xfId="18" applyFont="1" applyFill="1"/>
    <xf numFmtId="165" fontId="21" fillId="3" borderId="0" xfId="12" applyNumberFormat="1" applyFont="1" applyFill="1" applyAlignment="1">
      <alignment vertical="center"/>
    </xf>
    <xf numFmtId="171" fontId="5" fillId="3" borderId="0" xfId="24" applyNumberFormat="1" applyFill="1"/>
    <xf numFmtId="175" fontId="29" fillId="3" borderId="0" xfId="21" applyNumberFormat="1" applyFont="1" applyFill="1" applyAlignment="1">
      <alignment vertical="center"/>
    </xf>
    <xf numFmtId="175" fontId="11" fillId="3" borderId="0" xfId="21" applyNumberFormat="1" applyFont="1" applyFill="1"/>
    <xf numFmtId="175" fontId="0" fillId="3" borderId="0" xfId="21" applyNumberFormat="1" applyFont="1" applyFill="1"/>
    <xf numFmtId="165" fontId="21" fillId="0" borderId="0" xfId="7" applyNumberFormat="1" applyFont="1" applyFill="1" applyBorder="1" applyAlignment="1">
      <alignment horizontal="left" vertical="center"/>
    </xf>
    <xf numFmtId="183" fontId="0" fillId="0" borderId="0" xfId="0" applyNumberFormat="1" applyBorder="1"/>
    <xf numFmtId="170" fontId="24" fillId="3" borderId="0" xfId="2320" applyNumberFormat="1" applyFont="1" applyFill="1" applyBorder="1"/>
    <xf numFmtId="4" fontId="11" fillId="0" borderId="0" xfId="11" applyNumberFormat="1" applyFill="1" applyBorder="1"/>
    <xf numFmtId="4" fontId="22" fillId="0" borderId="0" xfId="11" applyNumberFormat="1" applyFont="1" applyFill="1" applyAlignment="1">
      <alignment horizontal="right"/>
    </xf>
    <xf numFmtId="181" fontId="219" fillId="0" borderId="0" xfId="2320" applyNumberFormat="1"/>
    <xf numFmtId="181" fontId="88" fillId="0" borderId="0" xfId="10" applyNumberFormat="1" applyFont="1" applyFill="1" applyAlignment="1">
      <alignment vertical="center"/>
    </xf>
    <xf numFmtId="181" fontId="219" fillId="0" borderId="0" xfId="2320" applyNumberFormat="1" applyFill="1"/>
    <xf numFmtId="181" fontId="219" fillId="0" borderId="0" xfId="2320" applyNumberFormat="1" applyFill="1" applyAlignment="1">
      <alignment vertical="center" wrapText="1"/>
    </xf>
    <xf numFmtId="4" fontId="46" fillId="0" borderId="0" xfId="11" applyNumberFormat="1" applyFont="1" applyFill="1" applyAlignment="1">
      <alignment horizontal="right"/>
    </xf>
    <xf numFmtId="185" fontId="219" fillId="3" borderId="0" xfId="2320" applyNumberFormat="1" applyFill="1"/>
    <xf numFmtId="184" fontId="219" fillId="0" borderId="0" xfId="2320" applyNumberFormat="1" applyFill="1"/>
    <xf numFmtId="172" fontId="24" fillId="3" borderId="0" xfId="2320" applyNumberFormat="1" applyFont="1" applyFill="1" applyBorder="1"/>
    <xf numFmtId="165" fontId="21" fillId="0" borderId="0" xfId="16" applyNumberFormat="1" applyFont="1" applyFill="1" applyBorder="1" applyAlignment="1">
      <alignment horizontal="left" vertical="center" wrapText="1"/>
    </xf>
    <xf numFmtId="165" fontId="22" fillId="0" borderId="0" xfId="14" applyNumberFormat="1" applyFont="1" applyFill="1" applyAlignment="1">
      <alignment horizontal="right"/>
    </xf>
    <xf numFmtId="0" fontId="21" fillId="0" borderId="0" xfId="12" applyNumberFormat="1" applyFont="1" applyFill="1" applyBorder="1" applyAlignment="1">
      <alignment horizontal="center" vertical="center" wrapText="1"/>
    </xf>
    <xf numFmtId="179" fontId="46" fillId="0" borderId="0" xfId="11" applyNumberFormat="1" applyFont="1" applyFill="1" applyAlignment="1">
      <alignment vertical="center"/>
    </xf>
    <xf numFmtId="179" fontId="21" fillId="0" borderId="0" xfId="11" applyNumberFormat="1" applyFont="1" applyFill="1" applyAlignment="1">
      <alignment vertical="center"/>
    </xf>
    <xf numFmtId="179" fontId="21" fillId="0" borderId="0" xfId="11" applyNumberFormat="1" applyFont="1" applyFill="1" applyBorder="1" applyAlignment="1">
      <alignment vertical="center"/>
    </xf>
    <xf numFmtId="179" fontId="46" fillId="0" borderId="0" xfId="11" applyNumberFormat="1" applyFont="1" applyFill="1" applyBorder="1" applyAlignment="1">
      <alignment vertical="center"/>
    </xf>
    <xf numFmtId="179" fontId="22" fillId="0" borderId="0" xfId="11" applyNumberFormat="1" applyFont="1" applyFill="1" applyBorder="1" applyAlignment="1">
      <alignment vertical="center"/>
    </xf>
    <xf numFmtId="165" fontId="59" fillId="0" borderId="0" xfId="18" applyNumberFormat="1" applyFont="1" applyFill="1"/>
    <xf numFmtId="165" fontId="21" fillId="0" borderId="0" xfId="16" applyNumberFormat="1" applyFont="1" applyFill="1" applyBorder="1" applyAlignment="1">
      <alignment horizontal="center" vertical="center" wrapText="1"/>
    </xf>
    <xf numFmtId="165" fontId="40" fillId="0" borderId="0" xfId="19" applyNumberFormat="1" applyFont="1" applyFill="1" applyBorder="1"/>
    <xf numFmtId="165" fontId="21" fillId="0" borderId="0" xfId="14" applyNumberFormat="1" applyFont="1" applyFill="1" applyAlignment="1">
      <alignment horizontal="left" vertical="center" wrapText="1"/>
    </xf>
    <xf numFmtId="176" fontId="192" fillId="0" borderId="0" xfId="11" applyNumberFormat="1" applyFont="1" applyFill="1"/>
    <xf numFmtId="0" fontId="29" fillId="0" borderId="0" xfId="9" applyFont="1" applyFill="1" applyProtection="1">
      <protection locked="0"/>
    </xf>
    <xf numFmtId="0" fontId="205" fillId="0" borderId="0" xfId="19" applyFont="1" applyFill="1" applyAlignment="1">
      <alignment horizontal="left" vertical="center" wrapText="1"/>
    </xf>
    <xf numFmtId="165" fontId="29" fillId="0" borderId="0" xfId="10" applyNumberFormat="1" applyFont="1" applyFill="1" applyBorder="1" applyAlignment="1">
      <alignment horizontal="left" vertical="top" wrapText="1" indent="1"/>
    </xf>
    <xf numFmtId="165" fontId="51" fillId="0" borderId="0" xfId="16" applyNumberFormat="1" applyFont="1" applyFill="1" applyBorder="1" applyAlignment="1">
      <alignment vertical="center"/>
    </xf>
    <xf numFmtId="181" fontId="51" fillId="0" borderId="0" xfId="19" applyNumberFormat="1" applyFont="1" applyFill="1"/>
    <xf numFmtId="0" fontId="195" fillId="0" borderId="0" xfId="41" applyFont="1" applyFill="1" applyBorder="1"/>
    <xf numFmtId="0" fontId="194" fillId="0" borderId="0" xfId="18" applyFont="1" applyFill="1" applyBorder="1"/>
    <xf numFmtId="165" fontId="21" fillId="0" borderId="0" xfId="10" applyNumberFormat="1" applyFont="1" applyFill="1" applyBorder="1" applyAlignment="1">
      <alignment vertical="center"/>
    </xf>
    <xf numFmtId="0" fontId="164" fillId="0" borderId="0" xfId="18" applyFont="1" applyFill="1"/>
    <xf numFmtId="165" fontId="21" fillId="0" borderId="0" xfId="16" applyNumberFormat="1" applyFont="1" applyFill="1" applyBorder="1" applyAlignment="1">
      <alignment vertical="top"/>
    </xf>
    <xf numFmtId="0" fontId="85" fillId="0" borderId="0" xfId="18" applyFont="1" applyFill="1" applyAlignment="1">
      <alignment vertical="center"/>
    </xf>
    <xf numFmtId="0" fontId="86" fillId="0" borderId="0" xfId="18" applyFont="1" applyFill="1" applyAlignment="1">
      <alignment horizontal="left" vertical="center"/>
    </xf>
    <xf numFmtId="0" fontId="11" fillId="3" borderId="0" xfId="18" applyFill="1" applyAlignment="1">
      <alignment wrapText="1"/>
    </xf>
    <xf numFmtId="165" fontId="24" fillId="3" borderId="0" xfId="15" applyNumberFormat="1" applyFont="1" applyFill="1" applyBorder="1" applyAlignment="1">
      <alignment vertical="center"/>
    </xf>
    <xf numFmtId="0" fontId="4" fillId="3" borderId="0" xfId="7" applyFont="1" applyFill="1"/>
    <xf numFmtId="172" fontId="11" fillId="3" borderId="0" xfId="7" applyNumberFormat="1" applyFill="1"/>
    <xf numFmtId="165" fontId="27" fillId="3" borderId="0" xfId="7" applyNumberFormat="1" applyFont="1" applyFill="1" applyBorder="1"/>
    <xf numFmtId="165" fontId="21" fillId="0" borderId="0" xfId="12" applyNumberFormat="1" applyFont="1" applyFill="1" applyAlignment="1">
      <alignment horizontal="left" vertical="center" wrapText="1"/>
    </xf>
    <xf numFmtId="165" fontId="44" fillId="0" borderId="0" xfId="12" applyNumberFormat="1" applyFont="1" applyFill="1" applyAlignment="1">
      <alignment horizontal="left" vertical="center" wrapText="1"/>
    </xf>
    <xf numFmtId="165" fontId="21" fillId="0" borderId="0" xfId="12" applyNumberFormat="1" applyFont="1" applyFill="1" applyAlignment="1">
      <alignment horizontal="left" vertical="center" wrapText="1"/>
    </xf>
    <xf numFmtId="165" fontId="44" fillId="0" borderId="0" xfId="12" applyNumberFormat="1" applyFont="1" applyFill="1" applyAlignment="1">
      <alignment horizontal="left" vertical="center" wrapText="1"/>
    </xf>
    <xf numFmtId="0" fontId="4" fillId="0" borderId="0" xfId="19" applyFont="1" applyFill="1" applyAlignment="1">
      <alignment horizontal="left" vertical="top" wrapText="1"/>
    </xf>
    <xf numFmtId="2" fontId="40" fillId="0" borderId="0" xfId="19" applyNumberFormat="1" applyFont="1" applyFill="1" applyAlignment="1">
      <alignment horizontal="justify" vertical="justify" wrapText="1"/>
    </xf>
    <xf numFmtId="0" fontId="238" fillId="0" borderId="102" xfId="0" applyFont="1" applyFill="1" applyBorder="1" applyAlignment="1">
      <alignment vertical="center" wrapText="1"/>
    </xf>
    <xf numFmtId="0" fontId="237" fillId="0" borderId="0" xfId="0" applyFont="1" applyFill="1" applyAlignment="1">
      <alignment vertical="center" wrapText="1"/>
    </xf>
    <xf numFmtId="165" fontId="35" fillId="0" borderId="0" xfId="9" applyNumberFormat="1" applyFont="1" applyFill="1" applyAlignment="1" applyProtection="1">
      <protection locked="0"/>
    </xf>
    <xf numFmtId="0" fontId="196" fillId="0" borderId="0" xfId="9" applyFont="1" applyFill="1" applyAlignment="1" applyProtection="1">
      <protection locked="0"/>
    </xf>
    <xf numFmtId="0" fontId="196" fillId="0" borderId="0" xfId="9" applyFont="1" applyFill="1" applyProtection="1">
      <protection locked="0"/>
    </xf>
    <xf numFmtId="165" fontId="191" fillId="0" borderId="0" xfId="9" applyNumberFormat="1" applyFont="1" applyFill="1" applyAlignment="1" applyProtection="1">
      <protection locked="0"/>
    </xf>
    <xf numFmtId="165" fontId="18" fillId="0" borderId="0" xfId="9" applyNumberFormat="1" applyFont="1" applyFill="1" applyAlignment="1" applyProtection="1">
      <alignment horizontal="right"/>
      <protection locked="0"/>
    </xf>
    <xf numFmtId="165" fontId="29" fillId="0" borderId="8" xfId="9" applyNumberFormat="1" applyFont="1" applyFill="1" applyBorder="1" applyAlignment="1" applyProtection="1">
      <alignment vertical="center"/>
      <protection locked="0"/>
    </xf>
    <xf numFmtId="165" fontId="30" fillId="0" borderId="9" xfId="12" quotePrefix="1" applyNumberFormat="1" applyFont="1" applyFill="1" applyBorder="1" applyAlignment="1" applyProtection="1">
      <alignment horizontal="center" vertical="center" wrapText="1"/>
      <protection locked="0"/>
    </xf>
    <xf numFmtId="1" fontId="30" fillId="0" borderId="10" xfId="18" quotePrefix="1" applyNumberFormat="1" applyFont="1" applyFill="1" applyBorder="1" applyAlignment="1" applyProtection="1">
      <alignment horizontal="center" vertical="center" wrapText="1"/>
      <protection locked="0"/>
    </xf>
    <xf numFmtId="165" fontId="29" fillId="0" borderId="12" xfId="9" applyNumberFormat="1" applyFont="1" applyFill="1" applyBorder="1" applyAlignment="1" applyProtection="1">
      <alignment vertical="center"/>
      <protection locked="0"/>
    </xf>
    <xf numFmtId="0" fontId="29" fillId="0" borderId="9" xfId="9" quotePrefix="1" applyFont="1" applyFill="1" applyBorder="1" applyAlignment="1" applyProtection="1">
      <alignment horizontal="center" vertical="center"/>
      <protection locked="0"/>
    </xf>
    <xf numFmtId="1" fontId="29" fillId="0" borderId="9" xfId="7" quotePrefix="1" applyNumberFormat="1" applyFont="1" applyFill="1" applyBorder="1" applyAlignment="1" applyProtection="1">
      <alignment horizontal="center" vertical="center" wrapText="1"/>
      <protection locked="0"/>
    </xf>
    <xf numFmtId="1" fontId="29" fillId="0" borderId="9" xfId="18" quotePrefix="1" applyNumberFormat="1" applyFont="1" applyFill="1" applyBorder="1" applyAlignment="1" applyProtection="1">
      <alignment horizontal="center" vertical="center" wrapText="1"/>
      <protection locked="0"/>
    </xf>
    <xf numFmtId="165" fontId="29" fillId="0" borderId="10" xfId="12" quotePrefix="1" applyNumberFormat="1" applyFont="1" applyFill="1" applyBorder="1" applyAlignment="1" applyProtection="1">
      <alignment horizontal="center" vertical="center" wrapText="1"/>
      <protection locked="0"/>
    </xf>
    <xf numFmtId="165" fontId="30" fillId="0" borderId="0" xfId="12" applyNumberFormat="1" applyFont="1" applyFill="1" applyBorder="1" applyAlignment="1" applyProtection="1">
      <alignment horizontal="center" vertical="center"/>
      <protection locked="0"/>
    </xf>
    <xf numFmtId="165" fontId="30" fillId="0" borderId="0" xfId="12" quotePrefix="1" applyNumberFormat="1" applyFont="1" applyFill="1" applyBorder="1" applyAlignment="1" applyProtection="1">
      <alignment horizontal="center" vertical="center"/>
      <protection locked="0"/>
    </xf>
    <xf numFmtId="165" fontId="35" fillId="0" borderId="0" xfId="12" applyNumberFormat="1" applyFont="1" applyFill="1" applyBorder="1" applyAlignment="1" applyProtection="1">
      <alignment vertical="center"/>
      <protection locked="0"/>
    </xf>
    <xf numFmtId="165" fontId="35" fillId="0" borderId="0" xfId="12" applyNumberFormat="1" applyFont="1" applyFill="1" applyBorder="1" applyAlignment="1" applyProtection="1">
      <alignment horizontal="right" vertical="center"/>
    </xf>
    <xf numFmtId="165" fontId="35" fillId="0" borderId="0" xfId="12" applyNumberFormat="1" applyFont="1" applyFill="1" applyBorder="1" applyAlignment="1" applyProtection="1">
      <alignment vertical="center"/>
    </xf>
    <xf numFmtId="165" fontId="29" fillId="0" borderId="0" xfId="15" applyNumberFormat="1" applyFont="1" applyFill="1" applyBorder="1" applyAlignment="1" applyProtection="1">
      <alignment horizontal="left" vertical="center" indent="1"/>
      <protection locked="0"/>
    </xf>
    <xf numFmtId="165" fontId="29" fillId="0" borderId="0" xfId="12" applyNumberFormat="1" applyFont="1" applyFill="1" applyBorder="1" applyAlignment="1" applyProtection="1">
      <alignment horizontal="right" vertical="center"/>
    </xf>
    <xf numFmtId="165" fontId="29" fillId="0" borderId="0" xfId="12" applyNumberFormat="1" applyFont="1" applyFill="1" applyBorder="1" applyAlignment="1" applyProtection="1">
      <alignment vertical="center"/>
    </xf>
    <xf numFmtId="165" fontId="29" fillId="0" borderId="0" xfId="9" applyNumberFormat="1" applyFont="1" applyFill="1" applyBorder="1" applyAlignment="1" applyProtection="1">
      <alignment horizontal="left" vertical="center" indent="1"/>
      <protection locked="0"/>
    </xf>
    <xf numFmtId="165" fontId="29" fillId="0" borderId="0" xfId="9" applyNumberFormat="1" applyFont="1" applyFill="1" applyBorder="1" applyAlignment="1" applyProtection="1">
      <alignment horizontal="left" vertical="center" indent="3"/>
      <protection locked="0"/>
    </xf>
    <xf numFmtId="165" fontId="30" fillId="0" borderId="0" xfId="9" applyNumberFormat="1" applyFont="1" applyFill="1" applyBorder="1" applyAlignment="1" applyProtection="1">
      <alignment vertical="center"/>
      <protection locked="0"/>
    </xf>
    <xf numFmtId="165" fontId="35" fillId="0" borderId="11" xfId="9" applyNumberFormat="1" applyFont="1" applyFill="1" applyBorder="1" applyAlignment="1" applyProtection="1">
      <alignment vertical="center"/>
      <protection locked="0"/>
    </xf>
    <xf numFmtId="165" fontId="35" fillId="0" borderId="11" xfId="12" applyNumberFormat="1" applyFont="1" applyFill="1" applyBorder="1" applyAlignment="1" applyProtection="1">
      <alignment vertical="center"/>
      <protection locked="0"/>
    </xf>
    <xf numFmtId="165" fontId="35" fillId="0" borderId="11" xfId="12" applyNumberFormat="1" applyFont="1" applyFill="1" applyBorder="1" applyAlignment="1" applyProtection="1">
      <alignment horizontal="right" vertical="center"/>
    </xf>
    <xf numFmtId="165" fontId="35" fillId="0" borderId="11" xfId="12" applyNumberFormat="1" applyFont="1" applyFill="1" applyBorder="1" applyAlignment="1" applyProtection="1">
      <alignment vertical="center"/>
    </xf>
    <xf numFmtId="165" fontId="29" fillId="0" borderId="0" xfId="18" applyNumberFormat="1" applyFont="1" applyFill="1" applyBorder="1" applyAlignment="1" applyProtection="1">
      <alignment horizontal="left" vertical="center" indent="3"/>
      <protection locked="0"/>
    </xf>
    <xf numFmtId="165" fontId="29" fillId="0" borderId="0" xfId="12" applyNumberFormat="1" applyFont="1" applyFill="1" applyAlignment="1" applyProtection="1">
      <alignment vertical="center"/>
    </xf>
    <xf numFmtId="165" fontId="36" fillId="0" borderId="0" xfId="9" applyNumberFormat="1" applyFont="1" applyFill="1" applyAlignment="1" applyProtection="1">
      <alignment vertical="center"/>
      <protection locked="0"/>
    </xf>
    <xf numFmtId="165" fontId="29" fillId="0" borderId="12" xfId="9" applyNumberFormat="1" applyFont="1" applyFill="1" applyBorder="1" applyAlignment="1" applyProtection="1">
      <alignment horizontal="left" vertical="center" indent="1"/>
      <protection locked="0"/>
    </xf>
    <xf numFmtId="165" fontId="29" fillId="0" borderId="12" xfId="12" applyNumberFormat="1" applyFont="1" applyFill="1" applyBorder="1" applyAlignment="1" applyProtection="1">
      <alignment vertical="center"/>
      <protection locked="0"/>
    </xf>
    <xf numFmtId="165" fontId="43" fillId="0" borderId="0" xfId="12" applyNumberFormat="1" applyFont="1" applyFill="1" applyAlignment="1">
      <alignment vertical="center"/>
    </xf>
    <xf numFmtId="176" fontId="29" fillId="0" borderId="0" xfId="11" applyNumberFormat="1" applyFont="1" applyFill="1" applyProtection="1">
      <protection locked="0"/>
    </xf>
    <xf numFmtId="165" fontId="21" fillId="0" borderId="0" xfId="12" applyNumberFormat="1" applyFont="1" applyFill="1" applyAlignment="1">
      <alignment horizontal="left" vertical="center" indent="2"/>
    </xf>
    <xf numFmtId="165" fontId="29" fillId="0" borderId="0" xfId="12" applyNumberFormat="1" applyFont="1" applyFill="1" applyAlignment="1">
      <alignment vertical="center"/>
    </xf>
    <xf numFmtId="165" fontId="29" fillId="0" borderId="0" xfId="12" applyNumberFormat="1" applyFont="1" applyFill="1" applyAlignment="1">
      <alignment horizontal="right" vertical="center"/>
    </xf>
    <xf numFmtId="165" fontId="46" fillId="0" borderId="0" xfId="14" applyNumberFormat="1" applyFont="1" applyFill="1"/>
    <xf numFmtId="165" fontId="35" fillId="0" borderId="0" xfId="14" applyNumberFormat="1" applyFont="1" applyFill="1" applyAlignment="1">
      <alignment horizontal="right"/>
    </xf>
    <xf numFmtId="165" fontId="21" fillId="0" borderId="0" xfId="12" applyNumberFormat="1" applyFont="1" applyFill="1" applyAlignment="1">
      <alignment horizontal="left" vertical="center" indent="1"/>
    </xf>
    <xf numFmtId="165" fontId="29" fillId="0" borderId="0" xfId="18" applyNumberFormat="1" applyFont="1" applyFill="1" applyBorder="1" applyAlignment="1">
      <alignment horizontal="left" vertical="center" indent="1"/>
    </xf>
    <xf numFmtId="165" fontId="29" fillId="0" borderId="0" xfId="12" applyNumberFormat="1" applyFont="1" applyFill="1" applyBorder="1" applyAlignment="1">
      <alignment horizontal="right" vertical="center"/>
    </xf>
    <xf numFmtId="172" fontId="29" fillId="0" borderId="0" xfId="12" applyNumberFormat="1" applyFont="1" applyFill="1" applyAlignment="1">
      <alignment vertical="center"/>
    </xf>
    <xf numFmtId="172" fontId="29" fillId="0" borderId="0" xfId="12" applyNumberFormat="1" applyFont="1" applyFill="1" applyAlignment="1">
      <alignment horizontal="right" vertical="center"/>
    </xf>
    <xf numFmtId="165" fontId="46" fillId="0" borderId="11" xfId="14" applyNumberFormat="1" applyFont="1" applyFill="1" applyBorder="1" applyAlignment="1">
      <alignment vertical="center"/>
    </xf>
    <xf numFmtId="165" fontId="35" fillId="0" borderId="11" xfId="14" applyNumberFormat="1" applyFont="1" applyFill="1" applyBorder="1" applyAlignment="1">
      <alignment vertical="center"/>
    </xf>
    <xf numFmtId="165" fontId="35" fillId="0" borderId="11" xfId="14" applyNumberFormat="1" applyFont="1" applyFill="1" applyBorder="1" applyAlignment="1">
      <alignment horizontal="right" vertical="center"/>
    </xf>
    <xf numFmtId="165" fontId="22" fillId="0" borderId="0" xfId="14" applyNumberFormat="1" applyFont="1" applyFill="1"/>
    <xf numFmtId="0" fontId="42" fillId="0" borderId="0" xfId="12" applyFont="1" applyFill="1" applyAlignment="1">
      <alignment vertical="center"/>
    </xf>
    <xf numFmtId="0" fontId="21" fillId="0" borderId="0" xfId="12" applyFont="1" applyFill="1" applyAlignment="1">
      <alignment horizontal="left" vertical="center" indent="1"/>
    </xf>
    <xf numFmtId="0" fontId="21" fillId="0" borderId="0" xfId="12" applyFont="1" applyFill="1" applyBorder="1" applyAlignment="1">
      <alignment horizontal="left" vertical="center" indent="1"/>
    </xf>
    <xf numFmtId="165" fontId="29" fillId="0" borderId="0" xfId="12" applyNumberFormat="1" applyFont="1" applyFill="1" applyBorder="1" applyAlignment="1">
      <alignment vertical="center"/>
    </xf>
    <xf numFmtId="165" fontId="36" fillId="0" borderId="0" xfId="12" applyNumberFormat="1" applyFont="1" applyFill="1" applyAlignment="1">
      <alignment vertical="center"/>
    </xf>
    <xf numFmtId="3" fontId="21" fillId="0" borderId="0" xfId="12" applyNumberFormat="1" applyFont="1" applyFill="1" applyBorder="1" applyAlignment="1">
      <alignment horizontal="left" vertical="center" indent="2"/>
    </xf>
    <xf numFmtId="165" fontId="21" fillId="0" borderId="0" xfId="12" applyNumberFormat="1" applyFont="1" applyFill="1" applyBorder="1" applyAlignment="1">
      <alignment horizontal="left" vertical="center" indent="2"/>
    </xf>
    <xf numFmtId="165" fontId="21" fillId="0" borderId="12" xfId="12" applyNumberFormat="1" applyFont="1" applyFill="1" applyBorder="1" applyAlignment="1">
      <alignment vertical="center"/>
    </xf>
    <xf numFmtId="165" fontId="29" fillId="0" borderId="12" xfId="12" applyNumberFormat="1" applyFont="1" applyFill="1" applyBorder="1" applyAlignment="1">
      <alignment vertical="center"/>
    </xf>
    <xf numFmtId="165" fontId="21" fillId="0" borderId="0" xfId="12" applyNumberFormat="1" applyFont="1" applyFill="1" applyAlignment="1">
      <alignment horizontal="left" vertical="center"/>
    </xf>
    <xf numFmtId="180" fontId="192" fillId="0" borderId="0" xfId="11" applyNumberFormat="1" applyFont="1" applyFill="1"/>
    <xf numFmtId="165" fontId="21" fillId="0" borderId="8" xfId="12" applyNumberFormat="1" applyFont="1" applyFill="1" applyBorder="1" applyAlignment="1">
      <alignment vertical="center"/>
    </xf>
    <xf numFmtId="1" fontId="30" fillId="0" borderId="10" xfId="18" quotePrefix="1" applyNumberFormat="1" applyFont="1" applyFill="1" applyBorder="1" applyAlignment="1">
      <alignment horizontal="center" vertical="center" wrapText="1"/>
    </xf>
    <xf numFmtId="0" fontId="40" fillId="0" borderId="12" xfId="19" applyFont="1" applyFill="1" applyBorder="1" applyAlignment="1">
      <alignment vertical="center"/>
    </xf>
    <xf numFmtId="165" fontId="192" fillId="0" borderId="0" xfId="16" applyNumberFormat="1" applyFont="1" applyFill="1" applyBorder="1" applyAlignment="1">
      <alignment vertical="center"/>
    </xf>
    <xf numFmtId="1" fontId="25" fillId="0" borderId="10" xfId="18" quotePrefix="1" applyNumberFormat="1" applyFont="1" applyFill="1" applyBorder="1" applyAlignment="1">
      <alignment horizontal="center" vertical="center" wrapText="1"/>
    </xf>
    <xf numFmtId="165" fontId="21" fillId="0" borderId="0" xfId="9" applyNumberFormat="1" applyFont="1" applyFill="1" applyBorder="1" applyAlignment="1">
      <alignment vertical="center"/>
    </xf>
    <xf numFmtId="165" fontId="46" fillId="0" borderId="0" xfId="14" applyNumberFormat="1" applyFont="1" applyFill="1" applyBorder="1"/>
    <xf numFmtId="165" fontId="35" fillId="0" borderId="0" xfId="14" applyNumberFormat="1" applyFont="1" applyFill="1" applyBorder="1"/>
    <xf numFmtId="165" fontId="21" fillId="0" borderId="0" xfId="12" applyNumberFormat="1" applyFont="1" applyFill="1" applyBorder="1" applyAlignment="1">
      <alignment horizontal="left" vertical="center" indent="1"/>
    </xf>
    <xf numFmtId="171" fontId="29" fillId="0" borderId="0" xfId="12" applyNumberFormat="1" applyFont="1" applyFill="1" applyBorder="1" applyAlignment="1">
      <alignment horizontal="left" vertical="center" indent="2"/>
    </xf>
    <xf numFmtId="165" fontId="40" fillId="0" borderId="0" xfId="19" applyNumberFormat="1" applyFont="1" applyFill="1" applyBorder="1" applyProtection="1">
      <protection locked="0"/>
    </xf>
    <xf numFmtId="165" fontId="46" fillId="0" borderId="11" xfId="14" applyNumberFormat="1" applyFont="1" applyFill="1" applyBorder="1"/>
    <xf numFmtId="165" fontId="35" fillId="0" borderId="11" xfId="14" applyNumberFormat="1" applyFont="1" applyFill="1" applyBorder="1" applyAlignment="1">
      <alignment horizontal="right"/>
    </xf>
    <xf numFmtId="0" fontId="11" fillId="0" borderId="0" xfId="18" applyFill="1" applyBorder="1" applyAlignment="1">
      <alignment horizontal="right"/>
    </xf>
    <xf numFmtId="165" fontId="22" fillId="0" borderId="0" xfId="14" applyNumberFormat="1" applyFont="1" applyFill="1" applyBorder="1"/>
    <xf numFmtId="0" fontId="42" fillId="0" borderId="0" xfId="12" applyFont="1" applyFill="1" applyBorder="1" applyAlignment="1">
      <alignment vertical="center"/>
    </xf>
    <xf numFmtId="185" fontId="36" fillId="0" borderId="0" xfId="12" applyNumberFormat="1" applyFont="1" applyFill="1" applyBorder="1" applyAlignment="1" applyProtection="1">
      <alignment vertical="center"/>
      <protection locked="0"/>
    </xf>
    <xf numFmtId="184" fontId="29" fillId="0" borderId="0" xfId="12" applyNumberFormat="1" applyFont="1" applyFill="1" applyBorder="1" applyAlignment="1" applyProtection="1">
      <alignment vertical="center"/>
      <protection locked="0"/>
    </xf>
    <xf numFmtId="165" fontId="36" fillId="0" borderId="0" xfId="12" applyNumberFormat="1" applyFont="1" applyFill="1" applyBorder="1" applyAlignment="1">
      <alignment vertical="center"/>
    </xf>
    <xf numFmtId="0" fontId="43" fillId="0" borderId="0" xfId="16" applyFont="1" applyFill="1" applyBorder="1" applyAlignment="1">
      <alignment horizontal="left" vertical="top" wrapText="1"/>
    </xf>
    <xf numFmtId="0" fontId="25" fillId="0" borderId="0" xfId="19" quotePrefix="1" applyFont="1" applyFill="1" applyAlignment="1">
      <alignment horizontal="left" indent="1"/>
    </xf>
    <xf numFmtId="0" fontId="25" fillId="0" borderId="0" xfId="19" applyFont="1" applyFill="1" applyAlignment="1">
      <alignment horizontal="left" indent="1"/>
    </xf>
    <xf numFmtId="165" fontId="29" fillId="0" borderId="0" xfId="10" quotePrefix="1" applyNumberFormat="1" applyFont="1" applyFill="1" applyBorder="1" applyAlignment="1">
      <alignment horizontal="left" vertical="top" wrapText="1" indent="1"/>
    </xf>
    <xf numFmtId="165" fontId="21" fillId="0" borderId="0" xfId="16" applyNumberFormat="1" applyFont="1" applyFill="1" applyBorder="1" applyAlignment="1">
      <alignment vertical="center"/>
    </xf>
    <xf numFmtId="172" fontId="192" fillId="0" borderId="0" xfId="12" applyNumberFormat="1" applyFont="1" applyFill="1" applyAlignment="1">
      <alignment vertical="center"/>
    </xf>
    <xf numFmtId="165" fontId="192" fillId="0" borderId="0" xfId="12" applyNumberFormat="1" applyFont="1" applyFill="1" applyAlignment="1">
      <alignment vertical="center"/>
    </xf>
    <xf numFmtId="2" fontId="25" fillId="0" borderId="10" xfId="12" applyNumberFormat="1" applyFont="1" applyFill="1" applyBorder="1" applyAlignment="1">
      <alignment horizontal="center" vertical="center" wrapText="1"/>
    </xf>
    <xf numFmtId="172" fontId="25" fillId="0" borderId="0" xfId="12" quotePrefix="1" applyNumberFormat="1" applyFont="1" applyFill="1" applyBorder="1" applyAlignment="1">
      <alignment horizontal="center" vertical="center"/>
    </xf>
    <xf numFmtId="165" fontId="29" fillId="0" borderId="0" xfId="18" applyNumberFormat="1" applyFont="1" applyFill="1" applyBorder="1"/>
    <xf numFmtId="165" fontId="29" fillId="0" borderId="0" xfId="18" applyNumberFormat="1" applyFont="1" applyFill="1" applyBorder="1" applyAlignment="1">
      <alignment horizontal="right"/>
    </xf>
    <xf numFmtId="185" fontId="36" fillId="0" borderId="0" xfId="12" applyNumberFormat="1" applyFont="1" applyFill="1" applyBorder="1" applyAlignment="1">
      <alignment vertical="center"/>
    </xf>
    <xf numFmtId="172" fontId="29" fillId="0" borderId="0" xfId="12" applyNumberFormat="1" applyFont="1" applyFill="1" applyBorder="1" applyAlignment="1">
      <alignment vertical="center"/>
    </xf>
    <xf numFmtId="2" fontId="40" fillId="0" borderId="0" xfId="19" applyNumberFormat="1" applyFont="1" applyFill="1" applyAlignment="1">
      <alignment horizontal="left" vertical="top" wrapText="1"/>
    </xf>
    <xf numFmtId="0" fontId="21" fillId="0" borderId="0" xfId="19" applyFont="1" applyFill="1" applyAlignment="1">
      <alignment horizontal="left" vertical="justify" wrapText="1"/>
    </xf>
    <xf numFmtId="165" fontId="46" fillId="0" borderId="0" xfId="14" applyNumberFormat="1" applyFont="1" applyFill="1" applyAlignment="1"/>
    <xf numFmtId="165" fontId="192" fillId="0" borderId="0" xfId="14" applyNumberFormat="1" applyFont="1" applyFill="1" applyAlignment="1"/>
    <xf numFmtId="165" fontId="21" fillId="0" borderId="8" xfId="14" applyNumberFormat="1" applyFont="1" applyFill="1" applyBorder="1" applyAlignment="1">
      <alignment vertical="center"/>
    </xf>
    <xf numFmtId="165" fontId="21" fillId="0" borderId="12" xfId="14" applyNumberFormat="1" applyFont="1" applyFill="1" applyBorder="1" applyAlignment="1">
      <alignment vertical="center"/>
    </xf>
    <xf numFmtId="165" fontId="46" fillId="0" borderId="0" xfId="14" applyNumberFormat="1" applyFont="1" applyFill="1" applyBorder="1" applyAlignment="1">
      <alignment vertical="center"/>
    </xf>
    <xf numFmtId="165" fontId="46" fillId="0" borderId="0" xfId="14" applyNumberFormat="1" applyFont="1" applyFill="1" applyBorder="1" applyAlignment="1">
      <alignment horizontal="right" vertical="center"/>
    </xf>
    <xf numFmtId="165" fontId="21" fillId="0" borderId="0" xfId="14" applyNumberFormat="1" applyFont="1" applyFill="1" applyBorder="1" applyAlignment="1">
      <alignment horizontal="left" vertical="center" indent="1"/>
    </xf>
    <xf numFmtId="165" fontId="21" fillId="0" borderId="0" xfId="14" applyNumberFormat="1" applyFont="1" applyFill="1" applyBorder="1" applyAlignment="1">
      <alignment vertical="center"/>
    </xf>
    <xf numFmtId="165" fontId="21" fillId="0" borderId="0" xfId="14" applyNumberFormat="1" applyFont="1" applyFill="1" applyBorder="1" applyAlignment="1">
      <alignment horizontal="right" vertical="center"/>
    </xf>
    <xf numFmtId="165" fontId="21" fillId="0" borderId="0" xfId="14" applyNumberFormat="1" applyFont="1" applyFill="1" applyBorder="1" applyAlignment="1">
      <alignment horizontal="left" vertical="center" indent="2"/>
    </xf>
    <xf numFmtId="165" fontId="21" fillId="0" borderId="0" xfId="14" quotePrefix="1" applyNumberFormat="1" applyFont="1" applyFill="1" applyBorder="1" applyAlignment="1">
      <alignment horizontal="right" vertical="center"/>
    </xf>
    <xf numFmtId="165" fontId="21" fillId="0" borderId="0" xfId="14" quotePrefix="1" applyNumberFormat="1" applyFont="1" applyFill="1" applyBorder="1" applyAlignment="1">
      <alignment horizontal="left" vertical="center" indent="3"/>
    </xf>
    <xf numFmtId="165" fontId="21" fillId="0" borderId="0" xfId="14" applyNumberFormat="1" applyFont="1" applyFill="1" applyBorder="1" applyAlignment="1">
      <alignment horizontal="left" vertical="center" indent="3"/>
    </xf>
    <xf numFmtId="165" fontId="21" fillId="0" borderId="0" xfId="14" applyNumberFormat="1" applyFont="1" applyFill="1" applyBorder="1" applyAlignment="1">
      <alignment horizontal="left" vertical="center" indent="4"/>
    </xf>
    <xf numFmtId="165" fontId="46" fillId="0" borderId="11" xfId="14" applyNumberFormat="1" applyFont="1" applyFill="1" applyBorder="1" applyAlignment="1">
      <alignment horizontal="right" vertical="center"/>
    </xf>
    <xf numFmtId="165" fontId="22" fillId="0" borderId="0" xfId="14" applyNumberFormat="1" applyFont="1" applyFill="1" applyBorder="1" applyAlignment="1">
      <alignment vertical="center"/>
    </xf>
    <xf numFmtId="165" fontId="26" fillId="0" borderId="0" xfId="14" applyNumberFormat="1" applyFont="1" applyFill="1" applyBorder="1" applyAlignment="1">
      <alignment vertical="center"/>
    </xf>
    <xf numFmtId="165" fontId="58" fillId="0" borderId="0" xfId="14" applyNumberFormat="1" applyFont="1" applyFill="1" applyBorder="1" applyAlignment="1">
      <alignment horizontal="right" vertical="center"/>
    </xf>
    <xf numFmtId="165" fontId="192" fillId="0" borderId="11" xfId="14" applyNumberFormat="1" applyFont="1" applyFill="1" applyBorder="1" applyAlignment="1">
      <alignment vertical="center"/>
    </xf>
    <xf numFmtId="165" fontId="42" fillId="0" borderId="8" xfId="14" applyNumberFormat="1" applyFont="1" applyFill="1" applyBorder="1" applyAlignment="1">
      <alignment vertical="center"/>
    </xf>
    <xf numFmtId="165" fontId="21" fillId="0" borderId="8" xfId="14" applyNumberFormat="1" applyFont="1" applyFill="1" applyBorder="1" applyAlignment="1">
      <alignment horizontal="center" vertical="center"/>
    </xf>
    <xf numFmtId="165" fontId="21" fillId="0" borderId="0" xfId="14" applyNumberFormat="1" applyFont="1" applyFill="1" applyBorder="1" applyAlignment="1">
      <alignment horizontal="center" vertical="center"/>
    </xf>
    <xf numFmtId="165" fontId="21" fillId="0" borderId="12" xfId="14" applyNumberFormat="1" applyFont="1" applyFill="1" applyBorder="1" applyAlignment="1">
      <alignment horizontal="right" vertical="center"/>
    </xf>
    <xf numFmtId="165" fontId="11" fillId="0" borderId="0" xfId="18" applyNumberFormat="1" applyFill="1"/>
    <xf numFmtId="165" fontId="54" fillId="0" borderId="0" xfId="15" applyNumberFormat="1" applyFont="1" applyFill="1" applyBorder="1" applyAlignment="1">
      <alignment vertical="center"/>
    </xf>
    <xf numFmtId="165" fontId="77" fillId="0" borderId="0" xfId="15" applyNumberFormat="1" applyFont="1" applyFill="1" applyBorder="1" applyAlignment="1">
      <alignment horizontal="left" vertical="center"/>
    </xf>
    <xf numFmtId="165" fontId="46" fillId="0" borderId="0" xfId="15" applyNumberFormat="1" applyFont="1" applyFill="1" applyBorder="1" applyAlignment="1">
      <alignment horizontal="right" vertical="center"/>
    </xf>
    <xf numFmtId="165" fontId="21" fillId="0" borderId="11" xfId="15" applyNumberFormat="1" applyFont="1" applyFill="1" applyBorder="1" applyAlignment="1">
      <alignment vertical="center"/>
    </xf>
    <xf numFmtId="165" fontId="25" fillId="0" borderId="11" xfId="12" quotePrefix="1" applyNumberFormat="1" applyFont="1" applyFill="1" applyBorder="1" applyAlignment="1">
      <alignment horizontal="center" vertical="center" wrapText="1"/>
    </xf>
    <xf numFmtId="0" fontId="11" fillId="0" borderId="3" xfId="18" applyFill="1" applyBorder="1"/>
    <xf numFmtId="165" fontId="25" fillId="0" borderId="0" xfId="12" applyNumberFormat="1" applyFont="1" applyFill="1" applyBorder="1" applyAlignment="1">
      <alignment horizontal="center" vertical="center"/>
    </xf>
    <xf numFmtId="165" fontId="25" fillId="0" borderId="0" xfId="12" quotePrefix="1" applyNumberFormat="1" applyFont="1" applyFill="1" applyBorder="1" applyAlignment="1">
      <alignment horizontal="center" vertical="center"/>
    </xf>
    <xf numFmtId="165" fontId="46" fillId="0" borderId="0" xfId="12" applyNumberFormat="1" applyFont="1" applyFill="1" applyBorder="1" applyAlignment="1">
      <alignment vertical="center"/>
    </xf>
    <xf numFmtId="165" fontId="21" fillId="0" borderId="0" xfId="15" applyNumberFormat="1" applyFont="1" applyFill="1" applyBorder="1" applyAlignment="1">
      <alignment horizontal="left" vertical="center" indent="1"/>
    </xf>
    <xf numFmtId="165" fontId="21" fillId="0" borderId="0" xfId="15" applyNumberFormat="1" applyFont="1" applyFill="1" applyBorder="1" applyAlignment="1">
      <alignment horizontal="left" vertical="center" indent="2"/>
    </xf>
    <xf numFmtId="165" fontId="25" fillId="0" borderId="0" xfId="15" applyNumberFormat="1" applyFont="1" applyFill="1" applyBorder="1" applyAlignment="1">
      <alignment vertical="center"/>
    </xf>
    <xf numFmtId="165" fontId="46" fillId="0" borderId="11" xfId="15" applyNumberFormat="1" applyFont="1" applyFill="1" applyBorder="1" applyAlignment="1">
      <alignment vertical="center"/>
    </xf>
    <xf numFmtId="165" fontId="46" fillId="0" borderId="11" xfId="12" applyNumberFormat="1" applyFont="1" applyFill="1" applyBorder="1" applyAlignment="1">
      <alignment vertical="center"/>
    </xf>
    <xf numFmtId="165" fontId="46" fillId="0" borderId="30" xfId="12" applyNumberFormat="1" applyFont="1" applyFill="1" applyBorder="1" applyAlignment="1">
      <alignment vertical="center"/>
    </xf>
    <xf numFmtId="165" fontId="24" fillId="0" borderId="0" xfId="15" applyNumberFormat="1" applyFont="1" applyFill="1" applyBorder="1" applyAlignment="1">
      <alignment vertical="center"/>
    </xf>
    <xf numFmtId="165" fontId="24" fillId="0" borderId="0" xfId="12" applyNumberFormat="1" applyFont="1" applyFill="1" applyBorder="1" applyAlignment="1">
      <alignment vertical="center"/>
    </xf>
    <xf numFmtId="165" fontId="42" fillId="0" borderId="0" xfId="15" applyNumberFormat="1" applyFont="1" applyFill="1" applyAlignment="1">
      <alignment vertical="center"/>
    </xf>
    <xf numFmtId="165" fontId="21" fillId="0" borderId="12" xfId="15" applyNumberFormat="1" applyFont="1" applyFill="1" applyBorder="1" applyAlignment="1">
      <alignment horizontal="left" vertical="center" indent="2"/>
    </xf>
    <xf numFmtId="165" fontId="21" fillId="0" borderId="31" xfId="12" applyNumberFormat="1" applyFont="1" applyFill="1" applyBorder="1" applyAlignment="1">
      <alignment vertical="center"/>
    </xf>
    <xf numFmtId="165" fontId="46" fillId="0" borderId="0" xfId="15" applyNumberFormat="1" applyFont="1" applyFill="1" applyAlignment="1">
      <alignment vertical="center"/>
    </xf>
    <xf numFmtId="165" fontId="46" fillId="0" borderId="0" xfId="12" quotePrefix="1" applyNumberFormat="1" applyFont="1" applyFill="1" applyBorder="1" applyAlignment="1">
      <alignment horizontal="center" vertical="center" wrapText="1"/>
    </xf>
    <xf numFmtId="165" fontId="46" fillId="0" borderId="12" xfId="12" quotePrefix="1" applyNumberFormat="1" applyFont="1" applyFill="1" applyBorder="1" applyAlignment="1">
      <alignment horizontal="left" vertical="center" wrapText="1"/>
    </xf>
    <xf numFmtId="165" fontId="81" fillId="0" borderId="0" xfId="12" quotePrefix="1" applyNumberFormat="1" applyFont="1" applyFill="1" applyBorder="1" applyAlignment="1">
      <alignment horizontal="left" vertical="center" wrapText="1"/>
    </xf>
    <xf numFmtId="165" fontId="82" fillId="0" borderId="11" xfId="15" applyNumberFormat="1" applyFont="1" applyFill="1" applyBorder="1" applyAlignment="1">
      <alignment vertical="center" wrapText="1"/>
    </xf>
    <xf numFmtId="165" fontId="46" fillId="0" borderId="11" xfId="10" applyNumberFormat="1" applyFont="1" applyFill="1" applyBorder="1" applyAlignment="1">
      <alignment horizontal="left" vertical="center"/>
    </xf>
    <xf numFmtId="165" fontId="192" fillId="0" borderId="11" xfId="10" applyNumberFormat="1" applyFont="1" applyFill="1" applyBorder="1" applyAlignment="1">
      <alignment horizontal="right" vertical="center"/>
    </xf>
    <xf numFmtId="165" fontId="46" fillId="0" borderId="11" xfId="10" applyNumberFormat="1" applyFont="1" applyFill="1" applyBorder="1" applyAlignment="1">
      <alignment horizontal="right" vertical="center"/>
    </xf>
    <xf numFmtId="165" fontId="21" fillId="0" borderId="0" xfId="15" applyNumberFormat="1" applyFont="1" applyFill="1" applyBorder="1" applyAlignment="1">
      <alignment horizontal="left" vertical="center" wrapText="1" indent="1"/>
    </xf>
    <xf numFmtId="184" fontId="21" fillId="0" borderId="0" xfId="15" applyNumberFormat="1" applyFont="1" applyFill="1" applyBorder="1" applyAlignment="1">
      <alignment vertical="center"/>
    </xf>
    <xf numFmtId="181" fontId="21" fillId="0" borderId="0" xfId="15" applyNumberFormat="1" applyFont="1" applyFill="1" applyBorder="1" applyAlignment="1">
      <alignment vertical="center"/>
    </xf>
    <xf numFmtId="165" fontId="21" fillId="0" borderId="12" xfId="15" applyNumberFormat="1" applyFont="1" applyFill="1" applyBorder="1" applyAlignment="1">
      <alignment horizontal="left" vertical="center" wrapText="1" indent="1"/>
    </xf>
    <xf numFmtId="165" fontId="21" fillId="0" borderId="12" xfId="10" applyNumberFormat="1" applyFont="1" applyFill="1" applyBorder="1" applyAlignment="1">
      <alignment vertical="center"/>
    </xf>
    <xf numFmtId="0" fontId="11" fillId="0" borderId="12" xfId="18" applyFill="1" applyBorder="1"/>
    <xf numFmtId="165" fontId="21" fillId="0" borderId="12" xfId="15" applyNumberFormat="1" applyFont="1" applyFill="1" applyBorder="1" applyAlignment="1">
      <alignment vertical="center"/>
    </xf>
    <xf numFmtId="0" fontId="21" fillId="0" borderId="0" xfId="18" quotePrefix="1" applyFont="1" applyFill="1" applyBorder="1" applyAlignment="1">
      <alignment horizontal="left" vertical="center" wrapText="1"/>
    </xf>
    <xf numFmtId="0" fontId="25" fillId="0" borderId="0" xfId="18" applyFont="1" applyFill="1" applyAlignment="1">
      <alignment vertical="center"/>
    </xf>
    <xf numFmtId="0" fontId="21" fillId="0" borderId="0" xfId="18" applyFont="1" applyFill="1" applyAlignment="1">
      <alignment vertical="center"/>
    </xf>
    <xf numFmtId="0" fontId="77" fillId="0" borderId="0" xfId="18" applyFont="1" applyFill="1" applyAlignment="1">
      <alignment horizontal="left" vertical="center"/>
    </xf>
    <xf numFmtId="0" fontId="77" fillId="0" borderId="0" xfId="15" applyFont="1" applyFill="1" applyAlignment="1">
      <alignment horizontal="left" vertical="center"/>
    </xf>
    <xf numFmtId="0" fontId="21" fillId="0" borderId="0" xfId="15" applyFont="1" applyFill="1" applyAlignment="1">
      <alignment horizontal="left" vertical="center"/>
    </xf>
    <xf numFmtId="172" fontId="21" fillId="0" borderId="0" xfId="15" applyNumberFormat="1" applyFont="1" applyFill="1" applyAlignment="1">
      <alignment vertical="center"/>
    </xf>
    <xf numFmtId="0" fontId="48" fillId="0" borderId="0" xfId="0" quotePrefix="1" applyFont="1" applyFill="1" applyAlignment="1">
      <alignment horizontal="left" wrapText="1"/>
    </xf>
    <xf numFmtId="0" fontId="21" fillId="0" borderId="0" xfId="0" quotePrefix="1" applyFont="1" applyFill="1" applyAlignment="1">
      <alignment horizontal="justify" vertical="center" wrapText="1"/>
    </xf>
    <xf numFmtId="0" fontId="48" fillId="0" borderId="0" xfId="0" quotePrefix="1" applyFont="1" applyFill="1" applyAlignment="1">
      <alignment horizontal="justify" wrapText="1"/>
    </xf>
    <xf numFmtId="0" fontId="239" fillId="0" borderId="0" xfId="0" applyFont="1" applyFill="1" applyAlignment="1">
      <alignment horizontal="left" vertical="top"/>
    </xf>
    <xf numFmtId="0" fontId="40" fillId="0" borderId="0" xfId="0" quotePrefix="1" applyFont="1" applyFill="1" applyAlignment="1">
      <alignment horizontal="justify" vertical="center" wrapText="1"/>
    </xf>
    <xf numFmtId="165" fontId="21" fillId="0" borderId="0" xfId="14" applyNumberFormat="1" applyFont="1" applyFill="1" applyAlignment="1">
      <alignment vertical="center" wrapText="1"/>
    </xf>
    <xf numFmtId="165" fontId="22" fillId="0" borderId="0" xfId="14" applyNumberFormat="1" applyFont="1" applyFill="1" applyAlignment="1"/>
    <xf numFmtId="165" fontId="21" fillId="0" borderId="25" xfId="39" applyNumberFormat="1" applyFont="1" applyFill="1" applyBorder="1" applyAlignment="1">
      <alignment vertical="center"/>
    </xf>
    <xf numFmtId="0" fontId="21" fillId="0" borderId="9" xfId="12" applyNumberFormat="1" applyFont="1" applyFill="1" applyBorder="1" applyAlignment="1">
      <alignment horizontal="center" vertical="center" wrapText="1"/>
    </xf>
    <xf numFmtId="165" fontId="22" fillId="0" borderId="0" xfId="16" applyNumberFormat="1" applyFont="1" applyFill="1" applyBorder="1" applyAlignment="1">
      <alignment vertical="center"/>
    </xf>
    <xf numFmtId="165" fontId="21" fillId="0" borderId="0" xfId="16" applyNumberFormat="1" applyFont="1" applyFill="1" applyBorder="1" applyAlignment="1">
      <alignment horizontal="left" vertical="center" indent="1"/>
    </xf>
    <xf numFmtId="165" fontId="21" fillId="0" borderId="0" xfId="16" applyNumberFormat="1" applyFont="1" applyFill="1" applyBorder="1" applyAlignment="1">
      <alignment horizontal="left" vertical="center" indent="2"/>
    </xf>
    <xf numFmtId="165" fontId="29" fillId="0" borderId="0" xfId="18" applyNumberFormat="1" applyFont="1" applyFill="1" applyAlignment="1">
      <alignment vertical="center"/>
    </xf>
    <xf numFmtId="165" fontId="22" fillId="0" borderId="11" xfId="16" applyNumberFormat="1" applyFont="1" applyFill="1" applyBorder="1" applyAlignment="1">
      <alignment vertical="center"/>
    </xf>
    <xf numFmtId="179" fontId="22" fillId="0" borderId="7" xfId="11" applyNumberFormat="1" applyFont="1" applyFill="1" applyBorder="1" applyAlignment="1">
      <alignment vertical="center"/>
    </xf>
    <xf numFmtId="165" fontId="21" fillId="0" borderId="11" xfId="16" applyNumberFormat="1" applyFont="1" applyFill="1" applyBorder="1" applyAlignment="1">
      <alignment horizontal="center" vertical="center" wrapText="1"/>
    </xf>
    <xf numFmtId="165" fontId="46" fillId="0" borderId="0" xfId="9" applyNumberFormat="1" applyFont="1" applyFill="1" applyAlignment="1">
      <alignment horizontal="right"/>
    </xf>
    <xf numFmtId="0" fontId="40" fillId="0" borderId="12" xfId="19" applyFont="1" applyFill="1" applyBorder="1"/>
    <xf numFmtId="0" fontId="21" fillId="0" borderId="25" xfId="16" quotePrefix="1" applyNumberFormat="1" applyFont="1" applyFill="1" applyBorder="1" applyAlignment="1">
      <alignment horizontal="center" vertical="center"/>
    </xf>
    <xf numFmtId="165" fontId="21" fillId="0" borderId="0" xfId="16" applyNumberFormat="1" applyFont="1" applyFill="1" applyBorder="1"/>
    <xf numFmtId="165" fontId="46" fillId="0" borderId="0" xfId="16" applyNumberFormat="1" applyFont="1" applyFill="1" applyBorder="1" applyAlignment="1">
      <alignment vertical="center"/>
    </xf>
    <xf numFmtId="165" fontId="21" fillId="0" borderId="0" xfId="16" applyNumberFormat="1" applyFont="1" applyFill="1" applyBorder="1" applyAlignment="1">
      <alignment horizontal="right"/>
    </xf>
    <xf numFmtId="165" fontId="21" fillId="0" borderId="0" xfId="0" applyNumberFormat="1" applyFont="1" applyFill="1" applyBorder="1" applyAlignment="1">
      <alignment vertical="center"/>
    </xf>
    <xf numFmtId="165" fontId="21" fillId="0" borderId="0" xfId="16" quotePrefix="1" applyNumberFormat="1" applyFont="1" applyFill="1" applyBorder="1" applyAlignment="1">
      <alignment horizontal="right"/>
    </xf>
    <xf numFmtId="165" fontId="29" fillId="0" borderId="0" xfId="16" applyNumberFormat="1" applyFont="1" applyFill="1" applyBorder="1" applyAlignment="1">
      <alignment horizontal="right"/>
    </xf>
    <xf numFmtId="0" fontId="29" fillId="0" borderId="0" xfId="16" applyFont="1" applyFill="1" applyBorder="1"/>
    <xf numFmtId="165" fontId="21" fillId="0" borderId="0" xfId="16" applyNumberFormat="1" applyFont="1" applyFill="1" applyBorder="1" applyAlignment="1">
      <alignment horizontal="left" vertical="center" indent="3"/>
    </xf>
    <xf numFmtId="165" fontId="46" fillId="0" borderId="11" xfId="16" applyNumberFormat="1" applyFont="1" applyFill="1" applyBorder="1" applyAlignment="1">
      <alignment vertical="center"/>
    </xf>
    <xf numFmtId="165" fontId="35" fillId="0" borderId="11" xfId="16" applyNumberFormat="1" applyFont="1" applyFill="1" applyBorder="1" applyAlignment="1">
      <alignment vertical="center"/>
    </xf>
    <xf numFmtId="165" fontId="46" fillId="0" borderId="11" xfId="16" applyNumberFormat="1" applyFont="1" applyFill="1" applyBorder="1" applyAlignment="1">
      <alignment horizontal="right" vertical="center"/>
    </xf>
    <xf numFmtId="0" fontId="42" fillId="0" borderId="0" xfId="16" applyFont="1" applyFill="1" applyBorder="1" applyAlignment="1">
      <alignment vertical="center"/>
    </xf>
    <xf numFmtId="165" fontId="36" fillId="0" borderId="0" xfId="16" applyNumberFormat="1" applyFont="1" applyFill="1" applyBorder="1" applyAlignment="1">
      <alignment vertical="center"/>
    </xf>
    <xf numFmtId="165" fontId="29" fillId="0" borderId="0" xfId="16" applyNumberFormat="1" applyFont="1" applyFill="1" applyBorder="1" applyAlignment="1">
      <alignment horizontal="right" vertical="center"/>
    </xf>
    <xf numFmtId="165" fontId="29" fillId="0" borderId="0" xfId="16" applyNumberFormat="1" applyFont="1" applyFill="1" applyBorder="1" applyAlignment="1">
      <alignment vertical="center"/>
    </xf>
    <xf numFmtId="165" fontId="21" fillId="0" borderId="12" xfId="16" applyNumberFormat="1" applyFont="1" applyFill="1" applyBorder="1" applyAlignment="1">
      <alignment horizontal="left" vertical="center" indent="2"/>
    </xf>
    <xf numFmtId="165" fontId="29" fillId="0" borderId="12" xfId="16" applyNumberFormat="1" applyFont="1" applyFill="1" applyBorder="1" applyAlignment="1">
      <alignment vertical="center"/>
    </xf>
    <xf numFmtId="165" fontId="21" fillId="0" borderId="12" xfId="16" applyNumberFormat="1" applyFont="1" applyFill="1" applyBorder="1" applyAlignment="1">
      <alignment horizontal="right"/>
    </xf>
    <xf numFmtId="0" fontId="21" fillId="0" borderId="12" xfId="16" applyFont="1" applyFill="1" applyBorder="1"/>
    <xf numFmtId="172" fontId="21" fillId="0" borderId="0" xfId="16" applyNumberFormat="1" applyFont="1" applyFill="1" applyBorder="1" applyAlignment="1">
      <alignment horizontal="left" vertical="top" wrapText="1"/>
    </xf>
    <xf numFmtId="165" fontId="35" fillId="0" borderId="0" xfId="14" applyNumberFormat="1" applyFont="1" applyFill="1"/>
    <xf numFmtId="165" fontId="29" fillId="0" borderId="0" xfId="18" applyNumberFormat="1" applyFont="1" applyFill="1"/>
    <xf numFmtId="165" fontId="29" fillId="0" borderId="0" xfId="18" applyNumberFormat="1" applyFont="1" applyFill="1" applyAlignment="1">
      <alignment horizontal="right"/>
    </xf>
    <xf numFmtId="171" fontId="29" fillId="0" borderId="0" xfId="12" applyNumberFormat="1" applyFont="1" applyFill="1" applyAlignment="1">
      <alignment horizontal="left" vertical="center" indent="2"/>
    </xf>
    <xf numFmtId="171" fontId="40" fillId="0" borderId="0" xfId="19" quotePrefix="1" applyNumberFormat="1" applyFont="1" applyFill="1" applyAlignment="1">
      <alignment horizontal="right"/>
    </xf>
    <xf numFmtId="171" fontId="40" fillId="0" borderId="0" xfId="19" applyNumberFormat="1" applyFont="1" applyFill="1" applyAlignment="1">
      <alignment horizontal="right"/>
    </xf>
    <xf numFmtId="0" fontId="21" fillId="0" borderId="0" xfId="16" quotePrefix="1" applyNumberFormat="1" applyFont="1" applyFill="1" applyBorder="1" applyAlignment="1">
      <alignment horizontal="center" vertical="center"/>
    </xf>
    <xf numFmtId="165" fontId="192" fillId="0" borderId="0" xfId="10" applyNumberFormat="1" applyFont="1" applyFill="1" applyBorder="1" applyAlignment="1">
      <alignment vertical="center"/>
    </xf>
    <xf numFmtId="165" fontId="21" fillId="0" borderId="6" xfId="15" applyNumberFormat="1" applyFont="1" applyFill="1" applyBorder="1" applyAlignment="1">
      <alignment horizontal="left" vertical="center" wrapText="1" indent="1"/>
    </xf>
    <xf numFmtId="165" fontId="192" fillId="0" borderId="6" xfId="10" applyNumberFormat="1" applyFont="1" applyFill="1" applyBorder="1" applyAlignment="1">
      <alignment vertical="center"/>
    </xf>
    <xf numFmtId="165" fontId="21" fillId="0" borderId="6" xfId="15" applyNumberFormat="1" applyFont="1" applyFill="1" applyBorder="1" applyAlignment="1">
      <alignment vertical="center"/>
    </xf>
    <xf numFmtId="0" fontId="11" fillId="0" borderId="6" xfId="18" applyFill="1" applyBorder="1"/>
    <xf numFmtId="165" fontId="21" fillId="0" borderId="6" xfId="12" applyNumberFormat="1" applyFont="1" applyFill="1" applyBorder="1" applyAlignment="1">
      <alignment vertical="center"/>
    </xf>
    <xf numFmtId="165" fontId="46" fillId="3" borderId="0" xfId="14" applyNumberFormat="1" applyFont="1" applyFill="1"/>
    <xf numFmtId="175" fontId="191" fillId="3" borderId="0" xfId="21" applyNumberFormat="1" applyFont="1" applyFill="1" applyAlignment="1">
      <alignment vertical="center"/>
    </xf>
    <xf numFmtId="175" fontId="190" fillId="3" borderId="0" xfId="21" applyNumberFormat="1" applyFont="1" applyFill="1"/>
    <xf numFmtId="165" fontId="46" fillId="3" borderId="0" xfId="14" applyNumberFormat="1" applyFont="1" applyFill="1" applyAlignment="1">
      <alignment horizontal="right"/>
    </xf>
    <xf numFmtId="171" fontId="29" fillId="3" borderId="8" xfId="12" applyNumberFormat="1" applyFont="1" applyFill="1" applyBorder="1" applyAlignment="1">
      <alignment vertical="center"/>
    </xf>
    <xf numFmtId="165" fontId="30" fillId="3" borderId="9" xfId="12" quotePrefix="1" applyNumberFormat="1" applyFont="1" applyFill="1" applyBorder="1" applyAlignment="1" applyProtection="1">
      <alignment horizontal="center" vertical="center" wrapText="1"/>
      <protection locked="0"/>
    </xf>
    <xf numFmtId="171" fontId="29" fillId="3" borderId="12" xfId="12" applyNumberFormat="1" applyFont="1" applyFill="1" applyBorder="1" applyAlignment="1">
      <alignment vertical="center"/>
    </xf>
    <xf numFmtId="0" fontId="29" fillId="3" borderId="9" xfId="9" quotePrefix="1" applyFont="1" applyFill="1" applyBorder="1" applyAlignment="1" applyProtection="1">
      <alignment horizontal="center" vertical="center"/>
      <protection locked="0"/>
    </xf>
    <xf numFmtId="1" fontId="29" fillId="3" borderId="9" xfId="7" quotePrefix="1" applyNumberFormat="1" applyFont="1" applyFill="1" applyBorder="1" applyAlignment="1" applyProtection="1">
      <alignment horizontal="center" vertical="center" wrapText="1"/>
      <protection locked="0"/>
    </xf>
    <xf numFmtId="1" fontId="29" fillId="3" borderId="9" xfId="18" quotePrefix="1" applyNumberFormat="1" applyFont="1" applyFill="1" applyBorder="1" applyAlignment="1" applyProtection="1">
      <alignment horizontal="center" vertical="center" wrapText="1"/>
      <protection locked="0"/>
    </xf>
    <xf numFmtId="165" fontId="29" fillId="3" borderId="10" xfId="12" quotePrefix="1" applyNumberFormat="1" applyFont="1" applyFill="1" applyBorder="1" applyAlignment="1" applyProtection="1">
      <alignment horizontal="center" vertical="center" wrapText="1"/>
      <protection locked="0"/>
    </xf>
    <xf numFmtId="171" fontId="35" fillId="3" borderId="0" xfId="14" applyNumberFormat="1" applyFont="1" applyFill="1" applyBorder="1"/>
    <xf numFmtId="193" fontId="35" fillId="3" borderId="0" xfId="21" applyNumberFormat="1" applyFont="1" applyFill="1" applyBorder="1" applyAlignment="1">
      <alignment horizontal="right"/>
    </xf>
    <xf numFmtId="171" fontId="29" fillId="3" borderId="0" xfId="12" applyNumberFormat="1" applyFont="1" applyFill="1" applyBorder="1" applyAlignment="1">
      <alignment horizontal="left" vertical="center" indent="1"/>
    </xf>
    <xf numFmtId="193" fontId="29" fillId="3" borderId="0" xfId="21" applyNumberFormat="1" applyFont="1" applyFill="1" applyBorder="1"/>
    <xf numFmtId="193" fontId="29" fillId="3" borderId="0" xfId="21" applyNumberFormat="1" applyFont="1" applyFill="1" applyBorder="1" applyAlignment="1">
      <alignment horizontal="right"/>
    </xf>
    <xf numFmtId="171" fontId="29" fillId="3" borderId="0" xfId="12" applyNumberFormat="1" applyFont="1" applyFill="1" applyBorder="1" applyAlignment="1">
      <alignment horizontal="left" vertical="center" indent="2"/>
    </xf>
    <xf numFmtId="193" fontId="29" fillId="3" borderId="0" xfId="21" applyNumberFormat="1" applyFont="1" applyFill="1" applyBorder="1" applyAlignment="1">
      <alignment horizontal="right" vertical="center"/>
    </xf>
    <xf numFmtId="193" fontId="29" fillId="3" borderId="0" xfId="21" applyNumberFormat="1" applyFont="1" applyFill="1" applyBorder="1" applyAlignment="1">
      <alignment vertical="center"/>
    </xf>
    <xf numFmtId="165" fontId="21" fillId="3" borderId="0" xfId="12" applyNumberFormat="1" applyFont="1" applyFill="1" applyBorder="1" applyAlignment="1">
      <alignment horizontal="left" vertical="center" indent="2"/>
    </xf>
    <xf numFmtId="171" fontId="35" fillId="3" borderId="11" xfId="14" applyNumberFormat="1" applyFont="1" applyFill="1" applyBorder="1"/>
    <xf numFmtId="193" fontId="35" fillId="3" borderId="11" xfId="21" applyNumberFormat="1" applyFont="1" applyFill="1" applyBorder="1" applyAlignment="1">
      <alignment horizontal="right"/>
    </xf>
    <xf numFmtId="171" fontId="34" fillId="3" borderId="0" xfId="14" applyNumberFormat="1" applyFont="1" applyFill="1" applyBorder="1"/>
    <xf numFmtId="193" fontId="11" fillId="3" borderId="0" xfId="21" applyNumberFormat="1" applyFont="1" applyFill="1" applyBorder="1" applyAlignment="1">
      <alignment horizontal="right"/>
    </xf>
    <xf numFmtId="171" fontId="35" fillId="3" borderId="11" xfId="14" applyNumberFormat="1" applyFont="1" applyFill="1" applyBorder="1" applyAlignment="1">
      <alignment vertical="center"/>
    </xf>
    <xf numFmtId="193" fontId="35" fillId="3" borderId="11" xfId="21" applyNumberFormat="1" applyFont="1" applyFill="1" applyBorder="1" applyAlignment="1">
      <alignment horizontal="right" vertical="center"/>
    </xf>
    <xf numFmtId="171" fontId="36" fillId="3" borderId="0" xfId="12" applyNumberFormat="1" applyFont="1" applyFill="1" applyBorder="1" applyAlignment="1">
      <alignment vertical="center"/>
    </xf>
    <xf numFmtId="193" fontId="50" fillId="3" borderId="0" xfId="21" applyNumberFormat="1" applyFont="1" applyFill="1" applyBorder="1" applyAlignment="1">
      <alignment horizontal="right"/>
    </xf>
    <xf numFmtId="171" fontId="29" fillId="3" borderId="0" xfId="12" applyNumberFormat="1" applyFont="1" applyFill="1" applyBorder="1" applyAlignment="1">
      <alignment vertical="center"/>
    </xf>
    <xf numFmtId="165" fontId="29" fillId="3" borderId="0" xfId="12" applyNumberFormat="1" applyFont="1" applyFill="1" applyBorder="1" applyAlignment="1">
      <alignment vertical="center"/>
    </xf>
    <xf numFmtId="171" fontId="21" fillId="3" borderId="0" xfId="12" applyNumberFormat="1" applyFont="1" applyFill="1" applyBorder="1" applyAlignment="1">
      <alignment horizontal="left" vertical="center" indent="2"/>
    </xf>
    <xf numFmtId="193" fontId="50" fillId="3" borderId="0" xfId="21" applyNumberFormat="1" applyFont="1" applyFill="1" applyBorder="1"/>
    <xf numFmtId="165" fontId="21" fillId="3" borderId="12" xfId="18" applyNumberFormat="1" applyFont="1" applyFill="1" applyBorder="1" applyAlignment="1">
      <alignment horizontal="right"/>
    </xf>
    <xf numFmtId="165" fontId="29" fillId="3" borderId="12" xfId="21" applyNumberFormat="1" applyFont="1" applyFill="1" applyBorder="1"/>
    <xf numFmtId="165" fontId="50" fillId="3" borderId="12" xfId="21" applyNumberFormat="1" applyFont="1" applyFill="1" applyBorder="1"/>
    <xf numFmtId="0" fontId="21" fillId="3" borderId="0" xfId="18" applyFont="1" applyFill="1" applyBorder="1"/>
    <xf numFmtId="165" fontId="21" fillId="3" borderId="0" xfId="18" applyNumberFormat="1" applyFont="1" applyFill="1" applyBorder="1"/>
    <xf numFmtId="0" fontId="43" fillId="3" borderId="0" xfId="18" applyFont="1" applyFill="1" applyBorder="1"/>
    <xf numFmtId="194" fontId="21" fillId="3" borderId="0" xfId="13" applyNumberFormat="1" applyFont="1" applyFill="1" applyBorder="1"/>
    <xf numFmtId="193" fontId="11" fillId="3" borderId="0" xfId="18" applyNumberFormat="1" applyFill="1" applyBorder="1"/>
    <xf numFmtId="165" fontId="42" fillId="3" borderId="0" xfId="18" applyNumberFormat="1" applyFont="1" applyFill="1" applyBorder="1"/>
    <xf numFmtId="165" fontId="21" fillId="3" borderId="0" xfId="18" applyNumberFormat="1" applyFont="1" applyFill="1" applyBorder="1" applyAlignment="1">
      <alignment horizontal="left" indent="1"/>
    </xf>
    <xf numFmtId="165" fontId="21" fillId="3" borderId="0" xfId="18" applyNumberFormat="1" applyFont="1" applyFill="1" applyBorder="1" applyAlignment="1">
      <alignment horizontal="right"/>
    </xf>
    <xf numFmtId="0" fontId="43" fillId="3" borderId="0" xfId="18" applyFont="1" applyFill="1"/>
    <xf numFmtId="165" fontId="21" fillId="3" borderId="0" xfId="18" applyNumberFormat="1" applyFont="1" applyFill="1"/>
    <xf numFmtId="194" fontId="21" fillId="3" borderId="0" xfId="13" applyNumberFormat="1" applyFont="1" applyFill="1"/>
    <xf numFmtId="165" fontId="192" fillId="3" borderId="0" xfId="18" applyNumberFormat="1" applyFont="1" applyFill="1"/>
    <xf numFmtId="0" fontId="192" fillId="3" borderId="0" xfId="18" applyFont="1" applyFill="1"/>
    <xf numFmtId="165" fontId="46" fillId="3" borderId="0" xfId="14" applyNumberFormat="1" applyFont="1" applyFill="1" applyBorder="1" applyAlignment="1">
      <alignment horizontal="right"/>
    </xf>
    <xf numFmtId="0" fontId="25" fillId="3" borderId="8" xfId="18" applyFont="1" applyFill="1" applyBorder="1"/>
    <xf numFmtId="0" fontId="21" fillId="3" borderId="12" xfId="18" applyFont="1" applyFill="1" applyBorder="1"/>
    <xf numFmtId="165" fontId="25" fillId="3" borderId="0" xfId="12" quotePrefix="1" applyNumberFormat="1" applyFont="1" applyFill="1" applyBorder="1" applyAlignment="1">
      <alignment horizontal="center" vertical="center" wrapText="1"/>
    </xf>
    <xf numFmtId="165" fontId="46" fillId="3" borderId="0" xfId="14" applyNumberFormat="1" applyFont="1" applyFill="1" applyBorder="1"/>
    <xf numFmtId="165" fontId="46" fillId="3" borderId="0" xfId="18" applyNumberFormat="1" applyFont="1" applyFill="1" applyBorder="1"/>
    <xf numFmtId="165" fontId="46" fillId="3" borderId="0" xfId="18" applyNumberFormat="1" applyFont="1" applyFill="1" applyBorder="1" applyAlignment="1">
      <alignment horizontal="right"/>
    </xf>
    <xf numFmtId="165" fontId="21" fillId="3" borderId="0" xfId="16" applyNumberFormat="1" applyFont="1" applyFill="1" applyBorder="1" applyAlignment="1">
      <alignment horizontal="left" vertical="center" indent="1"/>
    </xf>
    <xf numFmtId="165" fontId="42" fillId="3" borderId="0" xfId="18" applyNumberFormat="1" applyFont="1" applyFill="1" applyBorder="1" applyAlignment="1">
      <alignment horizontal="left" indent="2"/>
    </xf>
    <xf numFmtId="165" fontId="21" fillId="3" borderId="0" xfId="18" applyNumberFormat="1" applyFont="1" applyFill="1" applyBorder="1" applyAlignment="1">
      <alignment horizontal="left" indent="3"/>
    </xf>
    <xf numFmtId="165" fontId="21" fillId="3" borderId="0" xfId="18" applyNumberFormat="1" applyFont="1" applyFill="1" applyBorder="1" applyAlignment="1">
      <alignment horizontal="left" indent="4"/>
    </xf>
    <xf numFmtId="165" fontId="21" fillId="3" borderId="0" xfId="2322" applyNumberFormat="1" applyFont="1" applyFill="1" applyBorder="1" applyAlignment="1">
      <alignment horizontal="left" indent="4"/>
    </xf>
    <xf numFmtId="0" fontId="21" fillId="3" borderId="0" xfId="18" applyFont="1" applyFill="1" applyBorder="1" applyAlignment="1">
      <alignment horizontal="left" indent="1"/>
    </xf>
    <xf numFmtId="165" fontId="46" fillId="3" borderId="11" xfId="18" applyNumberFormat="1" applyFont="1" applyFill="1" applyBorder="1" applyAlignment="1">
      <alignment horizontal="right"/>
    </xf>
    <xf numFmtId="165" fontId="21" fillId="3" borderId="0" xfId="18" applyNumberFormat="1" applyFont="1" applyFill="1" applyBorder="1" applyAlignment="1">
      <alignment horizontal="left"/>
    </xf>
    <xf numFmtId="165" fontId="2" fillId="3" borderId="0" xfId="18" applyNumberFormat="1" applyFont="1" applyFill="1" applyBorder="1"/>
    <xf numFmtId="165" fontId="26" fillId="3" borderId="0" xfId="18" applyNumberFormat="1" applyFont="1" applyFill="1" applyBorder="1"/>
    <xf numFmtId="165" fontId="26" fillId="3" borderId="0" xfId="18" applyNumberFormat="1" applyFont="1" applyFill="1" applyBorder="1" applyAlignment="1">
      <alignment horizontal="right"/>
    </xf>
    <xf numFmtId="165" fontId="21" fillId="3" borderId="0" xfId="18" quotePrefix="1" applyNumberFormat="1" applyFont="1" applyFill="1" applyBorder="1" applyAlignment="1">
      <alignment horizontal="right"/>
    </xf>
    <xf numFmtId="0" fontId="21" fillId="3" borderId="0" xfId="18" applyFont="1" applyFill="1" applyBorder="1" applyAlignment="1">
      <alignment horizontal="left"/>
    </xf>
    <xf numFmtId="0" fontId="21" fillId="3" borderId="0" xfId="18" applyFont="1" applyFill="1" applyBorder="1" applyAlignment="1">
      <alignment horizontal="left" indent="2"/>
    </xf>
    <xf numFmtId="165" fontId="46" fillId="0" borderId="0" xfId="18" applyNumberFormat="1" applyFont="1" applyFill="1" applyBorder="1" applyAlignment="1"/>
    <xf numFmtId="165" fontId="166" fillId="0" borderId="0" xfId="18" applyNumberFormat="1" applyFont="1" applyFill="1" applyBorder="1" applyAlignment="1">
      <alignment vertical="center"/>
    </xf>
    <xf numFmtId="165" fontId="46" fillId="0" borderId="0" xfId="18" applyNumberFormat="1" applyFont="1" applyFill="1" applyBorder="1" applyAlignment="1">
      <alignment horizontal="center"/>
    </xf>
    <xf numFmtId="165" fontId="46" fillId="0" borderId="8" xfId="18" applyNumberFormat="1" applyFont="1" applyFill="1" applyBorder="1" applyAlignment="1">
      <alignment vertical="center"/>
    </xf>
    <xf numFmtId="165" fontId="25" fillId="0" borderId="8" xfId="18" applyNumberFormat="1" applyFont="1" applyFill="1" applyBorder="1" applyAlignment="1">
      <alignment vertical="center"/>
    </xf>
    <xf numFmtId="165" fontId="192" fillId="0" borderId="12" xfId="18" applyNumberFormat="1" applyFont="1" applyFill="1" applyBorder="1" applyAlignment="1">
      <alignment vertical="center"/>
    </xf>
    <xf numFmtId="165" fontId="21" fillId="0" borderId="12" xfId="18" applyNumberFormat="1" applyFont="1" applyFill="1" applyBorder="1" applyAlignment="1">
      <alignment vertical="center"/>
    </xf>
    <xf numFmtId="165" fontId="21" fillId="0" borderId="9" xfId="18" applyNumberFormat="1" applyFont="1" applyFill="1" applyBorder="1" applyAlignment="1">
      <alignment horizontal="center" vertical="center" wrapText="1"/>
    </xf>
    <xf numFmtId="165" fontId="21" fillId="0" borderId="9" xfId="18" applyNumberFormat="1" applyFont="1" applyFill="1" applyBorder="1" applyAlignment="1">
      <alignment horizontal="center" vertical="center"/>
    </xf>
    <xf numFmtId="165" fontId="46" fillId="0" borderId="0" xfId="18" quotePrefix="1" applyNumberFormat="1" applyFont="1" applyFill="1" applyAlignment="1">
      <alignment vertical="center"/>
    </xf>
    <xf numFmtId="165" fontId="46" fillId="0" borderId="0" xfId="18" quotePrefix="1" applyNumberFormat="1" applyFont="1" applyFill="1" applyBorder="1" applyAlignment="1">
      <alignment vertical="center"/>
    </xf>
    <xf numFmtId="0" fontId="46" fillId="0" borderId="0" xfId="18" quotePrefix="1" applyNumberFormat="1" applyFont="1" applyFill="1" applyAlignment="1">
      <alignment vertical="center"/>
    </xf>
    <xf numFmtId="165" fontId="192" fillId="0" borderId="0" xfId="18" applyNumberFormat="1" applyFont="1" applyFill="1" applyBorder="1" applyAlignment="1">
      <alignment vertical="center"/>
    </xf>
    <xf numFmtId="3" fontId="21" fillId="0" borderId="0" xfId="2257" applyNumberFormat="1" applyFont="1" applyFill="1" applyAlignment="1">
      <alignment vertical="center"/>
    </xf>
    <xf numFmtId="165" fontId="21" fillId="0" borderId="0" xfId="2257" applyNumberFormat="1" applyFont="1" applyFill="1" applyAlignment="1">
      <alignment vertical="center"/>
    </xf>
    <xf numFmtId="3" fontId="21" fillId="0" borderId="0" xfId="2262" applyNumberFormat="1" applyFont="1" applyFill="1" applyAlignment="1">
      <alignment vertical="center"/>
    </xf>
    <xf numFmtId="165" fontId="21" fillId="0" borderId="0" xfId="2262" applyNumberFormat="1" applyFont="1" applyFill="1" applyAlignment="1">
      <alignment vertical="center"/>
    </xf>
    <xf numFmtId="3" fontId="21" fillId="0" borderId="0" xfId="2273" applyNumberFormat="1" applyFont="1" applyFill="1" applyAlignment="1">
      <alignment vertical="center"/>
    </xf>
    <xf numFmtId="165" fontId="21" fillId="0" borderId="0" xfId="2273" applyNumberFormat="1" applyFont="1" applyFill="1" applyAlignment="1">
      <alignment vertical="center"/>
    </xf>
    <xf numFmtId="3" fontId="21" fillId="0" borderId="0" xfId="2309" applyNumberFormat="1" applyFont="1" applyFill="1" applyAlignment="1">
      <alignment vertical="center"/>
    </xf>
    <xf numFmtId="165" fontId="21" fillId="0" borderId="0" xfId="2309" applyNumberFormat="1" applyFont="1" applyFill="1" applyAlignment="1">
      <alignment vertical="center"/>
    </xf>
    <xf numFmtId="3" fontId="21" fillId="0" borderId="0" xfId="2323" applyNumberFormat="1" applyFont="1" applyFill="1" applyAlignment="1">
      <alignment vertical="center"/>
    </xf>
    <xf numFmtId="165" fontId="21" fillId="0" borderId="0" xfId="2323" applyNumberFormat="1" applyFont="1" applyFill="1" applyAlignment="1">
      <alignment vertical="center"/>
    </xf>
    <xf numFmtId="3" fontId="21" fillId="0" borderId="0" xfId="2331" applyNumberFormat="1" applyFont="1" applyFill="1" applyAlignment="1">
      <alignment vertical="center"/>
    </xf>
    <xf numFmtId="3" fontId="21" fillId="0" borderId="0" xfId="2335" applyNumberFormat="1" applyFont="1" applyFill="1" applyAlignment="1">
      <alignment vertical="center"/>
    </xf>
    <xf numFmtId="165" fontId="21" fillId="0" borderId="0" xfId="2335" applyNumberFormat="1" applyFont="1" applyFill="1" applyAlignment="1">
      <alignment vertical="center"/>
    </xf>
    <xf numFmtId="3" fontId="21" fillId="0" borderId="0" xfId="2346" applyNumberFormat="1" applyFont="1" applyFill="1" applyAlignment="1">
      <alignment vertical="center"/>
    </xf>
    <xf numFmtId="165" fontId="21" fillId="0" borderId="0" xfId="2346" applyNumberFormat="1" applyFont="1" applyFill="1" applyAlignment="1">
      <alignment vertical="center"/>
    </xf>
    <xf numFmtId="3" fontId="21" fillId="0" borderId="0" xfId="2357" applyNumberFormat="1" applyFont="1" applyFill="1" applyAlignment="1">
      <alignment vertical="center"/>
    </xf>
    <xf numFmtId="165" fontId="21" fillId="0" borderId="0" xfId="2357" applyNumberFormat="1" applyFont="1" applyFill="1" applyAlignment="1">
      <alignment vertical="center"/>
    </xf>
    <xf numFmtId="3" fontId="21" fillId="0" borderId="0" xfId="2368" applyNumberFormat="1" applyFont="1" applyFill="1" applyAlignment="1">
      <alignment vertical="center"/>
    </xf>
    <xf numFmtId="165" fontId="21" fillId="0" borderId="0" xfId="2368" applyNumberFormat="1" applyFont="1" applyFill="1" applyAlignment="1">
      <alignment vertical="center"/>
    </xf>
    <xf numFmtId="3" fontId="21" fillId="0" borderId="0" xfId="2403" applyNumberFormat="1" applyFont="1" applyFill="1" applyAlignment="1">
      <alignment vertical="center"/>
    </xf>
    <xf numFmtId="165" fontId="21" fillId="0" borderId="0" xfId="2403" applyNumberFormat="1" applyFont="1" applyFill="1" applyAlignment="1">
      <alignment vertical="center"/>
    </xf>
    <xf numFmtId="3" fontId="21" fillId="0" borderId="0" xfId="2438" applyNumberFormat="1" applyFont="1" applyFill="1" applyAlignment="1">
      <alignment vertical="center"/>
    </xf>
    <xf numFmtId="165" fontId="21" fillId="0" borderId="0" xfId="2438" applyNumberFormat="1" applyFont="1" applyFill="1" applyAlignment="1">
      <alignment vertical="center"/>
    </xf>
    <xf numFmtId="3" fontId="21" fillId="0" borderId="0" xfId="2473" applyNumberFormat="1" applyFont="1" applyFill="1" applyAlignment="1">
      <alignment vertical="center"/>
    </xf>
    <xf numFmtId="165" fontId="21" fillId="0" borderId="0" xfId="2473" applyNumberFormat="1" applyFont="1" applyFill="1" applyAlignment="1">
      <alignment vertical="center"/>
    </xf>
    <xf numFmtId="3" fontId="21" fillId="0" borderId="0" xfId="2576" applyNumberFormat="1" applyFont="1" applyFill="1" applyAlignment="1">
      <alignment vertical="center"/>
    </xf>
    <xf numFmtId="165" fontId="21" fillId="0" borderId="0" xfId="2576" applyNumberFormat="1" applyFont="1" applyFill="1" applyAlignment="1">
      <alignment vertical="center"/>
    </xf>
    <xf numFmtId="3" fontId="21" fillId="0" borderId="0" xfId="2577" applyNumberFormat="1" applyFont="1" applyFill="1" applyAlignment="1">
      <alignment vertical="center"/>
    </xf>
    <xf numFmtId="165" fontId="21" fillId="0" borderId="0" xfId="2577" applyNumberFormat="1" applyFont="1" applyFill="1" applyAlignment="1">
      <alignment vertical="center"/>
    </xf>
    <xf numFmtId="3" fontId="21" fillId="0" borderId="0" xfId="2613" applyNumberFormat="1" applyFont="1" applyFill="1" applyAlignment="1">
      <alignment vertical="center"/>
    </xf>
    <xf numFmtId="165" fontId="21" fillId="0" borderId="0" xfId="2613" applyNumberFormat="1" applyFont="1" applyFill="1" applyAlignment="1">
      <alignment vertical="center"/>
    </xf>
    <xf numFmtId="3" fontId="21" fillId="0" borderId="0" xfId="2648" applyNumberFormat="1" applyFont="1" applyFill="1" applyAlignment="1">
      <alignment vertical="center"/>
    </xf>
    <xf numFmtId="3" fontId="21" fillId="0" borderId="0" xfId="2648" applyNumberFormat="1" applyFont="1" applyFill="1" applyBorder="1" applyAlignment="1">
      <alignment vertical="center" wrapText="1"/>
    </xf>
    <xf numFmtId="165" fontId="21" fillId="0" borderId="0" xfId="2648" applyNumberFormat="1" applyFont="1" applyFill="1" applyAlignment="1">
      <alignment vertical="center"/>
    </xf>
    <xf numFmtId="3" fontId="21" fillId="0" borderId="0" xfId="2683" applyNumberFormat="1" applyFont="1" applyFill="1" applyAlignment="1">
      <alignment vertical="center"/>
    </xf>
    <xf numFmtId="165" fontId="21" fillId="0" borderId="0" xfId="2683" applyNumberFormat="1" applyFont="1" applyFill="1" applyAlignment="1">
      <alignment vertical="center"/>
    </xf>
    <xf numFmtId="165" fontId="21" fillId="0" borderId="6" xfId="18" applyNumberFormat="1" applyFont="1" applyFill="1" applyBorder="1" applyAlignment="1">
      <alignment vertical="center"/>
    </xf>
    <xf numFmtId="165" fontId="25" fillId="0" borderId="0" xfId="18" applyNumberFormat="1" applyFont="1" applyFill="1" applyBorder="1" applyAlignment="1">
      <alignment vertical="center"/>
    </xf>
    <xf numFmtId="165" fontId="46" fillId="0" borderId="11" xfId="18" applyNumberFormat="1" applyFont="1" applyFill="1" applyBorder="1" applyAlignment="1">
      <alignment vertical="center"/>
    </xf>
    <xf numFmtId="165" fontId="25" fillId="0" borderId="11" xfId="18" applyNumberFormat="1" applyFont="1" applyFill="1" applyBorder="1" applyAlignment="1">
      <alignment vertical="center"/>
    </xf>
    <xf numFmtId="165" fontId="192" fillId="0" borderId="11" xfId="18" applyNumberFormat="1" applyFont="1" applyFill="1" applyBorder="1" applyAlignment="1">
      <alignment vertical="center"/>
    </xf>
    <xf numFmtId="165" fontId="21" fillId="0" borderId="11" xfId="18" applyNumberFormat="1" applyFont="1" applyFill="1" applyBorder="1" applyAlignment="1">
      <alignment vertical="center"/>
    </xf>
    <xf numFmtId="165" fontId="21" fillId="0" borderId="25" xfId="18" applyNumberFormat="1" applyFont="1" applyFill="1" applyBorder="1" applyAlignment="1">
      <alignment horizontal="center" vertical="center" wrapText="1"/>
    </xf>
    <xf numFmtId="165" fontId="21" fillId="0" borderId="10" xfId="18" applyNumberFormat="1" applyFont="1" applyFill="1" applyBorder="1" applyAlignment="1">
      <alignment horizontal="center" vertical="center" wrapText="1"/>
    </xf>
    <xf numFmtId="0" fontId="46" fillId="0" borderId="0" xfId="18" quotePrefix="1" applyNumberFormat="1" applyFont="1" applyFill="1" applyBorder="1" applyAlignment="1">
      <alignment vertical="center"/>
    </xf>
    <xf numFmtId="165" fontId="21" fillId="0" borderId="0" xfId="2258" applyNumberFormat="1" applyFont="1" applyFill="1" applyAlignment="1">
      <alignment vertical="center"/>
    </xf>
    <xf numFmtId="165" fontId="21" fillId="0" borderId="0" xfId="2270" applyNumberFormat="1" applyFont="1" applyFill="1" applyAlignment="1">
      <alignment vertical="center"/>
    </xf>
    <xf numFmtId="165" fontId="21" fillId="0" borderId="0" xfId="2305" applyNumberFormat="1" applyFont="1" applyFill="1" applyAlignment="1">
      <alignment vertical="center"/>
    </xf>
    <xf numFmtId="165" fontId="21" fillId="0" borderId="0" xfId="2317" applyNumberFormat="1" applyFont="1" applyFill="1" applyAlignment="1">
      <alignment vertical="center"/>
    </xf>
    <xf numFmtId="165" fontId="21" fillId="0" borderId="0" xfId="2332" applyNumberFormat="1" applyFont="1" applyFill="1" applyAlignment="1">
      <alignment vertical="center"/>
    </xf>
    <xf numFmtId="165" fontId="21" fillId="0" borderId="0" xfId="2343" applyNumberFormat="1" applyFont="1" applyFill="1" applyAlignment="1">
      <alignment vertical="center"/>
    </xf>
    <xf numFmtId="165" fontId="21" fillId="0" borderId="0" xfId="2354" applyNumberFormat="1" applyFont="1" applyFill="1" applyAlignment="1">
      <alignment vertical="center"/>
    </xf>
    <xf numFmtId="165" fontId="21" fillId="0" borderId="0" xfId="2365" applyNumberFormat="1" applyFont="1" applyFill="1" applyAlignment="1">
      <alignment vertical="center"/>
    </xf>
    <xf numFmtId="165" fontId="21" fillId="0" borderId="0" xfId="2400" applyNumberFormat="1" applyFont="1" applyFill="1" applyAlignment="1">
      <alignment vertical="center"/>
    </xf>
    <xf numFmtId="165" fontId="21" fillId="0" borderId="0" xfId="2435" applyNumberFormat="1" applyFont="1" applyFill="1" applyAlignment="1">
      <alignment vertical="center"/>
    </xf>
    <xf numFmtId="165" fontId="21" fillId="0" borderId="0" xfId="2470" applyNumberFormat="1" applyFont="1" applyFill="1" applyAlignment="1">
      <alignment vertical="center"/>
    </xf>
    <xf numFmtId="165" fontId="21" fillId="0" borderId="0" xfId="2505" applyNumberFormat="1" applyFont="1" applyFill="1" applyAlignment="1">
      <alignment vertical="center"/>
    </xf>
    <xf numFmtId="165" fontId="21" fillId="0" borderId="0" xfId="2575" applyNumberFormat="1" applyFont="1" applyFill="1" applyAlignment="1">
      <alignment vertical="center"/>
    </xf>
    <xf numFmtId="165" fontId="21" fillId="0" borderId="0" xfId="2609" applyNumberFormat="1" applyFont="1" applyFill="1" applyAlignment="1">
      <alignment vertical="center"/>
    </xf>
    <xf numFmtId="165" fontId="21" fillId="0" borderId="0" xfId="2645" applyNumberFormat="1" applyFont="1" applyFill="1" applyAlignment="1">
      <alignment vertical="center"/>
    </xf>
    <xf numFmtId="165" fontId="21" fillId="0" borderId="0" xfId="2680" applyNumberFormat="1" applyFont="1" applyFill="1" applyAlignment="1">
      <alignment vertical="center"/>
    </xf>
    <xf numFmtId="165" fontId="21" fillId="0" borderId="0" xfId="2715" applyNumberFormat="1" applyFont="1" applyFill="1" applyAlignment="1">
      <alignment vertical="center"/>
    </xf>
    <xf numFmtId="165" fontId="46" fillId="0" borderId="0" xfId="18" applyNumberFormat="1" applyFont="1" applyFill="1" applyBorder="1" applyAlignment="1">
      <alignment vertical="center"/>
    </xf>
    <xf numFmtId="165" fontId="25" fillId="0" borderId="26" xfId="18" applyNumberFormat="1" applyFont="1" applyFill="1" applyBorder="1" applyAlignment="1">
      <alignment vertical="center"/>
    </xf>
    <xf numFmtId="165" fontId="25" fillId="0" borderId="27" xfId="18" applyNumberFormat="1" applyFont="1" applyFill="1" applyBorder="1" applyAlignment="1">
      <alignment vertical="center"/>
    </xf>
    <xf numFmtId="165" fontId="21" fillId="0" borderId="29" xfId="18" applyNumberFormat="1" applyFont="1" applyFill="1" applyBorder="1" applyAlignment="1">
      <alignment vertical="center"/>
    </xf>
    <xf numFmtId="3" fontId="21" fillId="0" borderId="0" xfId="7" applyNumberFormat="1" applyFont="1" applyFill="1" applyBorder="1" applyAlignment="1">
      <alignment vertical="center"/>
    </xf>
    <xf numFmtId="165" fontId="21" fillId="0" borderId="0" xfId="7" applyNumberFormat="1" applyFont="1" applyFill="1" applyBorder="1" applyAlignment="1">
      <alignment vertical="center"/>
    </xf>
    <xf numFmtId="3" fontId="21" fillId="0" borderId="0" xfId="18" applyNumberFormat="1" applyFont="1" applyFill="1" applyBorder="1" applyAlignment="1">
      <alignment vertical="center" wrapText="1"/>
    </xf>
    <xf numFmtId="165" fontId="21" fillId="0" borderId="0" xfId="18" applyNumberFormat="1" applyFont="1" applyFill="1" applyBorder="1" applyAlignment="1">
      <alignment vertical="center" wrapText="1"/>
    </xf>
    <xf numFmtId="0" fontId="46" fillId="0" borderId="0" xfId="18" applyFont="1" applyFill="1" applyBorder="1" applyAlignment="1">
      <alignment vertical="center"/>
    </xf>
    <xf numFmtId="3" fontId="21" fillId="0" borderId="0" xfId="2260" applyNumberFormat="1" applyFont="1" applyFill="1" applyAlignment="1">
      <alignment vertical="center"/>
    </xf>
    <xf numFmtId="165" fontId="21" fillId="0" borderId="0" xfId="2260" applyNumberFormat="1" applyFont="1" applyFill="1" applyAlignment="1">
      <alignment vertical="center"/>
    </xf>
    <xf numFmtId="3" fontId="21" fillId="0" borderId="0" xfId="2271" applyNumberFormat="1" applyFont="1" applyFill="1" applyAlignment="1">
      <alignment vertical="center"/>
    </xf>
    <xf numFmtId="165" fontId="21" fillId="0" borderId="0" xfId="2271" applyNumberFormat="1" applyFont="1" applyFill="1" applyAlignment="1">
      <alignment vertical="center"/>
    </xf>
    <xf numFmtId="3" fontId="21" fillId="0" borderId="0" xfId="2306" applyNumberFormat="1" applyFont="1" applyFill="1" applyAlignment="1">
      <alignment vertical="center"/>
    </xf>
    <xf numFmtId="165" fontId="21" fillId="0" borderId="0" xfId="2306" applyNumberFormat="1" applyFont="1" applyFill="1" applyAlignment="1">
      <alignment vertical="center"/>
    </xf>
    <xf numFmtId="3" fontId="21" fillId="0" borderId="0" xfId="2333" applyNumberFormat="1" applyFont="1" applyFill="1" applyAlignment="1">
      <alignment vertical="center"/>
    </xf>
    <xf numFmtId="165" fontId="21" fillId="0" borderId="0" xfId="2333" applyNumberFormat="1" applyFont="1" applyFill="1" applyAlignment="1">
      <alignment vertical="center"/>
    </xf>
    <xf numFmtId="3" fontId="21" fillId="0" borderId="0" xfId="2344" applyNumberFormat="1" applyFont="1" applyFill="1" applyAlignment="1">
      <alignment vertical="center"/>
    </xf>
    <xf numFmtId="165" fontId="21" fillId="0" borderId="0" xfId="2344" applyNumberFormat="1" applyFont="1" applyFill="1" applyAlignment="1">
      <alignment vertical="center"/>
    </xf>
    <xf numFmtId="3" fontId="21" fillId="0" borderId="0" xfId="2355" applyNumberFormat="1" applyFont="1" applyFill="1" applyAlignment="1">
      <alignment vertical="center"/>
    </xf>
    <xf numFmtId="165" fontId="21" fillId="0" borderId="0" xfId="2355" applyNumberFormat="1" applyFont="1" applyFill="1" applyAlignment="1">
      <alignment vertical="center"/>
    </xf>
    <xf numFmtId="0" fontId="46" fillId="0" borderId="0" xfId="18" quotePrefix="1" applyFont="1" applyFill="1" applyAlignment="1">
      <alignment vertical="center"/>
    </xf>
    <xf numFmtId="3" fontId="21" fillId="0" borderId="0" xfId="2366" applyNumberFormat="1" applyFont="1" applyFill="1" applyAlignment="1">
      <alignment vertical="center"/>
    </xf>
    <xf numFmtId="165" fontId="21" fillId="0" borderId="0" xfId="2366" applyNumberFormat="1" applyFont="1" applyFill="1" applyAlignment="1">
      <alignment vertical="center"/>
    </xf>
    <xf numFmtId="3" fontId="21" fillId="0" borderId="0" xfId="2401" applyNumberFormat="1" applyFont="1" applyFill="1" applyAlignment="1">
      <alignment vertical="center"/>
    </xf>
    <xf numFmtId="165" fontId="21" fillId="0" borderId="0" xfId="2401" applyNumberFormat="1" applyFont="1" applyFill="1" applyAlignment="1">
      <alignment vertical="center"/>
    </xf>
    <xf numFmtId="3" fontId="21" fillId="0" borderId="0" xfId="2436" applyNumberFormat="1" applyFont="1" applyFill="1" applyAlignment="1">
      <alignment vertical="center"/>
    </xf>
    <xf numFmtId="165" fontId="21" fillId="0" borderId="0" xfId="2436" applyNumberFormat="1" applyFont="1" applyFill="1" applyAlignment="1">
      <alignment vertical="center"/>
    </xf>
    <xf numFmtId="3" fontId="21" fillId="0" borderId="0" xfId="2471" applyNumberFormat="1" applyFont="1" applyFill="1" applyAlignment="1">
      <alignment vertical="center"/>
    </xf>
    <xf numFmtId="165" fontId="21" fillId="0" borderId="0" xfId="2471" applyNumberFormat="1" applyFont="1" applyFill="1" applyAlignment="1">
      <alignment vertical="center"/>
    </xf>
    <xf numFmtId="3" fontId="21" fillId="0" borderId="0" xfId="2506" applyNumberFormat="1" applyFont="1" applyFill="1" applyAlignment="1">
      <alignment vertical="center"/>
    </xf>
    <xf numFmtId="4" fontId="21" fillId="0" borderId="0" xfId="2506" applyNumberFormat="1" applyFont="1" applyFill="1" applyAlignment="1">
      <alignment vertical="center"/>
    </xf>
    <xf numFmtId="165" fontId="21" fillId="0" borderId="0" xfId="2506" applyNumberFormat="1" applyFont="1" applyFill="1" applyAlignment="1">
      <alignment vertical="center"/>
    </xf>
    <xf numFmtId="3" fontId="21" fillId="0" borderId="0" xfId="2574" applyNumberFormat="1" applyFont="1" applyFill="1" applyAlignment="1">
      <alignment vertical="center"/>
    </xf>
    <xf numFmtId="4" fontId="21" fillId="0" borderId="0" xfId="2574" applyNumberFormat="1" applyFont="1" applyFill="1" applyAlignment="1">
      <alignment vertical="center"/>
    </xf>
    <xf numFmtId="165" fontId="21" fillId="0" borderId="0" xfId="2574" applyNumberFormat="1" applyFont="1" applyFill="1" applyAlignment="1">
      <alignment vertical="center"/>
    </xf>
    <xf numFmtId="3" fontId="21" fillId="0" borderId="0" xfId="2610" applyNumberFormat="1" applyFont="1" applyFill="1" applyAlignment="1">
      <alignment vertical="center"/>
    </xf>
    <xf numFmtId="4" fontId="21" fillId="0" borderId="0" xfId="2610" applyNumberFormat="1" applyFont="1" applyFill="1" applyAlignment="1">
      <alignment vertical="center"/>
    </xf>
    <xf numFmtId="165" fontId="21" fillId="0" borderId="0" xfId="2610" applyNumberFormat="1" applyFont="1" applyFill="1" applyAlignment="1">
      <alignment vertical="center"/>
    </xf>
    <xf numFmtId="3" fontId="21" fillId="0" borderId="0" xfId="2646" applyNumberFormat="1" applyFont="1" applyFill="1" applyAlignment="1">
      <alignment vertical="center"/>
    </xf>
    <xf numFmtId="4" fontId="21" fillId="0" borderId="0" xfId="2646" applyNumberFormat="1" applyFont="1" applyFill="1" applyAlignment="1">
      <alignment vertical="center"/>
    </xf>
    <xf numFmtId="165" fontId="21" fillId="0" borderId="0" xfId="2646" applyNumberFormat="1" applyFont="1" applyFill="1" applyAlignment="1">
      <alignment vertical="center"/>
    </xf>
    <xf numFmtId="3" fontId="21" fillId="0" borderId="0" xfId="2681" applyNumberFormat="1" applyFont="1" applyFill="1" applyAlignment="1">
      <alignment vertical="center"/>
    </xf>
    <xf numFmtId="4" fontId="21" fillId="0" borderId="0" xfId="2681" applyNumberFormat="1" applyFont="1" applyFill="1" applyAlignment="1">
      <alignment vertical="center"/>
    </xf>
    <xf numFmtId="165" fontId="21" fillId="0" borderId="0" xfId="2681" applyNumberFormat="1" applyFont="1" applyFill="1" applyAlignment="1">
      <alignment vertical="center"/>
    </xf>
    <xf numFmtId="165" fontId="21" fillId="0" borderId="0" xfId="2681" applyNumberFormat="1" applyFont="1" applyFill="1" applyBorder="1" applyAlignment="1">
      <alignment vertical="center"/>
    </xf>
    <xf numFmtId="3" fontId="21" fillId="0" borderId="0" xfId="2716" applyNumberFormat="1" applyFont="1" applyFill="1" applyAlignment="1">
      <alignment vertical="center"/>
    </xf>
    <xf numFmtId="4" fontId="21" fillId="0" borderId="0" xfId="2716" applyNumberFormat="1" applyFont="1" applyFill="1" applyAlignment="1">
      <alignment vertical="center"/>
    </xf>
    <xf numFmtId="165" fontId="21" fillId="0" borderId="0" xfId="2716" applyNumberFormat="1" applyFont="1" applyFill="1" applyAlignment="1">
      <alignment vertical="center"/>
    </xf>
    <xf numFmtId="165" fontId="21" fillId="0" borderId="0" xfId="2716" applyNumberFormat="1" applyFont="1" applyFill="1" applyBorder="1" applyAlignment="1">
      <alignment vertical="center"/>
    </xf>
    <xf numFmtId="165" fontId="192" fillId="0" borderId="0" xfId="18" applyNumberFormat="1" applyFont="1" applyFill="1" applyAlignment="1">
      <alignment vertical="center"/>
    </xf>
    <xf numFmtId="165" fontId="21" fillId="0" borderId="0" xfId="2261" applyNumberFormat="1" applyFont="1" applyFill="1" applyAlignment="1">
      <alignment vertical="center"/>
    </xf>
    <xf numFmtId="165" fontId="21" fillId="0" borderId="0" xfId="2272" applyNumberFormat="1" applyFont="1" applyFill="1" applyAlignment="1">
      <alignment vertical="center"/>
    </xf>
    <xf numFmtId="165" fontId="21" fillId="0" borderId="0" xfId="2307" applyNumberFormat="1" applyFont="1" applyFill="1" applyAlignment="1">
      <alignment vertical="center"/>
    </xf>
    <xf numFmtId="165" fontId="21" fillId="0" borderId="0" xfId="2319" applyNumberFormat="1" applyFont="1" applyFill="1" applyAlignment="1">
      <alignment vertical="center"/>
    </xf>
    <xf numFmtId="165" fontId="21" fillId="0" borderId="0" xfId="2334" applyNumberFormat="1" applyFont="1" applyFill="1" applyAlignment="1">
      <alignment vertical="center"/>
    </xf>
    <xf numFmtId="165" fontId="21" fillId="0" borderId="0" xfId="2345" applyNumberFormat="1" applyFont="1" applyFill="1" applyAlignment="1">
      <alignment vertical="center"/>
    </xf>
    <xf numFmtId="165" fontId="21" fillId="0" borderId="0" xfId="2356" applyNumberFormat="1" applyFont="1" applyFill="1" applyAlignment="1">
      <alignment vertical="center"/>
    </xf>
    <xf numFmtId="0" fontId="46" fillId="0" borderId="0" xfId="18" quotePrefix="1" applyFont="1" applyFill="1" applyBorder="1" applyAlignment="1">
      <alignment vertical="center"/>
    </xf>
    <xf numFmtId="165" fontId="21" fillId="0" borderId="0" xfId="2367" applyNumberFormat="1" applyFont="1" applyFill="1" applyAlignment="1">
      <alignment vertical="center"/>
    </xf>
    <xf numFmtId="165" fontId="21" fillId="0" borderId="0" xfId="2402" applyNumberFormat="1" applyFont="1" applyFill="1" applyAlignment="1">
      <alignment vertical="center"/>
    </xf>
    <xf numFmtId="165" fontId="21" fillId="0" borderId="0" xfId="2437" applyNumberFormat="1" applyFont="1" applyFill="1" applyAlignment="1">
      <alignment vertical="center"/>
    </xf>
    <xf numFmtId="165" fontId="21" fillId="0" borderId="0" xfId="2472" applyNumberFormat="1" applyFont="1" applyFill="1" applyAlignment="1">
      <alignment vertical="center"/>
    </xf>
    <xf numFmtId="165" fontId="21" fillId="0" borderId="0" xfId="2507" applyNumberFormat="1" applyFont="1" applyFill="1" applyAlignment="1">
      <alignment vertical="center"/>
    </xf>
    <xf numFmtId="165" fontId="21" fillId="0" borderId="0" xfId="2542" applyNumberFormat="1" applyFont="1" applyFill="1" applyAlignment="1">
      <alignment vertical="center"/>
    </xf>
    <xf numFmtId="165" fontId="21" fillId="0" borderId="0" xfId="2611" applyNumberFormat="1" applyFont="1" applyFill="1" applyAlignment="1">
      <alignment vertical="center"/>
    </xf>
    <xf numFmtId="165" fontId="21" fillId="0" borderId="0" xfId="2647" applyNumberFormat="1" applyFont="1" applyFill="1" applyAlignment="1">
      <alignment vertical="center"/>
    </xf>
    <xf numFmtId="165" fontId="21" fillId="0" borderId="0" xfId="2682" applyNumberFormat="1" applyFont="1" applyFill="1" applyAlignment="1">
      <alignment vertical="center"/>
    </xf>
    <xf numFmtId="165" fontId="21" fillId="0" borderId="0" xfId="2682" applyNumberFormat="1" applyFont="1" applyFill="1" applyBorder="1" applyAlignment="1">
      <alignment vertical="center"/>
    </xf>
    <xf numFmtId="165" fontId="21" fillId="0" borderId="0" xfId="2717" applyNumberFormat="1" applyFont="1" applyFill="1" applyAlignment="1">
      <alignment vertical="center"/>
    </xf>
    <xf numFmtId="165" fontId="21" fillId="0" borderId="0" xfId="2717" applyNumberFormat="1" applyFont="1" applyFill="1" applyBorder="1" applyAlignment="1">
      <alignment vertical="center"/>
    </xf>
    <xf numFmtId="165" fontId="22" fillId="0" borderId="0" xfId="18" quotePrefix="1" applyNumberFormat="1" applyFont="1" applyFill="1" applyBorder="1" applyAlignment="1">
      <alignment vertical="center"/>
    </xf>
    <xf numFmtId="165" fontId="43" fillId="0" borderId="0" xfId="18" applyNumberFormat="1" applyFont="1" applyFill="1" applyAlignment="1">
      <alignment vertical="center"/>
    </xf>
    <xf numFmtId="165" fontId="44" fillId="0" borderId="0" xfId="18" quotePrefix="1" applyNumberFormat="1" applyFont="1" applyFill="1" applyAlignment="1">
      <alignment vertical="center"/>
    </xf>
    <xf numFmtId="0" fontId="218" fillId="3" borderId="0" xfId="2320" applyFont="1" applyFill="1" applyAlignment="1">
      <alignment horizontal="left" indent="1"/>
    </xf>
    <xf numFmtId="165" fontId="218" fillId="3" borderId="0" xfId="2320" applyNumberFormat="1" applyFont="1" applyFill="1"/>
    <xf numFmtId="0" fontId="218" fillId="3" borderId="0" xfId="2320" applyFont="1" applyFill="1" applyAlignment="1">
      <alignment horizontal="left" indent="2"/>
    </xf>
    <xf numFmtId="0" fontId="1" fillId="3" borderId="0" xfId="2320" applyFont="1" applyFill="1" applyAlignment="1">
      <alignment horizontal="left" indent="3"/>
    </xf>
    <xf numFmtId="165" fontId="1" fillId="3" borderId="0" xfId="2320" applyNumberFormat="1" applyFont="1" applyFill="1"/>
    <xf numFmtId="0" fontId="30" fillId="3" borderId="0" xfId="2320" applyFont="1" applyFill="1" applyAlignment="1">
      <alignment horizontal="left" indent="2"/>
    </xf>
    <xf numFmtId="165" fontId="25" fillId="3" borderId="0" xfId="2320" applyNumberFormat="1" applyFont="1" applyFill="1"/>
    <xf numFmtId="0" fontId="1" fillId="3" borderId="0" xfId="2320" applyFont="1" applyFill="1" applyAlignment="1">
      <alignment horizontal="left" wrapText="1" indent="3"/>
    </xf>
    <xf numFmtId="165" fontId="21" fillId="3" borderId="0" xfId="2320" applyNumberFormat="1" applyFont="1" applyFill="1"/>
    <xf numFmtId="0" fontId="1" fillId="3" borderId="0" xfId="2320" applyFont="1" applyFill="1" applyAlignment="1">
      <alignment horizontal="left" vertical="top" wrapText="1" indent="3"/>
    </xf>
    <xf numFmtId="0" fontId="60" fillId="3" borderId="0" xfId="2320" applyFont="1" applyFill="1"/>
    <xf numFmtId="0" fontId="34" fillId="3" borderId="11" xfId="2320" applyFont="1" applyFill="1" applyBorder="1"/>
    <xf numFmtId="165" fontId="24" fillId="3" borderId="11" xfId="2320" applyNumberFormat="1" applyFont="1" applyFill="1" applyBorder="1"/>
    <xf numFmtId="0" fontId="1" fillId="3" borderId="0" xfId="2320" applyFont="1" applyFill="1" applyAlignment="1">
      <alignment horizontal="left" indent="1"/>
    </xf>
    <xf numFmtId="0" fontId="34" fillId="3" borderId="0" xfId="2320" applyFont="1" applyFill="1"/>
    <xf numFmtId="0" fontId="24" fillId="3" borderId="0" xfId="2320" applyFont="1" applyFill="1"/>
    <xf numFmtId="0" fontId="213" fillId="3" borderId="0" xfId="2320" applyFont="1" applyFill="1" applyAlignment="1">
      <alignment horizontal="left" vertical="center" wrapText="1"/>
    </xf>
    <xf numFmtId="184" fontId="50" fillId="3" borderId="0" xfId="2320" applyNumberFormat="1" applyFont="1" applyFill="1" applyAlignment="1">
      <alignment horizontal="left" wrapText="1"/>
    </xf>
    <xf numFmtId="0" fontId="24" fillId="3" borderId="0" xfId="2320" applyFont="1" applyFill="1" applyBorder="1" applyAlignment="1">
      <alignment horizontal="justify"/>
    </xf>
    <xf numFmtId="0" fontId="213" fillId="3" borderId="0" xfId="2320" applyFont="1" applyFill="1" applyAlignment="1">
      <alignment horizontal="justify" vertical="center" wrapText="1"/>
    </xf>
    <xf numFmtId="0" fontId="1" fillId="3" borderId="0" xfId="2320" applyFont="1" applyFill="1"/>
    <xf numFmtId="0" fontId="3" fillId="3" borderId="0" xfId="2320" applyFont="1" applyFill="1"/>
    <xf numFmtId="165" fontId="3" fillId="3" borderId="0" xfId="2320" applyNumberFormat="1" applyFont="1" applyFill="1" applyAlignment="1">
      <alignment horizontal="right"/>
    </xf>
    <xf numFmtId="165" fontId="3" fillId="3" borderId="0" xfId="2320" applyNumberFormat="1" applyFont="1" applyFill="1"/>
    <xf numFmtId="4" fontId="24" fillId="3" borderId="11" xfId="2320" applyNumberFormat="1" applyFont="1" applyFill="1" applyBorder="1"/>
    <xf numFmtId="165" fontId="29" fillId="0" borderId="0" xfId="7" applyNumberFormat="1" applyFont="1" applyFill="1" applyBorder="1" applyAlignment="1" applyProtection="1">
      <alignment vertical="center"/>
      <protection locked="0"/>
    </xf>
    <xf numFmtId="165" fontId="29" fillId="0" borderId="8" xfId="7" applyNumberFormat="1" applyFont="1" applyFill="1" applyBorder="1" applyAlignment="1" applyProtection="1">
      <alignment horizontal="right" vertical="center"/>
      <protection locked="0"/>
    </xf>
    <xf numFmtId="165" fontId="29" fillId="0" borderId="8" xfId="7" applyNumberFormat="1" applyFont="1" applyFill="1" applyBorder="1" applyAlignment="1" applyProtection="1">
      <alignment vertical="center"/>
      <protection locked="0"/>
    </xf>
    <xf numFmtId="165" fontId="36" fillId="0" borderId="0" xfId="7" applyNumberFormat="1" applyFont="1" applyFill="1" applyBorder="1" applyAlignment="1" applyProtection="1">
      <alignment horizontal="left" vertical="center" indent="1"/>
      <protection locked="0"/>
    </xf>
    <xf numFmtId="165" fontId="29" fillId="0" borderId="0" xfId="7" applyNumberFormat="1" applyFont="1" applyFill="1" applyBorder="1" applyAlignment="1" applyProtection="1">
      <alignment horizontal="right" vertical="center"/>
      <protection locked="0"/>
    </xf>
    <xf numFmtId="165" fontId="29" fillId="0" borderId="12" xfId="7" applyNumberFormat="1" applyFont="1" applyFill="1" applyBorder="1" applyAlignment="1" applyProtection="1">
      <alignment horizontal="right" vertical="center"/>
      <protection locked="0"/>
    </xf>
    <xf numFmtId="165" fontId="29" fillId="0" borderId="12" xfId="7" applyNumberFormat="1" applyFont="1" applyFill="1" applyBorder="1" applyAlignment="1" applyProtection="1">
      <alignment vertical="center"/>
      <protection locked="0"/>
    </xf>
    <xf numFmtId="165" fontId="35" fillId="0" borderId="0" xfId="16" applyNumberFormat="1" applyFont="1" applyFill="1" applyAlignment="1" applyProtection="1">
      <alignment vertical="center"/>
      <protection locked="0"/>
    </xf>
    <xf numFmtId="165" fontId="35" fillId="0" borderId="0" xfId="7" applyNumberFormat="1" applyFont="1" applyFill="1" applyAlignment="1" applyProtection="1">
      <alignment horizontal="right" vertical="center"/>
      <protection locked="0"/>
    </xf>
    <xf numFmtId="165" fontId="25" fillId="0" borderId="103" xfId="16" applyNumberFormat="1" applyFont="1" applyFill="1" applyBorder="1" applyAlignment="1">
      <alignment horizontal="center" vertical="center" wrapText="1"/>
    </xf>
    <xf numFmtId="0" fontId="21" fillId="0" borderId="104" xfId="16" quotePrefix="1" applyNumberFormat="1" applyFont="1" applyFill="1" applyBorder="1" applyAlignment="1">
      <alignment horizontal="center" vertical="center"/>
    </xf>
    <xf numFmtId="165" fontId="29" fillId="0" borderId="0" xfId="7" applyNumberFormat="1" applyFont="1" applyFill="1" applyAlignment="1" applyProtection="1">
      <alignment vertical="center"/>
      <protection locked="0"/>
    </xf>
    <xf numFmtId="0" fontId="32" fillId="0" borderId="0" xfId="7" applyFont="1" applyFill="1" applyBorder="1" applyProtection="1">
      <protection locked="0"/>
    </xf>
    <xf numFmtId="165" fontId="35" fillId="0" borderId="0" xfId="7" applyNumberFormat="1" applyFont="1" applyFill="1" applyBorder="1" applyAlignment="1" applyProtection="1">
      <alignment vertical="center"/>
      <protection locked="0"/>
    </xf>
    <xf numFmtId="165" fontId="35" fillId="0" borderId="0" xfId="7" applyNumberFormat="1" applyFont="1" applyFill="1" applyBorder="1" applyAlignment="1" applyProtection="1">
      <alignment horizontal="right" vertical="center"/>
    </xf>
    <xf numFmtId="165" fontId="35" fillId="0" borderId="0" xfId="7" applyNumberFormat="1" applyFont="1" applyFill="1" applyBorder="1" applyAlignment="1" applyProtection="1">
      <alignment vertical="center"/>
    </xf>
    <xf numFmtId="165" fontId="21" fillId="0" borderId="0" xfId="15" applyNumberFormat="1" applyFont="1" applyFill="1" applyBorder="1" applyAlignment="1" applyProtection="1">
      <alignment horizontal="left" vertical="center" indent="1"/>
      <protection locked="0"/>
    </xf>
    <xf numFmtId="165" fontId="29" fillId="0" borderId="0" xfId="7" applyNumberFormat="1" applyFont="1" applyFill="1" applyBorder="1" applyAlignment="1" applyProtection="1">
      <alignment horizontal="right" vertical="center"/>
    </xf>
    <xf numFmtId="165" fontId="29" fillId="0" borderId="0" xfId="7" applyNumberFormat="1" applyFont="1" applyFill="1" applyBorder="1" applyAlignment="1" applyProtection="1">
      <alignment vertical="center"/>
    </xf>
    <xf numFmtId="165" fontId="29" fillId="0" borderId="0" xfId="7" applyNumberFormat="1" applyFont="1" applyFill="1" applyBorder="1" applyAlignment="1" applyProtection="1">
      <alignment horizontal="left" vertical="center" indent="2"/>
      <protection locked="0"/>
    </xf>
    <xf numFmtId="165" fontId="29" fillId="0" borderId="0" xfId="7" applyNumberFormat="1" applyFont="1" applyFill="1" applyBorder="1" applyAlignment="1" applyProtection="1">
      <alignment horizontal="left" vertical="center" indent="1"/>
      <protection locked="0"/>
    </xf>
    <xf numFmtId="165" fontId="29" fillId="0" borderId="0" xfId="7" applyNumberFormat="1" applyFont="1" applyFill="1" applyBorder="1" applyAlignment="1" applyProtection="1">
      <alignment horizontal="left" vertical="center" indent="3"/>
      <protection locked="0"/>
    </xf>
    <xf numFmtId="165" fontId="30" fillId="0" borderId="0" xfId="7" applyNumberFormat="1" applyFont="1" applyFill="1" applyBorder="1" applyAlignment="1" applyProtection="1">
      <alignment vertical="center"/>
      <protection locked="0"/>
    </xf>
    <xf numFmtId="165" fontId="35" fillId="0" borderId="11" xfId="7" applyNumberFormat="1" applyFont="1" applyFill="1" applyBorder="1" applyAlignment="1" applyProtection="1">
      <alignment vertical="center"/>
      <protection locked="0"/>
    </xf>
    <xf numFmtId="165" fontId="35" fillId="0" borderId="11" xfId="7" applyNumberFormat="1" applyFont="1" applyFill="1" applyBorder="1" applyAlignment="1" applyProtection="1">
      <alignment vertical="center"/>
    </xf>
    <xf numFmtId="0" fontId="32" fillId="0" borderId="0" xfId="7" applyFont="1" applyFill="1" applyProtection="1"/>
    <xf numFmtId="0" fontId="32" fillId="0" borderId="0" xfId="7" applyFont="1" applyFill="1" applyBorder="1" applyProtection="1"/>
    <xf numFmtId="165" fontId="36" fillId="0" borderId="0" xfId="7" applyNumberFormat="1" applyFont="1" applyFill="1" applyBorder="1" applyAlignment="1" applyProtection="1">
      <alignment vertical="center"/>
      <protection locked="0"/>
    </xf>
    <xf numFmtId="165" fontId="29" fillId="0" borderId="12" xfId="7" applyNumberFormat="1" applyFont="1" applyFill="1" applyBorder="1" applyAlignment="1" applyProtection="1">
      <alignment horizontal="left" vertical="center" indent="1"/>
      <protection locked="0"/>
    </xf>
    <xf numFmtId="165" fontId="29" fillId="0" borderId="8" xfId="7" applyNumberFormat="1" applyFont="1" applyFill="1" applyBorder="1" applyAlignment="1" applyProtection="1">
      <alignment horizontal="left" vertical="center" indent="1"/>
      <protection locked="0"/>
    </xf>
    <xf numFmtId="165" fontId="21" fillId="0" borderId="0" xfId="12" applyNumberFormat="1" applyFont="1" applyFill="1" applyBorder="1" applyAlignment="1" applyProtection="1">
      <alignment vertical="center"/>
      <protection locked="0"/>
    </xf>
    <xf numFmtId="165" fontId="35" fillId="0" borderId="0" xfId="40" applyNumberFormat="1" applyFont="1" applyFill="1" applyBorder="1" applyAlignment="1"/>
    <xf numFmtId="0" fontId="196" fillId="0" borderId="0" xfId="40" applyFont="1" applyFill="1" applyBorder="1" applyAlignment="1"/>
    <xf numFmtId="165" fontId="191" fillId="0" borderId="0" xfId="40" applyNumberFormat="1" applyFont="1" applyFill="1" applyBorder="1" applyAlignment="1"/>
    <xf numFmtId="165" fontId="188" fillId="0" borderId="0" xfId="5" applyNumberFormat="1" applyFont="1" applyFill="1" applyBorder="1" applyAlignment="1">
      <alignment horizontal="right"/>
    </xf>
    <xf numFmtId="165" fontId="35" fillId="0" borderId="0" xfId="5" applyNumberFormat="1" applyFont="1" applyFill="1" applyBorder="1" applyAlignment="1">
      <alignment horizontal="right"/>
    </xf>
    <xf numFmtId="0" fontId="37" fillId="0" borderId="8" xfId="40" applyFont="1" applyFill="1" applyBorder="1"/>
    <xf numFmtId="165" fontId="30" fillId="0" borderId="32" xfId="40" applyNumberFormat="1" applyFont="1" applyFill="1" applyBorder="1" applyAlignment="1">
      <alignment vertical="center"/>
    </xf>
    <xf numFmtId="0" fontId="37" fillId="0" borderId="0" xfId="40" applyFont="1" applyFill="1" applyBorder="1"/>
    <xf numFmtId="165" fontId="30" fillId="0" borderId="0" xfId="40" applyNumberFormat="1" applyFont="1" applyFill="1" applyBorder="1" applyAlignment="1">
      <alignment vertical="center"/>
    </xf>
    <xf numFmtId="165" fontId="29" fillId="0" borderId="7" xfId="12" quotePrefix="1" applyNumberFormat="1" applyFont="1" applyFill="1" applyBorder="1" applyAlignment="1">
      <alignment horizontal="center" vertical="center" wrapText="1"/>
    </xf>
    <xf numFmtId="165" fontId="29" fillId="0" borderId="0" xfId="40" applyNumberFormat="1" applyFont="1" applyFill="1" applyBorder="1" applyAlignment="1">
      <alignment vertical="center"/>
    </xf>
    <xf numFmtId="165" fontId="29" fillId="0" borderId="6" xfId="12" quotePrefix="1" applyNumberFormat="1" applyFont="1" applyFill="1" applyBorder="1" applyAlignment="1">
      <alignment horizontal="center" vertical="center" wrapText="1"/>
    </xf>
    <xf numFmtId="165" fontId="29" fillId="0" borderId="0" xfId="40" applyNumberFormat="1" applyFont="1" applyFill="1" applyBorder="1" applyAlignment="1">
      <alignment horizontal="left" vertical="center" indent="1"/>
    </xf>
    <xf numFmtId="165" fontId="35" fillId="0" borderId="32" xfId="40" applyNumberFormat="1" applyFont="1" applyFill="1" applyBorder="1" applyAlignment="1">
      <alignment vertical="center"/>
    </xf>
    <xf numFmtId="0" fontId="196" fillId="0" borderId="32" xfId="40" applyFont="1" applyFill="1" applyBorder="1"/>
    <xf numFmtId="165" fontId="35" fillId="0" borderId="32" xfId="12" applyNumberFormat="1" applyFont="1" applyFill="1" applyBorder="1" applyAlignment="1">
      <alignment vertical="center"/>
    </xf>
    <xf numFmtId="165" fontId="35" fillId="0" borderId="32" xfId="12" applyNumberFormat="1" applyFont="1" applyFill="1" applyBorder="1" applyAlignment="1">
      <alignment horizontal="right" vertical="center"/>
    </xf>
    <xf numFmtId="165" fontId="35" fillId="0" borderId="31" xfId="40" applyNumberFormat="1" applyFont="1" applyFill="1" applyBorder="1" applyAlignment="1">
      <alignment vertical="center"/>
    </xf>
    <xf numFmtId="0" fontId="196" fillId="0" borderId="31" xfId="40" applyFont="1" applyFill="1" applyBorder="1"/>
    <xf numFmtId="165" fontId="35" fillId="0" borderId="31" xfId="12" applyNumberFormat="1" applyFont="1" applyFill="1" applyBorder="1" applyAlignment="1">
      <alignment vertical="center"/>
    </xf>
    <xf numFmtId="165" fontId="35" fillId="0" borderId="31" xfId="12" applyNumberFormat="1" applyFont="1" applyFill="1" applyBorder="1" applyAlignment="1">
      <alignment horizontal="right" vertical="center"/>
    </xf>
    <xf numFmtId="0" fontId="37" fillId="0" borderId="0" xfId="40" applyFont="1" applyFill="1"/>
    <xf numFmtId="165" fontId="21" fillId="3" borderId="0" xfId="18" applyNumberFormat="1" applyFont="1" applyFill="1" applyBorder="1" applyAlignment="1">
      <alignment vertical="center"/>
    </xf>
    <xf numFmtId="0" fontId="21" fillId="3" borderId="0" xfId="18" applyFont="1" applyFill="1" applyBorder="1" applyAlignment="1">
      <alignment vertical="center"/>
    </xf>
    <xf numFmtId="165" fontId="21" fillId="3" borderId="0" xfId="18" applyNumberFormat="1" applyFont="1" applyFill="1" applyBorder="1" applyAlignment="1">
      <alignment horizontal="right" vertical="center"/>
    </xf>
    <xf numFmtId="165" fontId="21" fillId="3" borderId="12" xfId="18" applyNumberFormat="1" applyFont="1" applyFill="1" applyBorder="1" applyAlignment="1">
      <alignment horizontal="right" vertical="center"/>
    </xf>
    <xf numFmtId="165" fontId="21" fillId="0" borderId="12" xfId="18" applyNumberFormat="1" applyFont="1" applyFill="1" applyBorder="1" applyAlignment="1">
      <alignment horizontal="right" vertical="center"/>
    </xf>
    <xf numFmtId="165" fontId="21" fillId="3" borderId="12" xfId="18" applyNumberFormat="1" applyFont="1" applyFill="1" applyBorder="1" applyAlignment="1">
      <alignment horizontal="center" vertical="center"/>
    </xf>
    <xf numFmtId="165" fontId="21" fillId="3" borderId="0" xfId="18" applyNumberFormat="1" applyFont="1" applyFill="1" applyBorder="1" applyAlignment="1">
      <alignment horizontal="left" vertical="center" indent="1"/>
    </xf>
    <xf numFmtId="165" fontId="21" fillId="3" borderId="0" xfId="18" applyNumberFormat="1" applyFont="1" applyFill="1" applyBorder="1" applyAlignment="1">
      <alignment horizontal="left" vertical="center" indent="2"/>
    </xf>
    <xf numFmtId="165" fontId="21" fillId="3" borderId="12" xfId="18" applyNumberFormat="1" applyFont="1" applyFill="1" applyBorder="1" applyAlignment="1">
      <alignment horizontal="left" vertical="center" indent="1"/>
    </xf>
    <xf numFmtId="165" fontId="46" fillId="3" borderId="11" xfId="14" applyNumberFormat="1" applyFont="1" applyFill="1" applyBorder="1" applyAlignment="1"/>
    <xf numFmtId="165" fontId="46" fillId="3" borderId="11" xfId="18" applyNumberFormat="1" applyFont="1" applyFill="1" applyBorder="1" applyAlignment="1"/>
    <xf numFmtId="165" fontId="22" fillId="3" borderId="0" xfId="14" applyNumberFormat="1" applyFont="1" applyFill="1" applyBorder="1" applyAlignment="1"/>
    <xf numFmtId="0" fontId="21" fillId="3" borderId="0" xfId="18" applyFont="1" applyFill="1" applyBorder="1" applyAlignment="1"/>
    <xf numFmtId="165" fontId="35" fillId="0" borderId="7" xfId="7" applyNumberFormat="1" applyFont="1" applyFill="1" applyBorder="1" applyAlignment="1" applyProtection="1">
      <protection locked="0"/>
    </xf>
    <xf numFmtId="165" fontId="35" fillId="0" borderId="7" xfId="7" applyNumberFormat="1" applyFont="1" applyFill="1" applyBorder="1" applyAlignment="1" applyProtection="1">
      <alignment horizontal="right"/>
    </xf>
    <xf numFmtId="165" fontId="35" fillId="0" borderId="7" xfId="7" applyNumberFormat="1" applyFont="1" applyFill="1" applyBorder="1" applyAlignment="1" applyProtection="1"/>
    <xf numFmtId="165" fontId="35" fillId="0" borderId="11" xfId="7" applyNumberFormat="1" applyFont="1" applyFill="1" applyBorder="1" applyAlignment="1" applyProtection="1">
      <protection locked="0"/>
    </xf>
    <xf numFmtId="165" fontId="35" fillId="0" borderId="11" xfId="7" applyNumberFormat="1" applyFont="1" applyFill="1" applyBorder="1" applyAlignment="1" applyProtection="1">
      <alignment horizontal="right"/>
      <protection locked="0"/>
    </xf>
    <xf numFmtId="165" fontId="35" fillId="0" borderId="11" xfId="7" applyNumberFormat="1" applyFont="1" applyFill="1" applyBorder="1" applyAlignment="1" applyProtection="1"/>
    <xf numFmtId="165" fontId="35" fillId="3" borderId="0" xfId="9" applyNumberFormat="1" applyFont="1" applyFill="1" applyAlignment="1" applyProtection="1">
      <protection locked="0"/>
    </xf>
    <xf numFmtId="0" fontId="218" fillId="3" borderId="11" xfId="2320" applyFont="1" applyFill="1" applyBorder="1" applyAlignment="1">
      <alignment horizontal="left" vertical="center" indent="3"/>
    </xf>
    <xf numFmtId="0" fontId="218" fillId="3" borderId="11" xfId="2320" applyFont="1" applyFill="1" applyBorder="1" applyAlignment="1">
      <alignment horizontal="center" vertical="center"/>
    </xf>
    <xf numFmtId="0" fontId="218" fillId="3" borderId="0" xfId="2320" applyFont="1" applyFill="1" applyAlignment="1">
      <alignment horizontal="left" vertical="center" indent="3"/>
    </xf>
    <xf numFmtId="0" fontId="218" fillId="3" borderId="0" xfId="2320" applyFont="1" applyFill="1" applyAlignment="1">
      <alignment horizontal="center" vertical="center"/>
    </xf>
    <xf numFmtId="0" fontId="1" fillId="3" borderId="0" xfId="2320" applyFont="1" applyFill="1" applyAlignment="1">
      <alignment horizontal="left" vertical="center" wrapText="1" indent="3"/>
    </xf>
    <xf numFmtId="165" fontId="1" fillId="3" borderId="0" xfId="2320" applyNumberFormat="1" applyFont="1" applyFill="1" applyAlignment="1">
      <alignment vertical="center"/>
    </xf>
    <xf numFmtId="0" fontId="24" fillId="3" borderId="11" xfId="2320" applyFont="1" applyFill="1" applyBorder="1"/>
    <xf numFmtId="185" fontId="219" fillId="0" borderId="0" xfId="2320" applyNumberFormat="1" applyFill="1"/>
    <xf numFmtId="0" fontId="40" fillId="0" borderId="0" xfId="19" applyFont="1" applyFill="1" applyAlignment="1">
      <alignment horizontal="left" vertical="justify" wrapText="1"/>
    </xf>
    <xf numFmtId="0" fontId="11" fillId="0" borderId="0" xfId="18" applyFill="1" applyAlignment="1">
      <alignment horizontal="left" vertical="justify" wrapText="1"/>
    </xf>
    <xf numFmtId="165" fontId="21" fillId="0" borderId="10" xfId="18" applyNumberFormat="1" applyFont="1" applyFill="1" applyBorder="1" applyAlignment="1">
      <alignment horizontal="center" vertical="center" wrapText="1"/>
    </xf>
    <xf numFmtId="165" fontId="21" fillId="0" borderId="9" xfId="18" applyNumberFormat="1" applyFont="1" applyFill="1" applyBorder="1" applyAlignment="1">
      <alignment horizontal="center" vertical="center" wrapText="1"/>
    </xf>
    <xf numFmtId="165" fontId="192" fillId="0" borderId="0" xfId="28" applyNumberFormat="1" applyFont="1" applyFill="1" applyBorder="1" applyAlignment="1"/>
    <xf numFmtId="0" fontId="200" fillId="0" borderId="0" xfId="7" applyFont="1" applyFill="1" applyBorder="1"/>
    <xf numFmtId="1" fontId="21" fillId="0" borderId="9" xfId="7" quotePrefix="1" applyNumberFormat="1" applyFont="1" applyFill="1" applyBorder="1" applyAlignment="1">
      <alignment horizontal="center" vertical="center"/>
    </xf>
    <xf numFmtId="165" fontId="46" fillId="0" borderId="0" xfId="7" applyNumberFormat="1" applyFont="1" applyFill="1" applyBorder="1" applyAlignment="1">
      <alignment horizontal="left"/>
    </xf>
    <xf numFmtId="165" fontId="35" fillId="0" borderId="0" xfId="7" applyNumberFormat="1" applyFont="1" applyFill="1" applyAlignment="1">
      <alignment horizontal="right" vertical="center"/>
    </xf>
    <xf numFmtId="165" fontId="21" fillId="0" borderId="0" xfId="7" applyNumberFormat="1" applyFont="1" applyFill="1" applyBorder="1" applyAlignment="1">
      <alignment horizontal="left" vertical="center" indent="1"/>
    </xf>
    <xf numFmtId="165" fontId="29" fillId="0" borderId="0" xfId="7" applyNumberFormat="1" applyFont="1" applyFill="1" applyAlignment="1">
      <alignment horizontal="right" vertical="center"/>
    </xf>
    <xf numFmtId="165" fontId="29" fillId="0" borderId="0" xfId="7" applyNumberFormat="1" applyFont="1" applyFill="1" applyBorder="1" applyAlignment="1">
      <alignment horizontal="right" vertical="center"/>
    </xf>
    <xf numFmtId="165" fontId="21" fillId="0" borderId="0" xfId="7" applyNumberFormat="1" applyFont="1" applyFill="1" applyBorder="1" applyAlignment="1">
      <alignment horizontal="right"/>
    </xf>
    <xf numFmtId="165" fontId="21" fillId="0" borderId="0" xfId="7" applyNumberFormat="1" applyFont="1" applyFill="1" applyBorder="1" applyAlignment="1">
      <alignment horizontal="left" vertical="center" indent="2"/>
    </xf>
    <xf numFmtId="165" fontId="21" fillId="0" borderId="0" xfId="7" applyNumberFormat="1" applyFont="1" applyFill="1" applyBorder="1" applyAlignment="1">
      <alignment horizontal="left" vertical="center" indent="3"/>
    </xf>
    <xf numFmtId="165" fontId="21" fillId="0" borderId="0" xfId="7" applyNumberFormat="1" applyFont="1" applyFill="1" applyAlignment="1">
      <alignment horizontal="left" vertical="center" indent="2"/>
    </xf>
    <xf numFmtId="165" fontId="42" fillId="0" borderId="0" xfId="7" applyNumberFormat="1" applyFont="1" applyFill="1" applyBorder="1" applyAlignment="1">
      <alignment horizontal="left" vertical="center" indent="3"/>
    </xf>
    <xf numFmtId="165" fontId="21" fillId="0" borderId="0" xfId="18" applyNumberFormat="1" applyFont="1" applyFill="1" applyBorder="1" applyAlignment="1">
      <alignment horizontal="left" indent="4"/>
    </xf>
    <xf numFmtId="165" fontId="21" fillId="0" borderId="0" xfId="7" applyNumberFormat="1" applyFont="1" applyFill="1" applyBorder="1" applyAlignment="1">
      <alignment horizontal="left" vertical="center" indent="5"/>
    </xf>
    <xf numFmtId="165" fontId="46" fillId="0" borderId="0" xfId="7" applyNumberFormat="1" applyFont="1" applyFill="1" applyBorder="1" applyAlignment="1">
      <alignment horizontal="left" vertical="center"/>
    </xf>
    <xf numFmtId="165" fontId="29" fillId="0" borderId="0" xfId="7" applyNumberFormat="1" applyFont="1" applyFill="1" applyBorder="1" applyAlignment="1">
      <alignment vertical="center"/>
    </xf>
    <xf numFmtId="165" fontId="21" fillId="0" borderId="0" xfId="7" applyNumberFormat="1" applyFont="1" applyFill="1" applyBorder="1" applyAlignment="1">
      <alignment horizontal="right" vertical="center"/>
    </xf>
    <xf numFmtId="165" fontId="46" fillId="0" borderId="0" xfId="7" applyNumberFormat="1" applyFont="1" applyFill="1" applyBorder="1" applyAlignment="1">
      <alignment horizontal="right" vertical="center"/>
    </xf>
    <xf numFmtId="165" fontId="46" fillId="0" borderId="0" xfId="7" applyNumberFormat="1" applyFont="1" applyFill="1" applyBorder="1" applyAlignment="1">
      <alignment vertical="center"/>
    </xf>
    <xf numFmtId="171" fontId="29" fillId="0" borderId="0" xfId="13" applyNumberFormat="1" applyFont="1" applyFill="1" applyBorder="1" applyAlignment="1">
      <alignment horizontal="right"/>
    </xf>
    <xf numFmtId="165" fontId="46" fillId="0" borderId="11" xfId="7" applyNumberFormat="1" applyFont="1" applyFill="1" applyBorder="1" applyAlignment="1">
      <alignment horizontal="left"/>
    </xf>
    <xf numFmtId="165" fontId="35" fillId="0" borderId="7" xfId="7" applyNumberFormat="1" applyFont="1" applyFill="1" applyBorder="1" applyAlignment="1">
      <alignment horizontal="right" vertical="center"/>
    </xf>
    <xf numFmtId="165" fontId="35" fillId="0" borderId="11" xfId="7" applyNumberFormat="1" applyFont="1" applyFill="1" applyBorder="1" applyAlignment="1"/>
    <xf numFmtId="165" fontId="42" fillId="0" borderId="0" xfId="7" applyNumberFormat="1" applyFont="1" applyFill="1" applyBorder="1" applyAlignment="1">
      <alignment vertical="center"/>
    </xf>
    <xf numFmtId="165" fontId="30" fillId="0" borderId="0" xfId="7" applyNumberFormat="1" applyFont="1" applyFill="1" applyBorder="1" applyAlignment="1">
      <alignment horizontal="right" vertical="center"/>
    </xf>
    <xf numFmtId="165" fontId="25" fillId="0" borderId="0" xfId="7" applyNumberFormat="1" applyFont="1" applyFill="1" applyBorder="1" applyAlignment="1">
      <alignment horizontal="right" vertical="center"/>
    </xf>
    <xf numFmtId="0" fontId="21" fillId="0" borderId="0" xfId="7" applyFont="1" applyFill="1" applyBorder="1" applyAlignment="1">
      <alignment vertical="center"/>
    </xf>
    <xf numFmtId="2" fontId="29" fillId="0" borderId="0" xfId="7" applyNumberFormat="1" applyFont="1" applyFill="1" applyBorder="1" applyAlignment="1">
      <alignment vertical="center"/>
    </xf>
    <xf numFmtId="165" fontId="36" fillId="0" borderId="0" xfId="18" applyNumberFormat="1" applyFont="1" applyFill="1" applyBorder="1" applyAlignment="1">
      <alignment vertical="center"/>
    </xf>
    <xf numFmtId="3" fontId="29" fillId="0" borderId="0" xfId="18" applyNumberFormat="1" applyFont="1" applyFill="1" applyBorder="1" applyAlignment="1">
      <alignment horizontal="left" vertical="center" indent="2"/>
    </xf>
    <xf numFmtId="165" fontId="29" fillId="0" borderId="0" xfId="18" applyNumberFormat="1" applyFont="1" applyFill="1" applyBorder="1" applyAlignment="1">
      <alignment horizontal="left" vertical="center" indent="2"/>
    </xf>
    <xf numFmtId="165" fontId="21" fillId="0" borderId="12" xfId="7" applyNumberFormat="1" applyFont="1" applyFill="1" applyBorder="1" applyAlignment="1">
      <alignment vertical="center"/>
    </xf>
    <xf numFmtId="166" fontId="29" fillId="0" borderId="6" xfId="7" applyNumberFormat="1" applyFont="1" applyFill="1" applyBorder="1" applyAlignment="1">
      <alignment horizontal="right" vertical="center"/>
    </xf>
    <xf numFmtId="166" fontId="29" fillId="0" borderId="12" xfId="7" applyNumberFormat="1" applyFont="1" applyFill="1" applyBorder="1" applyAlignment="1">
      <alignment vertical="center"/>
    </xf>
    <xf numFmtId="166" fontId="29" fillId="0" borderId="0" xfId="7" applyNumberFormat="1" applyFont="1" applyFill="1" applyBorder="1" applyAlignment="1">
      <alignment horizontal="right" vertical="center"/>
    </xf>
    <xf numFmtId="166" fontId="29" fillId="0" borderId="0" xfId="7" applyNumberFormat="1" applyFont="1" applyFill="1" applyBorder="1" applyAlignment="1">
      <alignment vertical="center"/>
    </xf>
    <xf numFmtId="0" fontId="43" fillId="0" borderId="0" xfId="29" applyFont="1" applyFill="1" applyBorder="1" applyAlignment="1">
      <alignment horizontal="left" vertical="top"/>
    </xf>
    <xf numFmtId="165" fontId="59" fillId="0" borderId="0" xfId="18" applyNumberFormat="1" applyFont="1" applyFill="1" applyAlignment="1"/>
    <xf numFmtId="0" fontId="59" fillId="0" borderId="0" xfId="18" applyFont="1" applyFill="1" applyAlignment="1"/>
    <xf numFmtId="0" fontId="48" fillId="0" borderId="0" xfId="19" applyNumberFormat="1" applyFont="1" applyFill="1" applyAlignment="1">
      <alignment horizontal="left" wrapText="1"/>
    </xf>
    <xf numFmtId="0" fontId="48" fillId="0" borderId="0" xfId="19" applyFont="1" applyFill="1" applyAlignment="1">
      <alignment horizontal="left" wrapText="1"/>
    </xf>
    <xf numFmtId="0" fontId="40" fillId="0" borderId="0" xfId="19" applyFont="1" applyFill="1" applyAlignment="1">
      <alignment horizontal="left" wrapText="1"/>
    </xf>
    <xf numFmtId="0" fontId="71" fillId="0" borderId="0" xfId="19" applyFont="1" applyFill="1" applyAlignment="1">
      <alignment horizontal="left" vertical="top" wrapText="1"/>
    </xf>
    <xf numFmtId="165" fontId="191" fillId="0" borderId="6" xfId="27" applyNumberFormat="1" applyFont="1" applyFill="1" applyBorder="1" applyAlignment="1">
      <alignment horizontal="right" vertical="center"/>
    </xf>
    <xf numFmtId="0" fontId="200" fillId="0" borderId="0" xfId="27" applyFont="1" applyFill="1"/>
    <xf numFmtId="165" fontId="22" fillId="0" borderId="18" xfId="7" applyNumberFormat="1" applyFont="1" applyFill="1" applyBorder="1" applyAlignment="1">
      <alignment vertical="center"/>
    </xf>
    <xf numFmtId="165" fontId="30" fillId="0" borderId="5" xfId="27" applyNumberFormat="1" applyFont="1" applyFill="1" applyBorder="1" applyAlignment="1">
      <alignment horizontal="left" vertical="center" indent="4"/>
    </xf>
    <xf numFmtId="165" fontId="30" fillId="0" borderId="7" xfId="27" applyNumberFormat="1" applyFont="1" applyFill="1" applyBorder="1" applyAlignment="1">
      <alignment vertical="center"/>
    </xf>
    <xf numFmtId="165" fontId="25" fillId="0" borderId="0" xfId="7" applyNumberFormat="1" applyFont="1" applyFill="1" applyBorder="1" applyAlignment="1">
      <alignment vertical="center"/>
    </xf>
    <xf numFmtId="165" fontId="25" fillId="0" borderId="20" xfId="7" applyNumberFormat="1" applyFont="1" applyFill="1" applyBorder="1" applyAlignment="1">
      <alignment vertical="center"/>
    </xf>
    <xf numFmtId="1" fontId="29" fillId="0" borderId="5" xfId="27" applyNumberFormat="1" applyFont="1" applyFill="1" applyBorder="1" applyAlignment="1">
      <alignment horizontal="center" vertical="center"/>
    </xf>
    <xf numFmtId="0" fontId="29" fillId="0" borderId="21" xfId="15" applyNumberFormat="1" applyFont="1" applyFill="1" applyBorder="1" applyAlignment="1">
      <alignment horizontal="center" vertical="center" wrapText="1"/>
    </xf>
    <xf numFmtId="165" fontId="29" fillId="0" borderId="4" xfId="27" applyNumberFormat="1" applyFont="1" applyFill="1" applyBorder="1" applyAlignment="1">
      <alignment horizontal="center" vertical="center" wrapText="1"/>
    </xf>
    <xf numFmtId="1" fontId="29" fillId="0" borderId="7" xfId="27" applyNumberFormat="1" applyFont="1" applyFill="1" applyBorder="1" applyAlignment="1">
      <alignment horizontal="center" vertical="center"/>
    </xf>
    <xf numFmtId="165" fontId="29" fillId="0" borderId="5" xfId="12" quotePrefix="1" applyNumberFormat="1" applyFont="1" applyFill="1" applyBorder="1" applyAlignment="1">
      <alignment horizontal="center" vertical="center" wrapText="1"/>
    </xf>
    <xf numFmtId="165" fontId="46" fillId="0" borderId="0" xfId="7" applyNumberFormat="1" applyFont="1" applyFill="1" applyAlignment="1"/>
    <xf numFmtId="165" fontId="35" fillId="0" borderId="0" xfId="27" applyNumberFormat="1" applyFont="1" applyFill="1" applyAlignment="1" applyProtection="1"/>
    <xf numFmtId="165" fontId="21" fillId="0" borderId="0" xfId="7" applyNumberFormat="1" applyFont="1" applyFill="1" applyAlignment="1">
      <alignment horizontal="left" vertical="center" indent="1"/>
    </xf>
    <xf numFmtId="165" fontId="29" fillId="0" borderId="0" xfId="27" applyNumberFormat="1" applyFont="1" applyFill="1" applyAlignment="1" applyProtection="1">
      <alignment vertical="center"/>
    </xf>
    <xf numFmtId="171" fontId="29" fillId="0" borderId="0" xfId="27" applyNumberFormat="1" applyFont="1" applyFill="1" applyAlignment="1">
      <alignment horizontal="right" vertical="center"/>
    </xf>
    <xf numFmtId="165" fontId="42" fillId="0" borderId="0" xfId="18" applyNumberFormat="1" applyFont="1" applyFill="1" applyBorder="1" applyAlignment="1">
      <alignment horizontal="left" indent="3"/>
    </xf>
    <xf numFmtId="165" fontId="163" fillId="0" borderId="0" xfId="7" applyNumberFormat="1" applyFont="1" applyFill="1" applyBorder="1" applyAlignment="1">
      <alignment horizontal="right" vertical="center"/>
    </xf>
    <xf numFmtId="165" fontId="46" fillId="0" borderId="0" xfId="7" applyNumberFormat="1" applyFont="1" applyFill="1" applyAlignment="1">
      <alignment vertical="center"/>
    </xf>
    <xf numFmtId="165" fontId="35" fillId="0" borderId="0" xfId="27" applyNumberFormat="1" applyFont="1" applyFill="1" applyAlignment="1" applyProtection="1">
      <alignment vertical="center"/>
    </xf>
    <xf numFmtId="165" fontId="29" fillId="0" borderId="0" xfId="27" applyNumberFormat="1" applyFont="1" applyFill="1" applyBorder="1" applyAlignment="1" applyProtection="1">
      <alignment vertical="center"/>
    </xf>
    <xf numFmtId="165" fontId="35" fillId="0" borderId="0" xfId="27" applyNumberFormat="1" applyFont="1" applyFill="1" applyBorder="1" applyAlignment="1" applyProtection="1">
      <alignment vertical="center"/>
    </xf>
    <xf numFmtId="165" fontId="21" fillId="0" borderId="0" xfId="7" applyNumberFormat="1" applyFont="1" applyFill="1" applyAlignment="1">
      <alignment vertical="center"/>
    </xf>
    <xf numFmtId="165" fontId="29" fillId="0" borderId="0" xfId="27" applyNumberFormat="1" applyFont="1" applyFill="1" applyBorder="1" applyAlignment="1" applyProtection="1">
      <alignment horizontal="right" vertical="center"/>
    </xf>
    <xf numFmtId="0" fontId="29" fillId="0" borderId="0" xfId="18" applyFont="1" applyFill="1" applyProtection="1"/>
    <xf numFmtId="165" fontId="46" fillId="0" borderId="22" xfId="7" applyNumberFormat="1" applyFont="1" applyFill="1" applyBorder="1" applyAlignment="1"/>
    <xf numFmtId="165" fontId="35" fillId="0" borderId="7" xfId="27" applyNumberFormat="1" applyFont="1" applyFill="1" applyBorder="1" applyAlignment="1" applyProtection="1"/>
    <xf numFmtId="165" fontId="42" fillId="0" borderId="0" xfId="7" applyNumberFormat="1" applyFont="1" applyFill="1" applyAlignment="1">
      <alignment vertical="center"/>
    </xf>
    <xf numFmtId="165" fontId="29" fillId="0" borderId="0" xfId="27" applyNumberFormat="1" applyFont="1" applyFill="1" applyAlignment="1" applyProtection="1">
      <alignment horizontal="right" vertical="center"/>
    </xf>
    <xf numFmtId="0" fontId="65" fillId="0" borderId="0" xfId="18" applyFont="1" applyFill="1" applyProtection="1"/>
    <xf numFmtId="0" fontId="21" fillId="0" borderId="0" xfId="7" applyFont="1" applyFill="1" applyBorder="1" applyAlignment="1">
      <alignment horizontal="left" vertical="center" indent="1"/>
    </xf>
    <xf numFmtId="0" fontId="66" fillId="0" borderId="0" xfId="18" applyFont="1" applyFill="1" applyProtection="1"/>
    <xf numFmtId="165" fontId="36" fillId="0" borderId="0" xfId="18" applyNumberFormat="1" applyFont="1" applyFill="1" applyAlignment="1">
      <alignment vertical="center"/>
    </xf>
    <xf numFmtId="165" fontId="59" fillId="0" borderId="0" xfId="27" applyNumberFormat="1" applyFont="1" applyFill="1" applyProtection="1"/>
    <xf numFmtId="3" fontId="29" fillId="0" borderId="0" xfId="18" applyNumberFormat="1" applyFont="1" applyFill="1" applyAlignment="1">
      <alignment horizontal="left" vertical="center" indent="2"/>
    </xf>
    <xf numFmtId="165" fontId="29" fillId="0" borderId="0" xfId="18" applyNumberFormat="1" applyFont="1" applyFill="1" applyAlignment="1">
      <alignment horizontal="left" vertical="center" indent="2"/>
    </xf>
    <xf numFmtId="165" fontId="21" fillId="0" borderId="20" xfId="7" applyNumberFormat="1" applyFont="1" applyFill="1" applyBorder="1" applyAlignment="1">
      <alignment vertical="top"/>
    </xf>
    <xf numFmtId="165" fontId="29" fillId="0" borderId="6" xfId="27" applyNumberFormat="1" applyFont="1" applyFill="1" applyBorder="1" applyAlignment="1" applyProtection="1">
      <alignment vertical="top"/>
    </xf>
    <xf numFmtId="165" fontId="67" fillId="0" borderId="6" xfId="27" applyNumberFormat="1" applyFont="1" applyFill="1" applyBorder="1" applyAlignment="1" applyProtection="1"/>
    <xf numFmtId="165" fontId="68" fillId="0" borderId="0" xfId="7" applyNumberFormat="1" applyFont="1" applyFill="1" applyAlignment="1">
      <alignment vertical="center"/>
    </xf>
    <xf numFmtId="0" fontId="69" fillId="0" borderId="0" xfId="18" applyFont="1" applyFill="1"/>
    <xf numFmtId="0" fontId="70" fillId="0" borderId="0" xfId="18" applyFont="1" applyFill="1"/>
    <xf numFmtId="165" fontId="20" fillId="0" borderId="0" xfId="14" applyNumberFormat="1" applyFont="1" applyFill="1" applyAlignment="1"/>
    <xf numFmtId="183" fontId="199" fillId="0" borderId="0" xfId="18" applyNumberFormat="1" applyFont="1" applyFill="1" applyBorder="1"/>
    <xf numFmtId="165" fontId="188" fillId="0" borderId="0" xfId="10" applyNumberFormat="1" applyFont="1" applyFill="1" applyBorder="1" applyAlignment="1">
      <alignment horizontal="left" vertical="center"/>
    </xf>
    <xf numFmtId="165" fontId="35" fillId="0" borderId="0" xfId="10" applyNumberFormat="1" applyFont="1" applyFill="1" applyBorder="1" applyAlignment="1">
      <alignment horizontal="right" vertical="center"/>
    </xf>
    <xf numFmtId="165" fontId="21" fillId="0" borderId="94" xfId="10" quotePrefix="1" applyNumberFormat="1" applyFont="1" applyFill="1" applyBorder="1" applyAlignment="1">
      <alignment horizontal="center" vertical="center"/>
    </xf>
    <xf numFmtId="165" fontId="29" fillId="0" borderId="25" xfId="10" quotePrefix="1" applyNumberFormat="1" applyFont="1" applyFill="1" applyBorder="1" applyAlignment="1">
      <alignment horizontal="center" vertical="center"/>
    </xf>
    <xf numFmtId="165" fontId="29" fillId="0" borderId="23" xfId="10" quotePrefix="1" applyNumberFormat="1" applyFont="1" applyFill="1" applyBorder="1" applyAlignment="1">
      <alignment horizontal="center" vertical="center"/>
    </xf>
    <xf numFmtId="165" fontId="29" fillId="0" borderId="9" xfId="10" quotePrefix="1" applyNumberFormat="1" applyFont="1" applyFill="1" applyBorder="1" applyAlignment="1">
      <alignment horizontal="center" vertical="center"/>
    </xf>
    <xf numFmtId="165" fontId="29" fillId="0" borderId="100" xfId="10" quotePrefix="1" applyNumberFormat="1" applyFont="1" applyFill="1" applyBorder="1" applyAlignment="1">
      <alignment horizontal="center" vertical="center"/>
    </xf>
    <xf numFmtId="165" fontId="21" fillId="0" borderId="93" xfId="10" quotePrefix="1" applyNumberFormat="1" applyFont="1" applyFill="1" applyBorder="1" applyAlignment="1">
      <alignment horizontal="center" vertical="center"/>
    </xf>
    <xf numFmtId="165" fontId="29" fillId="0" borderId="0" xfId="29" applyNumberFormat="1" applyFont="1" applyFill="1" applyBorder="1" applyAlignment="1">
      <alignment horizontal="left" vertical="top" indent="1"/>
    </xf>
    <xf numFmtId="165" fontId="21" fillId="0" borderId="18" xfId="0" applyNumberFormat="1" applyFont="1" applyFill="1" applyBorder="1" applyAlignment="1">
      <alignment horizontal="right" vertical="center"/>
    </xf>
    <xf numFmtId="165" fontId="21" fillId="0" borderId="96" xfId="0" applyNumberFormat="1" applyFont="1" applyFill="1" applyBorder="1" applyAlignment="1">
      <alignment horizontal="right" vertical="center"/>
    </xf>
    <xf numFmtId="165" fontId="21" fillId="0" borderId="95" xfId="0" applyNumberFormat="1" applyFont="1" applyFill="1" applyBorder="1" applyAlignment="1">
      <alignment horizontal="right" vertical="center"/>
    </xf>
    <xf numFmtId="165" fontId="29" fillId="0" borderId="13" xfId="0" applyNumberFormat="1" applyFont="1" applyFill="1" applyBorder="1" applyAlignment="1">
      <alignment horizontal="right" vertical="center"/>
    </xf>
    <xf numFmtId="165" fontId="21" fillId="0" borderId="0" xfId="0" applyNumberFormat="1" applyFont="1" applyFill="1" applyBorder="1" applyAlignment="1">
      <alignment horizontal="right" vertical="center"/>
    </xf>
    <xf numFmtId="165" fontId="21" fillId="0" borderId="98" xfId="0" applyNumberFormat="1" applyFont="1" applyFill="1" applyBorder="1" applyAlignment="1">
      <alignment horizontal="right" vertical="center"/>
    </xf>
    <xf numFmtId="165" fontId="21" fillId="0" borderId="97" xfId="0" applyNumberFormat="1" applyFont="1" applyFill="1" applyBorder="1" applyAlignment="1">
      <alignment horizontal="right" vertical="center"/>
    </xf>
    <xf numFmtId="165" fontId="29" fillId="0" borderId="28" xfId="0" applyNumberFormat="1" applyFont="1" applyFill="1" applyBorder="1" applyAlignment="1">
      <alignment horizontal="right" vertical="center"/>
    </xf>
    <xf numFmtId="165" fontId="22" fillId="0" borderId="22" xfId="29" applyNumberFormat="1" applyFont="1" applyFill="1" applyBorder="1" applyAlignment="1">
      <alignment vertical="center"/>
    </xf>
    <xf numFmtId="165" fontId="22" fillId="0" borderId="93" xfId="29" applyNumberFormat="1" applyFont="1" applyFill="1" applyBorder="1" applyAlignment="1">
      <alignment vertical="center"/>
    </xf>
    <xf numFmtId="165" fontId="22" fillId="0" borderId="92" xfId="29" applyNumberFormat="1" applyFont="1" applyFill="1" applyBorder="1" applyAlignment="1">
      <alignment vertical="center"/>
    </xf>
    <xf numFmtId="165" fontId="35" fillId="0" borderId="10" xfId="29" applyNumberFormat="1" applyFont="1" applyFill="1" applyBorder="1" applyAlignment="1">
      <alignment vertical="center"/>
    </xf>
    <xf numFmtId="165" fontId="21" fillId="0" borderId="0" xfId="1438" applyNumberFormat="1" applyFont="1" applyFill="1" applyBorder="1" applyAlignment="1">
      <alignment horizontal="right" vertical="center"/>
    </xf>
    <xf numFmtId="165" fontId="21" fillId="0" borderId="98" xfId="1438" applyNumberFormat="1" applyFont="1" applyFill="1" applyBorder="1" applyAlignment="1">
      <alignment horizontal="right" vertical="center"/>
    </xf>
    <xf numFmtId="165" fontId="21" fillId="0" borderId="97" xfId="1438" applyNumberFormat="1" applyFont="1" applyFill="1" applyBorder="1" applyAlignment="1">
      <alignment horizontal="right" vertical="center"/>
    </xf>
    <xf numFmtId="165" fontId="21" fillId="0" borderId="20" xfId="1438" applyNumberFormat="1" applyFont="1" applyFill="1" applyBorder="1" applyAlignment="1">
      <alignment horizontal="right" vertical="center"/>
    </xf>
    <xf numFmtId="3" fontId="35" fillId="0" borderId="0" xfId="29" applyNumberFormat="1" applyFont="1" applyFill="1" applyBorder="1" applyAlignment="1">
      <alignment horizontal="left" vertical="center"/>
    </xf>
    <xf numFmtId="165" fontId="35" fillId="0" borderId="0" xfId="29" applyNumberFormat="1" applyFont="1" applyFill="1" applyBorder="1" applyAlignment="1">
      <alignment vertical="center"/>
    </xf>
    <xf numFmtId="3" fontId="19" fillId="0" borderId="0" xfId="29" applyNumberFormat="1" applyFont="1" applyFill="1" applyBorder="1" applyAlignment="1">
      <alignment vertical="center"/>
    </xf>
    <xf numFmtId="165" fontId="38" fillId="0" borderId="0" xfId="29" applyNumberFormat="1" applyFont="1" applyFill="1" applyBorder="1" applyAlignment="1">
      <alignment horizontal="left" vertical="top"/>
    </xf>
    <xf numFmtId="3" fontId="11" fillId="0" borderId="0" xfId="18" applyNumberFormat="1" applyFill="1" applyBorder="1"/>
    <xf numFmtId="165" fontId="29" fillId="0" borderId="0" xfId="29" applyNumberFormat="1" applyFont="1" applyFill="1" applyBorder="1" applyAlignment="1">
      <alignment horizontal="left" vertical="top"/>
    </xf>
    <xf numFmtId="165" fontId="29" fillId="0" borderId="0" xfId="29" quotePrefix="1" applyNumberFormat="1" applyFont="1" applyFill="1" applyBorder="1" applyAlignment="1">
      <alignment horizontal="left" vertical="top"/>
    </xf>
    <xf numFmtId="165" fontId="31" fillId="0" borderId="0" xfId="29" applyNumberFormat="1" applyFont="1" applyFill="1" applyBorder="1" applyAlignment="1">
      <alignment horizontal="left" vertical="top"/>
    </xf>
    <xf numFmtId="165" fontId="19" fillId="0" borderId="0" xfId="10" applyNumberFormat="1" applyFont="1" applyFill="1" applyBorder="1" applyAlignment="1">
      <alignment horizontal="left" vertical="center"/>
    </xf>
    <xf numFmtId="3" fontId="35" fillId="0" borderId="0" xfId="16" applyNumberFormat="1" applyFont="1" applyFill="1" applyBorder="1" applyAlignment="1">
      <alignment horizontal="left" vertical="center"/>
    </xf>
    <xf numFmtId="165" fontId="22" fillId="0" borderId="18" xfId="0" applyNumberFormat="1" applyFont="1" applyFill="1" applyBorder="1" applyAlignment="1">
      <alignment horizontal="right" vertical="center"/>
    </xf>
    <xf numFmtId="165" fontId="22" fillId="0" borderId="96" xfId="0" applyNumberFormat="1" applyFont="1" applyFill="1" applyBorder="1" applyAlignment="1">
      <alignment horizontal="right" vertical="center"/>
    </xf>
    <xf numFmtId="165" fontId="22" fillId="0" borderId="95" xfId="0" applyNumberFormat="1" applyFont="1" applyFill="1" applyBorder="1" applyAlignment="1">
      <alignment horizontal="right" vertical="center"/>
    </xf>
    <xf numFmtId="165" fontId="35" fillId="0" borderId="8" xfId="0" applyNumberFormat="1" applyFont="1" applyFill="1" applyBorder="1" applyAlignment="1">
      <alignment horizontal="right" vertical="center"/>
    </xf>
    <xf numFmtId="165" fontId="29" fillId="0" borderId="0" xfId="16" applyNumberFormat="1" applyFont="1" applyFill="1" applyBorder="1" applyAlignment="1">
      <alignment horizontal="left" vertical="center" indent="1"/>
    </xf>
    <xf numFmtId="165" fontId="29" fillId="0" borderId="0" xfId="18" applyNumberFormat="1" applyFont="1" applyFill="1" applyBorder="1" applyAlignment="1">
      <alignment horizontal="right" vertical="center"/>
    </xf>
    <xf numFmtId="165" fontId="21" fillId="0" borderId="0" xfId="1006" applyNumberFormat="1" applyFont="1" applyFill="1" applyBorder="1" applyAlignment="1">
      <alignment horizontal="right" vertical="center"/>
    </xf>
    <xf numFmtId="165" fontId="21" fillId="0" borderId="98" xfId="1006" applyNumberFormat="1" applyFont="1" applyFill="1" applyBorder="1" applyAlignment="1">
      <alignment horizontal="right" vertical="center"/>
    </xf>
    <xf numFmtId="165" fontId="21" fillId="0" borderId="97" xfId="1006" applyNumberFormat="1" applyFont="1" applyFill="1" applyBorder="1" applyAlignment="1">
      <alignment horizontal="right" vertical="center"/>
    </xf>
    <xf numFmtId="165" fontId="29" fillId="0" borderId="0" xfId="0" applyNumberFormat="1" applyFont="1" applyFill="1" applyBorder="1" applyAlignment="1">
      <alignment horizontal="right" vertical="center"/>
    </xf>
    <xf numFmtId="165" fontId="35" fillId="0" borderId="0" xfId="16" applyNumberFormat="1" applyFont="1" applyFill="1" applyBorder="1" applyAlignment="1">
      <alignment horizontal="left" vertical="center"/>
    </xf>
    <xf numFmtId="165" fontId="22" fillId="0" borderId="0" xfId="0" applyNumberFormat="1" applyFont="1" applyFill="1" applyBorder="1" applyAlignment="1">
      <alignment horizontal="right" vertical="center"/>
    </xf>
    <xf numFmtId="165" fontId="22" fillId="0" borderId="98" xfId="0" applyNumberFormat="1" applyFont="1" applyFill="1" applyBorder="1" applyAlignment="1">
      <alignment horizontal="right" vertical="center"/>
    </xf>
    <xf numFmtId="165" fontId="22" fillId="0" borderId="97" xfId="0" applyNumberFormat="1" applyFont="1" applyFill="1" applyBorder="1" applyAlignment="1">
      <alignment horizontal="right" vertical="center"/>
    </xf>
    <xf numFmtId="165" fontId="22" fillId="0" borderId="98" xfId="16" applyNumberFormat="1" applyFont="1" applyFill="1" applyBorder="1" applyAlignment="1">
      <alignment horizontal="right" vertical="center"/>
    </xf>
    <xf numFmtId="165" fontId="35" fillId="0" borderId="0" xfId="0" applyNumberFormat="1" applyFont="1" applyFill="1" applyBorder="1" applyAlignment="1">
      <alignment horizontal="right" vertical="center"/>
    </xf>
    <xf numFmtId="165" fontId="21" fillId="0" borderId="20" xfId="16" applyNumberFormat="1" applyFont="1" applyFill="1" applyBorder="1" applyAlignment="1">
      <alignment horizontal="right" vertical="center"/>
    </xf>
    <xf numFmtId="165" fontId="21" fillId="0" borderId="0" xfId="16" applyNumberFormat="1" applyFont="1" applyFill="1" applyBorder="1" applyAlignment="1">
      <alignment horizontal="right" vertical="center"/>
    </xf>
    <xf numFmtId="165" fontId="21" fillId="0" borderId="98" xfId="16" applyNumberFormat="1" applyFont="1" applyFill="1" applyBorder="1" applyAlignment="1">
      <alignment horizontal="right" vertical="center"/>
    </xf>
    <xf numFmtId="165" fontId="21" fillId="0" borderId="97" xfId="16" applyNumberFormat="1" applyFont="1" applyFill="1" applyBorder="1" applyAlignment="1">
      <alignment horizontal="right" vertical="center"/>
    </xf>
    <xf numFmtId="165" fontId="22" fillId="0" borderId="22" xfId="16" applyNumberFormat="1" applyFont="1" applyFill="1" applyBorder="1" applyAlignment="1">
      <alignment horizontal="right" vertical="center"/>
    </xf>
    <xf numFmtId="165" fontId="22" fillId="0" borderId="93" xfId="16" applyNumberFormat="1" applyFont="1" applyFill="1" applyBorder="1" applyAlignment="1">
      <alignment horizontal="right" vertical="center"/>
    </xf>
    <xf numFmtId="165" fontId="22" fillId="0" borderId="92" xfId="16" applyNumberFormat="1" applyFont="1" applyFill="1" applyBorder="1" applyAlignment="1">
      <alignment horizontal="right" vertical="center"/>
    </xf>
    <xf numFmtId="165" fontId="35" fillId="0" borderId="11" xfId="16" applyNumberFormat="1" applyFont="1" applyFill="1" applyBorder="1" applyAlignment="1">
      <alignment horizontal="right" vertical="center"/>
    </xf>
    <xf numFmtId="165" fontId="35" fillId="0" borderId="0" xfId="16" applyNumberFormat="1" applyFont="1" applyFill="1" applyBorder="1" applyAlignment="1">
      <alignment vertical="center"/>
    </xf>
    <xf numFmtId="165" fontId="35" fillId="0" borderId="0" xfId="16" applyNumberFormat="1" applyFont="1" applyFill="1" applyBorder="1" applyAlignment="1">
      <alignment horizontal="right" vertical="center"/>
    </xf>
    <xf numFmtId="165" fontId="30" fillId="0" borderId="0" xfId="16" applyNumberFormat="1" applyFont="1" applyFill="1" applyBorder="1" applyAlignment="1">
      <alignment vertical="top"/>
    </xf>
    <xf numFmtId="165" fontId="29" fillId="0" borderId="0" xfId="16" applyNumberFormat="1" applyFont="1" applyFill="1" applyBorder="1" applyAlignment="1">
      <alignment vertical="top"/>
    </xf>
    <xf numFmtId="165" fontId="21" fillId="0" borderId="20" xfId="0" applyNumberFormat="1" applyFont="1" applyFill="1" applyBorder="1" applyAlignment="1">
      <alignment horizontal="right" vertical="center"/>
    </xf>
    <xf numFmtId="165" fontId="21" fillId="0" borderId="105" xfId="16" applyNumberFormat="1" applyFont="1" applyFill="1" applyBorder="1" applyAlignment="1">
      <alignment horizontal="right" vertical="center"/>
    </xf>
    <xf numFmtId="165" fontId="46" fillId="3" borderId="0" xfId="14" applyNumberFormat="1" applyFont="1" applyFill="1" applyAlignment="1"/>
    <xf numFmtId="49" fontId="25" fillId="3" borderId="8" xfId="12" applyNumberFormat="1" applyFont="1" applyFill="1" applyBorder="1" applyAlignment="1">
      <alignment horizontal="center" vertical="center" wrapText="1"/>
    </xf>
    <xf numFmtId="165" fontId="21" fillId="3" borderId="12" xfId="14" applyNumberFormat="1" applyFont="1" applyFill="1" applyBorder="1" applyAlignment="1">
      <alignment vertical="center"/>
    </xf>
    <xf numFmtId="0" fontId="21" fillId="3" borderId="0" xfId="16" applyFont="1" applyFill="1" applyBorder="1"/>
    <xf numFmtId="165" fontId="46" fillId="3" borderId="0" xfId="14" applyNumberFormat="1" applyFont="1" applyFill="1" applyAlignment="1">
      <alignment vertical="center"/>
    </xf>
    <xf numFmtId="0" fontId="50" fillId="3" borderId="0" xfId="30" applyFont="1" applyFill="1" applyAlignment="1">
      <alignment horizontal="left" vertical="center" indent="2"/>
    </xf>
    <xf numFmtId="0" fontId="50" fillId="3" borderId="0" xfId="18" applyFont="1" applyFill="1" applyAlignment="1">
      <alignment horizontal="left" vertical="center" indent="2"/>
    </xf>
    <xf numFmtId="0" fontId="194" fillId="3" borderId="7" xfId="30" applyFont="1" applyFill="1" applyBorder="1"/>
    <xf numFmtId="165" fontId="46" fillId="3" borderId="6" xfId="14" applyNumberFormat="1" applyFont="1" applyFill="1" applyBorder="1" applyAlignment="1">
      <alignment vertical="center"/>
    </xf>
    <xf numFmtId="165" fontId="21" fillId="3" borderId="0" xfId="16" applyNumberFormat="1" applyFont="1" applyFill="1" applyBorder="1" applyAlignment="1">
      <alignment vertical="center"/>
    </xf>
    <xf numFmtId="165" fontId="46" fillId="3" borderId="0" xfId="14" applyNumberFormat="1" applyFont="1" applyFill="1" applyBorder="1" applyAlignment="1">
      <alignment vertical="center"/>
    </xf>
    <xf numFmtId="165" fontId="46" fillId="3" borderId="22" xfId="14" applyNumberFormat="1" applyFont="1" applyFill="1" applyBorder="1" applyAlignment="1">
      <alignment vertical="center"/>
    </xf>
    <xf numFmtId="165" fontId="30" fillId="3" borderId="11" xfId="12" quotePrefix="1" applyNumberFormat="1" applyFont="1" applyFill="1" applyBorder="1" applyAlignment="1" applyProtection="1">
      <alignment horizontal="center" vertical="center" wrapText="1"/>
      <protection locked="0"/>
    </xf>
    <xf numFmtId="49" fontId="25" fillId="3" borderId="24" xfId="12" applyNumberFormat="1" applyFont="1" applyFill="1" applyBorder="1" applyAlignment="1">
      <alignment horizontal="center" vertical="center" wrapText="1"/>
    </xf>
    <xf numFmtId="49" fontId="25" fillId="3" borderId="24" xfId="12" quotePrefix="1" applyNumberFormat="1" applyFont="1" applyFill="1" applyBorder="1" applyAlignment="1">
      <alignment horizontal="center" vertical="center" wrapText="1"/>
    </xf>
    <xf numFmtId="165" fontId="22" fillId="3" borderId="0" xfId="14" applyNumberFormat="1" applyFont="1" applyFill="1" applyBorder="1" applyAlignment="1">
      <alignment horizontal="right" vertical="center"/>
    </xf>
    <xf numFmtId="165" fontId="21" fillId="3" borderId="0" xfId="14" applyNumberFormat="1" applyFont="1" applyFill="1" applyBorder="1" applyAlignment="1">
      <alignment horizontal="right" vertical="center"/>
    </xf>
    <xf numFmtId="165" fontId="25" fillId="3" borderId="23" xfId="12" applyNumberFormat="1" applyFont="1" applyFill="1" applyBorder="1" applyAlignment="1">
      <alignment horizontal="center" vertical="center" wrapText="1"/>
    </xf>
    <xf numFmtId="165" fontId="25" fillId="3" borderId="24" xfId="12" quotePrefix="1" applyNumberFormat="1" applyFont="1" applyFill="1" applyBorder="1" applyAlignment="1">
      <alignment horizontal="center" vertical="center" wrapText="1"/>
    </xf>
    <xf numFmtId="165" fontId="212" fillId="0" borderId="0" xfId="12" applyNumberFormat="1" applyFont="1" applyFill="1" applyBorder="1" applyAlignment="1"/>
    <xf numFmtId="0" fontId="214" fillId="0" borderId="0" xfId="0" applyFont="1" applyFill="1" applyBorder="1"/>
    <xf numFmtId="0" fontId="214" fillId="0" borderId="0" xfId="0" applyFont="1" applyFill="1" applyBorder="1" applyAlignment="1">
      <alignment horizontal="left"/>
    </xf>
    <xf numFmtId="165" fontId="212" fillId="0" borderId="0" xfId="12" applyNumberFormat="1" applyFont="1" applyFill="1" applyBorder="1" applyAlignment="1">
      <alignment horizontal="right"/>
    </xf>
    <xf numFmtId="0" fontId="40" fillId="0" borderId="32" xfId="0" applyFont="1" applyFill="1" applyBorder="1" applyAlignment="1">
      <alignment horizontal="center" vertical="center" wrapText="1"/>
    </xf>
    <xf numFmtId="171" fontId="21" fillId="0" borderId="32" xfId="0" applyNumberFormat="1" applyFont="1" applyFill="1" applyBorder="1" applyAlignment="1">
      <alignment horizontal="center" vertical="center" wrapText="1"/>
    </xf>
    <xf numFmtId="0" fontId="21" fillId="0" borderId="31" xfId="0" quotePrefix="1" applyFont="1" applyFill="1" applyBorder="1" applyAlignment="1">
      <alignment horizontal="center" vertical="center"/>
    </xf>
    <xf numFmtId="171" fontId="21" fillId="0" borderId="31" xfId="0" quotePrefix="1" applyNumberFormat="1" applyFont="1" applyFill="1" applyBorder="1" applyAlignment="1">
      <alignment horizontal="center" vertical="center"/>
    </xf>
    <xf numFmtId="0" fontId="213" fillId="0" borderId="0" xfId="0" applyFont="1" applyFill="1"/>
    <xf numFmtId="0" fontId="50" fillId="0" borderId="83" xfId="0" applyFont="1" applyFill="1" applyBorder="1" applyAlignment="1">
      <alignment horizontal="left" indent="2"/>
    </xf>
    <xf numFmtId="243" fontId="40" fillId="0" borderId="83" xfId="0" quotePrefix="1" applyNumberFormat="1" applyFont="1" applyFill="1" applyBorder="1" applyAlignment="1">
      <alignment horizontal="center"/>
    </xf>
    <xf numFmtId="243" fontId="40" fillId="0" borderId="82" xfId="0" quotePrefix="1" applyNumberFormat="1" applyFont="1" applyFill="1" applyBorder="1" applyAlignment="1">
      <alignment horizontal="center"/>
    </xf>
    <xf numFmtId="0" fontId="213" fillId="0" borderId="0" xfId="0" applyFont="1" applyFill="1" applyBorder="1"/>
    <xf numFmtId="0" fontId="50" fillId="0" borderId="83" xfId="0" applyFont="1" applyFill="1" applyBorder="1"/>
    <xf numFmtId="0" fontId="213" fillId="0" borderId="83" xfId="0" applyFont="1" applyFill="1" applyBorder="1" applyAlignment="1">
      <alignment horizontal="left"/>
    </xf>
    <xf numFmtId="243" fontId="48" fillId="0" borderId="83" xfId="0" quotePrefix="1" applyNumberFormat="1" applyFont="1" applyFill="1" applyBorder="1" applyAlignment="1">
      <alignment horizontal="center"/>
    </xf>
    <xf numFmtId="0" fontId="213" fillId="0" borderId="83" xfId="0" applyFont="1" applyFill="1" applyBorder="1" applyAlignment="1">
      <alignment horizontal="left" indent="1"/>
    </xf>
    <xf numFmtId="0" fontId="50" fillId="0" borderId="82" xfId="0" applyFont="1" applyFill="1" applyBorder="1" applyAlignment="1">
      <alignment horizontal="left" indent="2"/>
    </xf>
    <xf numFmtId="0" fontId="50" fillId="0" borderId="0" xfId="0" applyFont="1" applyFill="1" applyBorder="1"/>
    <xf numFmtId="0" fontId="213" fillId="0" borderId="83" xfId="0" applyFont="1" applyFill="1" applyBorder="1"/>
    <xf numFmtId="0" fontId="213" fillId="0" borderId="82" xfId="0" applyFont="1" applyFill="1" applyBorder="1"/>
    <xf numFmtId="0" fontId="50" fillId="0" borderId="82" xfId="0" applyFont="1" applyFill="1" applyBorder="1"/>
    <xf numFmtId="243" fontId="48" fillId="0" borderId="82" xfId="0" quotePrefix="1" applyNumberFormat="1" applyFont="1" applyFill="1" applyBorder="1" applyAlignment="1">
      <alignment horizontal="center"/>
    </xf>
    <xf numFmtId="0" fontId="29" fillId="0" borderId="82" xfId="0" applyFont="1" applyFill="1" applyBorder="1" applyAlignment="1">
      <alignment horizontal="left" indent="2"/>
    </xf>
    <xf numFmtId="243" fontId="21" fillId="0" borderId="82" xfId="0" quotePrefix="1" applyNumberFormat="1" applyFont="1" applyFill="1" applyBorder="1" applyAlignment="1">
      <alignment horizontal="center"/>
    </xf>
    <xf numFmtId="0" fontId="50" fillId="0" borderId="82" xfId="0" applyFont="1" applyFill="1" applyBorder="1" applyAlignment="1">
      <alignment horizontal="left" vertical="center" indent="2"/>
    </xf>
    <xf numFmtId="0" fontId="50" fillId="0" borderId="82" xfId="0" applyFont="1" applyFill="1" applyBorder="1" applyAlignment="1">
      <alignment horizontal="left" vertical="center" wrapText="1" indent="2"/>
    </xf>
    <xf numFmtId="0" fontId="50" fillId="0" borderId="82" xfId="0" applyFont="1" applyFill="1" applyBorder="1" applyAlignment="1">
      <alignment horizontal="left" vertical="top" wrapText="1" indent="2"/>
    </xf>
    <xf numFmtId="0" fontId="50" fillId="0" borderId="0" xfId="0" applyFont="1" applyFill="1"/>
    <xf numFmtId="243" fontId="48" fillId="0" borderId="0" xfId="0" quotePrefix="1" applyNumberFormat="1" applyFont="1" applyFill="1" applyBorder="1" applyAlignment="1">
      <alignment horizontal="center"/>
    </xf>
    <xf numFmtId="0" fontId="213" fillId="0" borderId="84" xfId="0" applyFont="1" applyFill="1" applyBorder="1" applyAlignment="1">
      <alignment vertical="top" wrapText="1"/>
    </xf>
    <xf numFmtId="0" fontId="213" fillId="0" borderId="0" xfId="0" applyFont="1" applyFill="1" applyAlignment="1">
      <alignment vertical="top" wrapText="1"/>
    </xf>
    <xf numFmtId="243" fontId="48" fillId="0" borderId="84" xfId="0" quotePrefix="1" applyNumberFormat="1" applyFont="1" applyFill="1" applyBorder="1" applyAlignment="1">
      <alignment horizontal="center"/>
    </xf>
    <xf numFmtId="179" fontId="212" fillId="0" borderId="73" xfId="42" applyNumberFormat="1" applyFont="1" applyFill="1" applyBorder="1"/>
    <xf numFmtId="0" fontId="89" fillId="0" borderId="0" xfId="0" applyFont="1" applyFill="1" applyBorder="1"/>
    <xf numFmtId="0" fontId="40" fillId="0" borderId="31" xfId="0" quotePrefix="1" applyFont="1" applyFill="1" applyBorder="1" applyAlignment="1">
      <alignment horizontal="center" vertical="center"/>
    </xf>
    <xf numFmtId="171" fontId="40" fillId="0" borderId="31" xfId="0" quotePrefix="1" applyNumberFormat="1" applyFont="1" applyFill="1" applyBorder="1" applyAlignment="1">
      <alignment horizontal="center" vertical="center"/>
    </xf>
    <xf numFmtId="0" fontId="213" fillId="0" borderId="80" xfId="0" applyFont="1" applyFill="1" applyBorder="1"/>
    <xf numFmtId="0" fontId="50" fillId="0" borderId="80" xfId="0" applyFont="1" applyFill="1" applyBorder="1"/>
    <xf numFmtId="243" fontId="40" fillId="0" borderId="80" xfId="0" quotePrefix="1" applyNumberFormat="1" applyFont="1" applyFill="1" applyBorder="1" applyAlignment="1">
      <alignment horizontal="center"/>
    </xf>
    <xf numFmtId="0" fontId="213" fillId="0" borderId="79" xfId="0" applyFont="1" applyFill="1" applyBorder="1"/>
    <xf numFmtId="0" fontId="50" fillId="0" borderId="79" xfId="0" applyFont="1" applyFill="1" applyBorder="1"/>
    <xf numFmtId="243" fontId="40" fillId="0" borderId="79" xfId="0" quotePrefix="1" applyNumberFormat="1" applyFont="1" applyFill="1" applyBorder="1" applyAlignment="1">
      <alignment horizontal="center"/>
    </xf>
    <xf numFmtId="0" fontId="213" fillId="0" borderId="79" xfId="0" applyFont="1" applyFill="1" applyBorder="1" applyAlignment="1">
      <alignment wrapText="1"/>
    </xf>
    <xf numFmtId="0" fontId="50" fillId="0" borderId="79" xfId="0" applyFont="1" applyFill="1" applyBorder="1" applyAlignment="1">
      <alignment wrapText="1"/>
    </xf>
    <xf numFmtId="0" fontId="213" fillId="0" borderId="78" xfId="0" applyFont="1" applyFill="1" applyBorder="1"/>
    <xf numFmtId="0" fontId="50" fillId="0" borderId="78" xfId="0" applyFont="1" applyFill="1" applyBorder="1"/>
    <xf numFmtId="243" fontId="40" fillId="0" borderId="78" xfId="0" quotePrefix="1" applyNumberFormat="1" applyFont="1" applyFill="1" applyBorder="1" applyAlignment="1">
      <alignment horizontal="center"/>
    </xf>
    <xf numFmtId="179" fontId="212" fillId="0" borderId="73" xfId="42" applyNumberFormat="1" applyFont="1" applyFill="1" applyBorder="1" applyAlignment="1">
      <alignment horizontal="center"/>
    </xf>
    <xf numFmtId="179" fontId="212" fillId="0" borderId="76" xfId="42" applyNumberFormat="1" applyFont="1" applyFill="1" applyBorder="1" applyAlignment="1">
      <alignment horizontal="center"/>
    </xf>
    <xf numFmtId="0" fontId="212" fillId="0" borderId="0" xfId="0" applyFont="1" applyFill="1" applyBorder="1" applyAlignment="1">
      <alignment horizontal="left"/>
    </xf>
    <xf numFmtId="179" fontId="212" fillId="0" borderId="0" xfId="42" applyNumberFormat="1" applyFont="1" applyFill="1" applyBorder="1"/>
    <xf numFmtId="179" fontId="212" fillId="0" borderId="0" xfId="42" applyNumberFormat="1" applyFont="1" applyFill="1" applyBorder="1" applyAlignment="1">
      <alignment horizontal="center"/>
    </xf>
    <xf numFmtId="171" fontId="212" fillId="0" borderId="0" xfId="42" applyNumberFormat="1" applyFont="1" applyFill="1" applyBorder="1" applyAlignment="1">
      <alignment horizontal="left" vertical="center" wrapText="1" indent="5"/>
    </xf>
    <xf numFmtId="0" fontId="212" fillId="0" borderId="0" xfId="0" applyFont="1" applyFill="1" applyBorder="1" applyAlignment="1">
      <alignment horizontal="center"/>
    </xf>
    <xf numFmtId="171" fontId="212" fillId="0" borderId="0" xfId="42" applyNumberFormat="1" applyFont="1" applyFill="1" applyBorder="1"/>
    <xf numFmtId="179" fontId="212" fillId="0" borderId="76" xfId="42" applyNumberFormat="1" applyFont="1" applyFill="1" applyBorder="1"/>
    <xf numFmtId="0" fontId="40" fillId="0" borderId="0" xfId="0" applyFont="1" applyFill="1" applyAlignment="1">
      <alignment horizontal="left" wrapText="1"/>
    </xf>
    <xf numFmtId="0" fontId="48" fillId="0" borderId="30" xfId="0" applyFont="1" applyFill="1" applyBorder="1" applyAlignment="1">
      <alignment horizontal="center" vertical="center"/>
    </xf>
    <xf numFmtId="0" fontId="50" fillId="3" borderId="0" xfId="2320" applyFont="1" applyFill="1" applyAlignment="1">
      <alignment horizontal="left" vertical="center" wrapText="1"/>
    </xf>
    <xf numFmtId="0" fontId="11" fillId="0" borderId="0" xfId="18" applyFill="1" applyAlignment="1">
      <alignment wrapText="1"/>
    </xf>
    <xf numFmtId="0" fontId="218" fillId="3" borderId="87" xfId="2320" applyFont="1" applyFill="1" applyBorder="1" applyAlignment="1">
      <alignment horizontal="center" vertical="center"/>
    </xf>
    <xf numFmtId="0" fontId="218" fillId="3" borderId="86" xfId="2320" applyFont="1" applyFill="1" applyBorder="1" applyAlignment="1">
      <alignment horizontal="center" vertical="center" wrapText="1"/>
    </xf>
    <xf numFmtId="165" fontId="218" fillId="3" borderId="85" xfId="2320" applyNumberFormat="1" applyFont="1" applyFill="1" applyBorder="1" applyAlignment="1">
      <alignment horizontal="center" vertical="center" wrapText="1"/>
    </xf>
    <xf numFmtId="165" fontId="218" fillId="3" borderId="85" xfId="2320" applyNumberFormat="1" applyFont="1" applyFill="1" applyBorder="1" applyAlignment="1">
      <alignment horizontal="center" vertical="center"/>
    </xf>
    <xf numFmtId="0" fontId="1" fillId="3" borderId="0" xfId="2320" applyFont="1" applyFill="1" applyAlignment="1">
      <alignment wrapText="1"/>
    </xf>
    <xf numFmtId="0" fontId="1" fillId="3" borderId="0" xfId="2320" applyFont="1" applyFill="1" applyAlignment="1">
      <alignment vertical="center"/>
    </xf>
    <xf numFmtId="165" fontId="1" fillId="3" borderId="0" xfId="2321" applyNumberFormat="1" applyFont="1" applyFill="1"/>
    <xf numFmtId="0" fontId="24" fillId="3" borderId="0" xfId="2320" applyFont="1" applyFill="1" applyBorder="1"/>
    <xf numFmtId="165" fontId="50" fillId="3" borderId="0" xfId="2320" applyNumberFormat="1" applyFont="1" applyFill="1" applyAlignment="1">
      <alignment horizontal="left" vertical="center" wrapText="1"/>
    </xf>
    <xf numFmtId="0" fontId="50" fillId="3" borderId="0" xfId="2320" applyFont="1" applyFill="1" applyAlignment="1">
      <alignment vertical="center"/>
    </xf>
    <xf numFmtId="0" fontId="50" fillId="3" borderId="0" xfId="2320" applyFont="1" applyFill="1" applyAlignment="1">
      <alignment horizontal="left" wrapText="1"/>
    </xf>
    <xf numFmtId="246" fontId="50" fillId="3" borderId="0" xfId="2320" applyNumberFormat="1" applyFont="1" applyFill="1" applyAlignment="1">
      <alignment horizontal="left" wrapText="1"/>
    </xf>
    <xf numFmtId="165" fontId="219" fillId="3" borderId="0" xfId="2320" applyNumberFormat="1" applyFill="1" applyAlignment="1">
      <alignment horizontal="justify"/>
    </xf>
    <xf numFmtId="165" fontId="24" fillId="3" borderId="0" xfId="2320" applyNumberFormat="1" applyFont="1" applyFill="1" applyBorder="1" applyAlignment="1">
      <alignment horizontal="justify"/>
    </xf>
    <xf numFmtId="0" fontId="0" fillId="3" borderId="0" xfId="0" applyFill="1"/>
    <xf numFmtId="0" fontId="190" fillId="0" borderId="0" xfId="7" applyFont="1" applyFill="1" applyBorder="1" applyAlignment="1"/>
    <xf numFmtId="0" fontId="189" fillId="0" borderId="0" xfId="7" applyFont="1" applyFill="1" applyAlignment="1"/>
    <xf numFmtId="3" fontId="189" fillId="0" borderId="0" xfId="7" applyNumberFormat="1" applyFont="1" applyFill="1" applyAlignment="1"/>
    <xf numFmtId="165" fontId="46" fillId="0" borderId="0" xfId="15" applyNumberFormat="1" applyFont="1" applyFill="1" applyBorder="1" applyAlignment="1">
      <alignment horizontal="right"/>
    </xf>
    <xf numFmtId="0" fontId="190" fillId="0" borderId="0" xfId="7" applyFont="1" applyFill="1" applyAlignment="1"/>
    <xf numFmtId="165" fontId="46" fillId="0" borderId="0" xfId="15" applyNumberFormat="1" applyFont="1" applyFill="1" applyAlignment="1">
      <alignment horizontal="right"/>
    </xf>
    <xf numFmtId="165" fontId="35" fillId="0" borderId="3" xfId="9" applyNumberFormat="1" applyFont="1" applyFill="1" applyBorder="1" applyAlignment="1" applyProtection="1">
      <protection locked="0"/>
    </xf>
    <xf numFmtId="0" fontId="0" fillId="0" borderId="3" xfId="0" applyFill="1" applyBorder="1"/>
    <xf numFmtId="165" fontId="30" fillId="0" borderId="7" xfId="12" quotePrefix="1" applyNumberFormat="1" applyFont="1" applyFill="1" applyBorder="1" applyAlignment="1" applyProtection="1">
      <alignment horizontal="center" vertical="center" wrapText="1"/>
      <protection locked="0"/>
    </xf>
    <xf numFmtId="0" fontId="23" fillId="0" borderId="3" xfId="0" applyFont="1" applyFill="1" applyBorder="1"/>
    <xf numFmtId="165" fontId="25" fillId="0" borderId="7" xfId="15" applyNumberFormat="1" applyFont="1" applyFill="1" applyBorder="1" applyAlignment="1">
      <alignment horizontal="center" vertical="center" wrapText="1"/>
    </xf>
    <xf numFmtId="0" fontId="0" fillId="0" borderId="0" xfId="0" applyFill="1" applyBorder="1"/>
    <xf numFmtId="0" fontId="23" fillId="0" borderId="0" xfId="0" applyFont="1" applyFill="1" applyBorder="1"/>
    <xf numFmtId="0" fontId="30" fillId="0" borderId="7" xfId="9" quotePrefix="1" applyFont="1" applyFill="1" applyBorder="1" applyAlignment="1" applyProtection="1">
      <alignment horizontal="center" vertical="center"/>
      <protection locked="0"/>
    </xf>
    <xf numFmtId="0" fontId="220" fillId="0" borderId="0" xfId="0" applyFont="1" applyFill="1" applyBorder="1"/>
    <xf numFmtId="0" fontId="30" fillId="0" borderId="0" xfId="9" quotePrefix="1" applyFont="1" applyFill="1" applyBorder="1" applyAlignment="1" applyProtection="1">
      <alignment vertical="center"/>
      <protection locked="0"/>
    </xf>
    <xf numFmtId="0" fontId="25" fillId="0" borderId="7" xfId="9" quotePrefix="1" applyFont="1" applyFill="1" applyBorder="1" applyAlignment="1" applyProtection="1">
      <alignment horizontal="center" vertical="center"/>
      <protection locked="0"/>
    </xf>
    <xf numFmtId="0" fontId="2" fillId="0" borderId="6" xfId="0" applyFont="1" applyFill="1" applyBorder="1"/>
    <xf numFmtId="0" fontId="2" fillId="0" borderId="0"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190" fillId="0" borderId="0" xfId="7" applyFont="1" applyFill="1" applyBorder="1"/>
    <xf numFmtId="165" fontId="24" fillId="0" borderId="0" xfId="9" applyNumberFormat="1" applyFont="1" applyFill="1" applyBorder="1" applyAlignment="1">
      <alignment vertical="center"/>
    </xf>
    <xf numFmtId="0" fontId="11" fillId="0" borderId="0" xfId="7" applyFill="1"/>
    <xf numFmtId="165" fontId="29" fillId="0" borderId="0" xfId="27" applyNumberFormat="1" applyFont="1" applyFill="1" applyBorder="1" applyAlignment="1" applyProtection="1">
      <alignment horizontal="left" vertical="center" indent="3"/>
      <protection locked="0"/>
    </xf>
    <xf numFmtId="165" fontId="21" fillId="0" borderId="0" xfId="9" applyNumberFormat="1" applyFont="1" applyFill="1" applyBorder="1" applyAlignment="1">
      <alignment horizontal="right" vertical="center"/>
    </xf>
    <xf numFmtId="0" fontId="0" fillId="0" borderId="0" xfId="0" applyFill="1" applyAlignment="1">
      <alignment horizontal="right"/>
    </xf>
    <xf numFmtId="0" fontId="190" fillId="0" borderId="0" xfId="7" applyFont="1" applyFill="1"/>
    <xf numFmtId="165" fontId="30" fillId="0" borderId="0" xfId="0" applyNumberFormat="1" applyFont="1" applyFill="1" applyBorder="1" applyAlignment="1">
      <alignment vertical="center"/>
    </xf>
    <xf numFmtId="165" fontId="46" fillId="0" borderId="7" xfId="15" applyNumberFormat="1" applyFont="1" applyFill="1" applyBorder="1" applyAlignment="1">
      <alignment vertical="center"/>
    </xf>
    <xf numFmtId="165" fontId="24" fillId="0" borderId="7" xfId="9" applyNumberFormat="1" applyFont="1" applyFill="1" applyBorder="1" applyAlignment="1">
      <alignment vertical="center"/>
    </xf>
    <xf numFmtId="165" fontId="29" fillId="0" borderId="0" xfId="0" applyNumberFormat="1" applyFont="1" applyFill="1" applyBorder="1" applyAlignment="1">
      <alignment vertical="center"/>
    </xf>
    <xf numFmtId="0" fontId="32" fillId="0" borderId="0" xfId="0" applyFont="1" applyFill="1"/>
    <xf numFmtId="165" fontId="0" fillId="0" borderId="0" xfId="0" applyNumberFormat="1" applyFill="1" applyBorder="1"/>
    <xf numFmtId="0" fontId="32" fillId="0" borderId="0" xfId="0" applyFont="1" applyFill="1" applyBorder="1"/>
    <xf numFmtId="165" fontId="21" fillId="0" borderId="12" xfId="16" applyNumberFormat="1" applyFont="1" applyFill="1" applyBorder="1" applyAlignment="1">
      <alignment horizontal="right" vertical="center"/>
    </xf>
    <xf numFmtId="165" fontId="21" fillId="0" borderId="6" xfId="16" applyNumberFormat="1" applyFont="1" applyFill="1" applyBorder="1" applyAlignment="1">
      <alignment horizontal="right" vertical="center"/>
    </xf>
    <xf numFmtId="0" fontId="29" fillId="0" borderId="0" xfId="7" applyFont="1" applyFill="1" applyAlignment="1">
      <alignment horizontal="left" vertical="center" wrapText="1"/>
    </xf>
    <xf numFmtId="165" fontId="30" fillId="0" borderId="0" xfId="9" applyNumberFormat="1" applyFont="1" applyFill="1" applyAlignment="1" applyProtection="1">
      <alignment vertical="center"/>
      <protection locked="0"/>
    </xf>
    <xf numFmtId="0" fontId="4" fillId="0" borderId="0" xfId="7" applyFont="1" applyFill="1"/>
    <xf numFmtId="0" fontId="11" fillId="0" borderId="0" xfId="7" applyFill="1" applyBorder="1"/>
    <xf numFmtId="4" fontId="11" fillId="0" borderId="0" xfId="7" applyNumberFormat="1" applyFill="1"/>
    <xf numFmtId="0" fontId="163" fillId="0" borderId="0" xfId="7" applyFont="1" applyFill="1" applyAlignment="1">
      <alignment horizontal="left" vertical="center" wrapText="1"/>
    </xf>
    <xf numFmtId="165" fontId="4" fillId="0" borderId="0" xfId="15" applyNumberFormat="1" applyFont="1" applyFill="1" applyBorder="1" applyAlignment="1">
      <alignment vertical="center"/>
    </xf>
    <xf numFmtId="165" fontId="24" fillId="0" borderId="0" xfId="15" applyNumberFormat="1" applyFont="1" applyFill="1" applyBorder="1" applyAlignment="1"/>
    <xf numFmtId="0" fontId="11" fillId="0" borderId="3" xfId="7" applyFill="1" applyBorder="1"/>
    <xf numFmtId="165" fontId="25" fillId="0" borderId="3" xfId="15" applyNumberFormat="1" applyFont="1" applyFill="1" applyBorder="1" applyAlignment="1">
      <alignment horizontal="center" vertical="center"/>
    </xf>
    <xf numFmtId="0" fontId="4" fillId="0" borderId="6" xfId="7" applyFont="1" applyFill="1" applyBorder="1"/>
    <xf numFmtId="0" fontId="2" fillId="0" borderId="6" xfId="7" applyFont="1" applyFill="1" applyBorder="1" applyAlignment="1">
      <alignment horizontal="center" vertical="center" wrapText="1"/>
    </xf>
    <xf numFmtId="0" fontId="2" fillId="0" borderId="0" xfId="7" applyFont="1" applyFill="1" applyBorder="1" applyAlignment="1">
      <alignment horizontal="center" vertical="center" wrapText="1"/>
    </xf>
    <xf numFmtId="165" fontId="24" fillId="0" borderId="0" xfId="9" applyNumberFormat="1" applyFont="1" applyFill="1" applyBorder="1" applyAlignment="1">
      <alignment horizontal="right" vertical="center"/>
    </xf>
    <xf numFmtId="171" fontId="24" fillId="0" borderId="0" xfId="9" applyNumberFormat="1" applyFont="1" applyFill="1" applyBorder="1" applyAlignment="1">
      <alignment horizontal="right" vertical="center"/>
    </xf>
    <xf numFmtId="165" fontId="21" fillId="0" borderId="0" xfId="16" applyNumberFormat="1" applyFont="1" applyFill="1" applyBorder="1" applyAlignment="1">
      <alignment horizontal="left" vertical="center"/>
    </xf>
    <xf numFmtId="165" fontId="21" fillId="0" borderId="0" xfId="9" quotePrefix="1" applyNumberFormat="1" applyFont="1" applyFill="1" applyBorder="1" applyAlignment="1">
      <alignment horizontal="right" vertical="center"/>
    </xf>
    <xf numFmtId="165" fontId="29" fillId="0" borderId="0" xfId="12" applyNumberFormat="1" applyFont="1" applyFill="1" applyBorder="1" applyAlignment="1">
      <alignment horizontal="left" vertical="center"/>
    </xf>
    <xf numFmtId="165" fontId="30" fillId="0" borderId="0" xfId="0" applyNumberFormat="1" applyFont="1" applyFill="1" applyBorder="1" applyAlignment="1">
      <alignment horizontal="right" vertical="center"/>
    </xf>
    <xf numFmtId="165" fontId="24" fillId="0" borderId="7" xfId="9" applyNumberFormat="1" applyFont="1" applyFill="1" applyBorder="1" applyAlignment="1">
      <alignment horizontal="right" vertical="center"/>
    </xf>
    <xf numFmtId="4" fontId="30" fillId="0" borderId="0" xfId="0" applyNumberFormat="1" applyFont="1" applyFill="1" applyBorder="1" applyAlignment="1">
      <alignment horizontal="right" vertical="center"/>
    </xf>
    <xf numFmtId="165" fontId="21" fillId="0" borderId="0" xfId="15" applyNumberFormat="1" applyFont="1" applyFill="1" applyBorder="1" applyAlignment="1">
      <alignment horizontal="left" vertical="center"/>
    </xf>
    <xf numFmtId="0" fontId="32" fillId="0" borderId="0" xfId="7" applyFont="1" applyFill="1" applyBorder="1"/>
    <xf numFmtId="0" fontId="32" fillId="0" borderId="0" xfId="0" applyFont="1" applyFill="1" applyAlignment="1">
      <alignment horizontal="right"/>
    </xf>
    <xf numFmtId="0" fontId="32" fillId="0" borderId="0" xfId="0" applyFont="1" applyFill="1" applyBorder="1" applyAlignment="1">
      <alignment horizontal="right"/>
    </xf>
    <xf numFmtId="165" fontId="21" fillId="0" borderId="6" xfId="16" applyNumberFormat="1" applyFont="1" applyFill="1" applyBorder="1" applyAlignment="1">
      <alignment horizontal="left" vertical="center" indent="2"/>
    </xf>
    <xf numFmtId="165" fontId="29" fillId="0" borderId="0" xfId="7" applyNumberFormat="1" applyFont="1" applyFill="1" applyAlignment="1">
      <alignment vertical="center"/>
    </xf>
    <xf numFmtId="165" fontId="11" fillId="0" borderId="0" xfId="7" applyNumberFormat="1" applyFill="1" applyBorder="1"/>
    <xf numFmtId="0" fontId="21" fillId="0" borderId="9" xfId="16" quotePrefix="1" applyNumberFormat="1" applyFont="1" applyFill="1" applyBorder="1" applyAlignment="1">
      <alignment horizontal="center" vertical="center"/>
    </xf>
    <xf numFmtId="0" fontId="1" fillId="0" borderId="99" xfId="18" applyFont="1" applyFill="1" applyBorder="1" applyAlignment="1">
      <alignment horizontal="center" vertical="center" wrapText="1"/>
    </xf>
    <xf numFmtId="165" fontId="21" fillId="0" borderId="0" xfId="15" applyNumberFormat="1" applyFont="1" applyFill="1" applyBorder="1" applyAlignment="1">
      <alignment horizontal="right" vertical="center"/>
    </xf>
    <xf numFmtId="165" fontId="29" fillId="0" borderId="0" xfId="12" applyNumberFormat="1" applyFont="1" applyFill="1" applyBorder="1" applyAlignment="1">
      <alignment horizontal="left" vertical="center" indent="1"/>
    </xf>
    <xf numFmtId="165" fontId="21" fillId="0" borderId="0" xfId="15" quotePrefix="1" applyNumberFormat="1" applyFont="1" applyFill="1" applyBorder="1" applyAlignment="1">
      <alignment horizontal="right" vertical="center"/>
    </xf>
    <xf numFmtId="165" fontId="30" fillId="0" borderId="0" xfId="18" applyNumberFormat="1" applyFont="1" applyFill="1" applyBorder="1" applyAlignment="1">
      <alignment vertical="center"/>
    </xf>
    <xf numFmtId="165" fontId="30" fillId="0" borderId="0" xfId="18" applyNumberFormat="1" applyFont="1" applyFill="1" applyBorder="1" applyAlignment="1">
      <alignment horizontal="right" vertical="center"/>
    </xf>
    <xf numFmtId="165" fontId="46" fillId="0" borderId="7" xfId="15" applyNumberFormat="1" applyFont="1" applyFill="1" applyBorder="1" applyAlignment="1">
      <alignment horizontal="right" vertical="center"/>
    </xf>
    <xf numFmtId="165" fontId="29" fillId="0" borderId="0" xfId="18" applyNumberFormat="1" applyFont="1" applyFill="1" applyBorder="1" applyAlignment="1">
      <alignment vertical="center"/>
    </xf>
    <xf numFmtId="0" fontId="32" fillId="0" borderId="0" xfId="18" applyFont="1" applyFill="1" applyAlignment="1">
      <alignment horizontal="right"/>
    </xf>
    <xf numFmtId="165" fontId="30" fillId="0" borderId="0" xfId="9" applyNumberFormat="1" applyFont="1" applyFill="1" applyAlignment="1" applyProtection="1">
      <alignment vertical="center" wrapText="1"/>
      <protection locked="0"/>
    </xf>
    <xf numFmtId="165" fontId="21" fillId="0" borderId="0" xfId="12" applyNumberFormat="1" applyFont="1" applyFill="1" applyBorder="1" applyAlignment="1" applyProtection="1">
      <alignment vertical="center" wrapText="1"/>
      <protection locked="0"/>
    </xf>
    <xf numFmtId="165" fontId="29" fillId="0" borderId="0" xfId="9" applyNumberFormat="1" applyFont="1" applyFill="1" applyAlignment="1" applyProtection="1">
      <alignment vertical="center" wrapText="1"/>
      <protection locked="0"/>
    </xf>
    <xf numFmtId="165" fontId="35" fillId="0" borderId="0" xfId="10" applyNumberFormat="1" applyFont="1" applyFill="1" applyAlignment="1">
      <alignment vertical="center"/>
    </xf>
    <xf numFmtId="165" fontId="192" fillId="0" borderId="0" xfId="5" applyNumberFormat="1" applyFont="1" applyFill="1" applyAlignment="1">
      <alignment vertical="center"/>
    </xf>
    <xf numFmtId="165" fontId="192" fillId="0" borderId="0" xfId="6" applyNumberFormat="1" applyFont="1" applyFill="1" applyAlignment="1">
      <alignment vertical="center"/>
    </xf>
    <xf numFmtId="165" fontId="46" fillId="0" borderId="0" xfId="5" applyNumberFormat="1" applyFont="1" applyFill="1" applyAlignment="1">
      <alignment horizontal="right" vertical="center"/>
    </xf>
    <xf numFmtId="165" fontId="192" fillId="0" borderId="3" xfId="5" applyNumberFormat="1" applyFont="1" applyFill="1" applyBorder="1" applyAlignment="1">
      <alignment vertical="center"/>
    </xf>
    <xf numFmtId="165" fontId="224" fillId="0" borderId="6" xfId="5" applyNumberFormat="1" applyFont="1" applyFill="1" applyBorder="1" applyAlignment="1">
      <alignment vertical="center"/>
    </xf>
    <xf numFmtId="165" fontId="224" fillId="0" borderId="4" xfId="5" quotePrefix="1" applyNumberFormat="1" applyFont="1" applyFill="1" applyBorder="1" applyAlignment="1">
      <alignment horizontal="center" vertical="center"/>
    </xf>
    <xf numFmtId="165" fontId="224" fillId="0" borderId="4" xfId="6" applyNumberFormat="1" applyFont="1" applyFill="1" applyBorder="1" applyAlignment="1">
      <alignment horizontal="center" vertical="center"/>
    </xf>
    <xf numFmtId="165" fontId="224" fillId="0" borderId="5" xfId="6" applyNumberFormat="1" applyFont="1" applyFill="1" applyBorder="1" applyAlignment="1">
      <alignment horizontal="center" vertical="center"/>
    </xf>
    <xf numFmtId="165" fontId="224" fillId="0" borderId="3" xfId="5" applyNumberFormat="1" applyFont="1" applyFill="1" applyBorder="1" applyAlignment="1">
      <alignment vertical="center"/>
    </xf>
    <xf numFmtId="165" fontId="224" fillId="0" borderId="3" xfId="5" quotePrefix="1" applyNumberFormat="1" applyFont="1" applyFill="1" applyBorder="1" applyAlignment="1">
      <alignment horizontal="right" vertical="center"/>
    </xf>
    <xf numFmtId="165" fontId="224" fillId="0" borderId="3" xfId="6" applyNumberFormat="1" applyFont="1" applyFill="1" applyBorder="1" applyAlignment="1">
      <alignment horizontal="right" vertical="center"/>
    </xf>
    <xf numFmtId="165" fontId="59" fillId="0" borderId="0" xfId="7" applyNumberFormat="1" applyFont="1" applyFill="1" applyBorder="1"/>
    <xf numFmtId="165" fontId="224" fillId="0" borderId="0" xfId="5" applyNumberFormat="1" applyFont="1" applyFill="1" applyBorder="1" applyAlignment="1">
      <alignment vertical="center"/>
    </xf>
    <xf numFmtId="165" fontId="224" fillId="0" borderId="0" xfId="5" quotePrefix="1" applyNumberFormat="1" applyFont="1" applyFill="1" applyBorder="1" applyAlignment="1">
      <alignment horizontal="right" vertical="center"/>
    </xf>
    <xf numFmtId="165" fontId="224" fillId="0" borderId="0" xfId="6" applyNumberFormat="1" applyFont="1" applyFill="1" applyBorder="1" applyAlignment="1">
      <alignment horizontal="right" vertical="center"/>
    </xf>
    <xf numFmtId="165" fontId="224" fillId="0" borderId="0" xfId="5" applyNumberFormat="1" applyFont="1" applyFill="1" applyBorder="1" applyAlignment="1">
      <alignment horizontal="left" vertical="center"/>
    </xf>
    <xf numFmtId="165" fontId="224" fillId="0" borderId="0" xfId="5" applyNumberFormat="1" applyFont="1" applyFill="1" applyBorder="1" applyAlignment="1">
      <alignment horizontal="right" vertical="center"/>
    </xf>
    <xf numFmtId="165" fontId="224" fillId="0" borderId="0" xfId="11" applyNumberFormat="1" applyFont="1" applyFill="1" applyBorder="1" applyAlignment="1">
      <alignment horizontal="right" vertical="center"/>
    </xf>
    <xf numFmtId="165" fontId="21" fillId="0" borderId="0" xfId="5" applyNumberFormat="1" applyFont="1" applyFill="1" applyBorder="1" applyAlignment="1">
      <alignment horizontal="left" vertical="center"/>
    </xf>
    <xf numFmtId="0" fontId="36" fillId="0" borderId="0" xfId="8" applyFont="1" applyFill="1" applyBorder="1"/>
    <xf numFmtId="165" fontId="42" fillId="0" borderId="0" xfId="5" applyNumberFormat="1" applyFont="1" applyFill="1" applyBorder="1" applyAlignment="1">
      <alignment horizontal="left" vertical="center"/>
    </xf>
    <xf numFmtId="165" fontId="227" fillId="0" borderId="0" xfId="5" applyNumberFormat="1" applyFont="1" applyFill="1" applyBorder="1" applyAlignment="1">
      <alignment horizontal="right" vertical="center"/>
    </xf>
    <xf numFmtId="165" fontId="227" fillId="0" borderId="0" xfId="11" applyNumberFormat="1" applyFont="1" applyFill="1" applyBorder="1" applyAlignment="1">
      <alignment horizontal="right" vertical="center"/>
    </xf>
    <xf numFmtId="165" fontId="224" fillId="0" borderId="0" xfId="5" applyNumberFormat="1" applyFont="1" applyFill="1" applyBorder="1" applyAlignment="1">
      <alignment horizontal="left" vertical="center" indent="1"/>
    </xf>
    <xf numFmtId="165" fontId="46" fillId="0" borderId="7" xfId="5" applyNumberFormat="1" applyFont="1" applyFill="1" applyBorder="1" applyAlignment="1">
      <alignment vertical="center"/>
    </xf>
    <xf numFmtId="165" fontId="46" fillId="0" borderId="7" xfId="5" applyNumberFormat="1" applyFont="1" applyFill="1" applyBorder="1" applyAlignment="1">
      <alignment horizontal="right" vertical="center"/>
    </xf>
    <xf numFmtId="165" fontId="224" fillId="0" borderId="0" xfId="5" applyNumberFormat="1" applyFont="1" applyFill="1" applyBorder="1" applyAlignment="1">
      <alignment vertical="center" wrapText="1"/>
    </xf>
    <xf numFmtId="165" fontId="43" fillId="0" borderId="0" xfId="5" applyNumberFormat="1" applyFont="1" applyFill="1" applyBorder="1" applyAlignment="1">
      <alignment vertical="center"/>
    </xf>
    <xf numFmtId="165" fontId="46" fillId="0" borderId="0" xfId="5" applyNumberFormat="1" applyFont="1" applyFill="1" applyBorder="1" applyAlignment="1">
      <alignment horizontal="right" vertical="center"/>
    </xf>
    <xf numFmtId="165" fontId="21" fillId="0" borderId="0" xfId="5" applyNumberFormat="1" applyFont="1" applyFill="1" applyBorder="1" applyAlignment="1">
      <alignment vertical="center"/>
    </xf>
    <xf numFmtId="165" fontId="46" fillId="3" borderId="0" xfId="32" applyNumberFormat="1" applyFont="1" applyFill="1" applyAlignment="1">
      <alignment horizontal="right"/>
    </xf>
    <xf numFmtId="165" fontId="21" fillId="3" borderId="8" xfId="33" applyNumberFormat="1" applyFont="1" applyFill="1" applyBorder="1" applyAlignment="1">
      <alignment vertical="center"/>
    </xf>
    <xf numFmtId="0" fontId="25" fillId="3" borderId="9" xfId="12" applyNumberFormat="1" applyFont="1" applyFill="1" applyBorder="1" applyAlignment="1">
      <alignment horizontal="center" vertical="center" wrapText="1"/>
    </xf>
    <xf numFmtId="165" fontId="21" fillId="3" borderId="12" xfId="33" applyNumberFormat="1" applyFont="1" applyFill="1" applyBorder="1" applyAlignment="1">
      <alignment vertical="center"/>
    </xf>
    <xf numFmtId="0" fontId="21" fillId="3" borderId="9" xfId="12" quotePrefix="1" applyNumberFormat="1" applyFont="1" applyFill="1" applyBorder="1" applyAlignment="1">
      <alignment horizontal="center" vertical="center" wrapText="1"/>
    </xf>
    <xf numFmtId="165" fontId="46" fillId="3" borderId="0" xfId="16" applyNumberFormat="1" applyFont="1" applyFill="1" applyBorder="1" applyAlignment="1">
      <alignment vertical="center"/>
    </xf>
    <xf numFmtId="165" fontId="46" fillId="3" borderId="0" xfId="34" applyNumberFormat="1" applyFont="1" applyFill="1" applyAlignment="1">
      <alignment vertical="center"/>
    </xf>
    <xf numFmtId="165" fontId="29" fillId="3" borderId="0" xfId="18" applyNumberFormat="1" applyFont="1" applyFill="1" applyBorder="1" applyAlignment="1">
      <alignment horizontal="left" vertical="center" indent="1"/>
    </xf>
    <xf numFmtId="165" fontId="21" fillId="3" borderId="0" xfId="34" applyNumberFormat="1" applyFont="1" applyFill="1" applyAlignment="1">
      <alignment vertical="center"/>
    </xf>
    <xf numFmtId="165" fontId="21" fillId="3" borderId="0" xfId="16" applyNumberFormat="1" applyFont="1" applyFill="1" applyBorder="1" applyAlignment="1">
      <alignment horizontal="left" vertical="center" indent="2"/>
    </xf>
    <xf numFmtId="165" fontId="21" fillId="3" borderId="0" xfId="36" applyNumberFormat="1" applyFont="1" applyFill="1" applyBorder="1" applyAlignment="1">
      <alignment vertical="center"/>
    </xf>
    <xf numFmtId="165" fontId="46" fillId="3" borderId="0" xfId="35" applyNumberFormat="1" applyFont="1" applyFill="1" applyAlignment="1">
      <alignment vertical="center"/>
    </xf>
    <xf numFmtId="165" fontId="30" fillId="3" borderId="0" xfId="18" applyNumberFormat="1" applyFont="1" applyFill="1" applyBorder="1" applyAlignment="1">
      <alignment vertical="center"/>
    </xf>
    <xf numFmtId="165" fontId="22" fillId="3" borderId="0" xfId="16" applyNumberFormat="1" applyFont="1" applyFill="1" applyBorder="1" applyAlignment="1">
      <alignment vertical="center"/>
    </xf>
    <xf numFmtId="165" fontId="21" fillId="3" borderId="0" xfId="12" applyNumberFormat="1" applyFont="1" applyFill="1" applyAlignment="1">
      <alignment horizontal="left" vertical="center" indent="2"/>
    </xf>
    <xf numFmtId="165" fontId="21" fillId="3" borderId="0" xfId="36" applyNumberFormat="1" applyFont="1" applyFill="1" applyBorder="1" applyAlignment="1">
      <alignment horizontal="right" vertical="center"/>
    </xf>
    <xf numFmtId="165" fontId="46" fillId="3" borderId="0" xfId="35" applyNumberFormat="1" applyFont="1" applyFill="1" applyBorder="1" applyAlignment="1">
      <alignment vertical="center"/>
    </xf>
    <xf numFmtId="165" fontId="21" fillId="3" borderId="0" xfId="34" applyNumberFormat="1" applyFont="1" applyFill="1" applyAlignment="1">
      <alignment horizontal="right" vertical="center"/>
    </xf>
    <xf numFmtId="165" fontId="29" fillId="3" borderId="0" xfId="18" applyNumberFormat="1" applyFont="1" applyFill="1" applyBorder="1" applyAlignment="1">
      <alignment vertical="center"/>
    </xf>
    <xf numFmtId="165" fontId="46" fillId="3" borderId="0" xfId="34" applyNumberFormat="1" applyFont="1" applyFill="1" applyBorder="1" applyAlignment="1">
      <alignment vertical="center"/>
    </xf>
    <xf numFmtId="165" fontId="29" fillId="3" borderId="0" xfId="18" applyNumberFormat="1" applyFont="1" applyFill="1" applyAlignment="1">
      <alignment vertical="center"/>
    </xf>
    <xf numFmtId="165" fontId="46" fillId="3" borderId="11" xfId="16" applyNumberFormat="1" applyFont="1" applyFill="1" applyBorder="1" applyAlignment="1">
      <alignment vertical="center"/>
    </xf>
    <xf numFmtId="165" fontId="46" fillId="3" borderId="7" xfId="16" applyNumberFormat="1" applyFont="1" applyFill="1" applyBorder="1" applyAlignment="1">
      <alignment vertical="center"/>
    </xf>
    <xf numFmtId="165" fontId="59" fillId="3" borderId="0" xfId="18" applyNumberFormat="1" applyFont="1" applyFill="1"/>
    <xf numFmtId="165" fontId="240" fillId="3" borderId="106" xfId="1" applyNumberFormat="1" applyFont="1" applyFill="1" applyBorder="1" applyAlignment="1">
      <alignment vertical="center"/>
    </xf>
    <xf numFmtId="165" fontId="192" fillId="3" borderId="0" xfId="33" applyNumberFormat="1" applyFont="1" applyFill="1" applyAlignment="1">
      <alignment vertical="center"/>
    </xf>
    <xf numFmtId="0" fontId="25" fillId="3" borderId="94" xfId="12" applyNumberFormat="1" applyFont="1" applyFill="1" applyBorder="1" applyAlignment="1">
      <alignment horizontal="center" vertical="center" wrapText="1"/>
    </xf>
    <xf numFmtId="0" fontId="21" fillId="3" borderId="94" xfId="12" applyNumberFormat="1" applyFont="1" applyFill="1" applyBorder="1" applyAlignment="1">
      <alignment horizontal="center" vertical="center" wrapText="1"/>
    </xf>
    <xf numFmtId="165" fontId="21" fillId="3" borderId="9" xfId="18" applyNumberFormat="1" applyFont="1" applyFill="1" applyBorder="1" applyAlignment="1">
      <alignment horizontal="center" vertical="center" wrapText="1"/>
    </xf>
    <xf numFmtId="165" fontId="21" fillId="3" borderId="10" xfId="18" applyNumberFormat="1" applyFont="1" applyFill="1" applyBorder="1" applyAlignment="1">
      <alignment horizontal="center" vertical="center" wrapText="1"/>
    </xf>
    <xf numFmtId="165" fontId="22" fillId="3" borderId="0" xfId="34" applyNumberFormat="1" applyFont="1" applyFill="1" applyAlignment="1">
      <alignment vertical="center"/>
    </xf>
    <xf numFmtId="165" fontId="46" fillId="3" borderId="0" xfId="32" applyNumberFormat="1" applyFont="1" applyFill="1" applyAlignment="1">
      <alignment vertical="center"/>
    </xf>
    <xf numFmtId="165" fontId="21" fillId="3" borderId="0" xfId="35" applyNumberFormat="1" applyFont="1" applyFill="1" applyAlignment="1">
      <alignment horizontal="right" vertical="center"/>
    </xf>
    <xf numFmtId="165" fontId="21" fillId="3" borderId="0" xfId="35" applyNumberFormat="1" applyFont="1" applyFill="1" applyAlignment="1">
      <alignment vertical="center"/>
    </xf>
    <xf numFmtId="165" fontId="22" fillId="3" borderId="0" xfId="35" applyNumberFormat="1" applyFont="1" applyFill="1" applyAlignment="1">
      <alignment vertical="center"/>
    </xf>
    <xf numFmtId="165" fontId="46" fillId="3" borderId="0" xfId="32" applyNumberFormat="1" applyFont="1" applyFill="1" applyAlignment="1">
      <alignment horizontal="right" vertical="center"/>
    </xf>
    <xf numFmtId="165" fontId="22" fillId="3" borderId="0" xfId="35" applyNumberFormat="1" applyFont="1" applyFill="1" applyBorder="1" applyAlignment="1">
      <alignment vertical="center"/>
    </xf>
    <xf numFmtId="165" fontId="21" fillId="3" borderId="0" xfId="36" quotePrefix="1" applyNumberFormat="1" applyFont="1" applyFill="1" applyAlignment="1">
      <alignment horizontal="right" vertical="center"/>
    </xf>
    <xf numFmtId="165" fontId="22" fillId="3" borderId="0" xfId="34" applyNumberFormat="1" applyFont="1" applyFill="1" applyBorder="1" applyAlignment="1">
      <alignment vertical="center"/>
    </xf>
    <xf numFmtId="165" fontId="46" fillId="3" borderId="0" xfId="36" applyNumberFormat="1" applyFont="1" applyFill="1" applyBorder="1" applyAlignment="1">
      <alignment vertical="center"/>
    </xf>
    <xf numFmtId="165" fontId="22" fillId="3" borderId="22" xfId="16" applyNumberFormat="1" applyFont="1" applyFill="1" applyBorder="1" applyAlignment="1">
      <alignment vertical="center"/>
    </xf>
    <xf numFmtId="0" fontId="241" fillId="0" borderId="0" xfId="2308" applyFont="1"/>
    <xf numFmtId="165" fontId="9" fillId="3" borderId="0" xfId="5" applyNumberFormat="1" applyFont="1" applyFill="1" applyAlignment="1">
      <alignment horizontal="left" wrapText="1"/>
    </xf>
    <xf numFmtId="167" fontId="16" fillId="0" borderId="0" xfId="7" applyNumberFormat="1" applyFont="1" applyFill="1" applyAlignment="1">
      <alignment horizontal="center" vertical="center"/>
    </xf>
    <xf numFmtId="167" fontId="16" fillId="0" borderId="0" xfId="7" applyNumberFormat="1" applyFont="1" applyFill="1" applyAlignment="1">
      <alignment horizontal="center" vertical="center" wrapText="1"/>
    </xf>
    <xf numFmtId="165" fontId="224" fillId="0" borderId="0" xfId="5" applyNumberFormat="1" applyFont="1" applyFill="1" applyBorder="1" applyAlignment="1">
      <alignment horizontal="left" vertical="center" wrapText="1"/>
    </xf>
    <xf numFmtId="165" fontId="20" fillId="3" borderId="0" xfId="5" applyNumberFormat="1" applyFont="1" applyFill="1" applyBorder="1" applyAlignment="1">
      <alignment horizontal="center" vertical="center"/>
    </xf>
    <xf numFmtId="165" fontId="46" fillId="0" borderId="4" xfId="5" applyNumberFormat="1" applyFont="1" applyFill="1" applyBorder="1" applyAlignment="1">
      <alignment horizontal="center" vertical="center"/>
    </xf>
    <xf numFmtId="165" fontId="46" fillId="0" borderId="4" xfId="6" applyNumberFormat="1" applyFont="1" applyFill="1" applyBorder="1" applyAlignment="1">
      <alignment horizontal="center" vertical="center" wrapText="1"/>
    </xf>
    <xf numFmtId="165" fontId="46" fillId="0" borderId="5" xfId="6" applyNumberFormat="1" applyFont="1" applyFill="1" applyBorder="1" applyAlignment="1">
      <alignment horizontal="center" vertical="center" wrapText="1"/>
    </xf>
    <xf numFmtId="0" fontId="29" fillId="0" borderId="0" xfId="7" applyFont="1" applyFill="1" applyAlignment="1">
      <alignment horizontal="left" vertical="center" wrapText="1"/>
    </xf>
    <xf numFmtId="0" fontId="163" fillId="0" borderId="0" xfId="7" applyFont="1" applyFill="1" applyAlignment="1">
      <alignment horizontal="left" vertical="center" wrapText="1"/>
    </xf>
    <xf numFmtId="165" fontId="25" fillId="0" borderId="7" xfId="15" applyNumberFormat="1" applyFont="1" applyFill="1" applyBorder="1" applyAlignment="1">
      <alignment horizontal="center" vertical="center"/>
    </xf>
    <xf numFmtId="168" fontId="23" fillId="3" borderId="0" xfId="7" applyNumberFormat="1" applyFont="1" applyFill="1" applyAlignment="1">
      <alignment horizontal="center" vertical="center"/>
    </xf>
    <xf numFmtId="0" fontId="30" fillId="0" borderId="7" xfId="9" quotePrefix="1" applyFont="1" applyFill="1" applyBorder="1" applyAlignment="1" applyProtection="1">
      <alignment horizontal="center" vertical="center"/>
      <protection locked="0"/>
    </xf>
    <xf numFmtId="168" fontId="23" fillId="3" borderId="0" xfId="18" applyNumberFormat="1" applyFont="1" applyFill="1" applyAlignment="1">
      <alignment horizontal="center" vertical="center"/>
    </xf>
    <xf numFmtId="0" fontId="29" fillId="0" borderId="3" xfId="18" applyFont="1" applyFill="1" applyBorder="1" applyAlignment="1">
      <alignment horizontal="center" vertical="center"/>
    </xf>
    <xf numFmtId="0" fontId="29" fillId="0" borderId="0" xfId="18" applyFont="1" applyFill="1" applyBorder="1" applyAlignment="1">
      <alignment horizontal="center" vertical="center"/>
    </xf>
    <xf numFmtId="0" fontId="29" fillId="0" borderId="35" xfId="18" applyFont="1" applyFill="1" applyBorder="1" applyAlignment="1">
      <alignment horizontal="center" vertical="center"/>
    </xf>
    <xf numFmtId="165" fontId="25" fillId="0" borderId="74" xfId="15" applyNumberFormat="1" applyFont="1" applyFill="1" applyBorder="1" applyAlignment="1">
      <alignment horizontal="center" vertical="center" wrapText="1"/>
    </xf>
    <xf numFmtId="165" fontId="25" fillId="0" borderId="38" xfId="15" applyNumberFormat="1" applyFont="1" applyFill="1" applyBorder="1" applyAlignment="1">
      <alignment horizontal="center" vertical="center" wrapText="1"/>
    </xf>
    <xf numFmtId="165" fontId="25" fillId="0" borderId="75" xfId="15" applyNumberFormat="1" applyFont="1" applyFill="1" applyBorder="1" applyAlignment="1">
      <alignment horizontal="center" vertical="center" wrapText="1"/>
    </xf>
    <xf numFmtId="165" fontId="25" fillId="0" borderId="35" xfId="15" applyNumberFormat="1" applyFont="1" applyFill="1" applyBorder="1" applyAlignment="1">
      <alignment horizontal="center" vertical="center" wrapText="1"/>
    </xf>
    <xf numFmtId="165" fontId="25" fillId="0" borderId="37" xfId="15" applyNumberFormat="1" applyFont="1" applyFill="1" applyBorder="1" applyAlignment="1">
      <alignment horizontal="center" vertical="center" wrapText="1"/>
    </xf>
    <xf numFmtId="165" fontId="25" fillId="0" borderId="36" xfId="15" applyNumberFormat="1" applyFont="1" applyFill="1" applyBorder="1" applyAlignment="1">
      <alignment horizontal="center" vertical="center" wrapText="1"/>
    </xf>
    <xf numFmtId="165" fontId="25" fillId="0" borderId="34" xfId="15" applyNumberFormat="1" applyFont="1" applyFill="1" applyBorder="1" applyAlignment="1">
      <alignment horizontal="center" vertical="center" wrapText="1"/>
    </xf>
    <xf numFmtId="165" fontId="25" fillId="0" borderId="89" xfId="15" applyNumberFormat="1" applyFont="1" applyFill="1" applyBorder="1" applyAlignment="1">
      <alignment horizontal="center" vertical="center" wrapText="1"/>
    </xf>
    <xf numFmtId="165" fontId="25" fillId="0" borderId="7" xfId="15" applyNumberFormat="1" applyFont="1" applyFill="1" applyBorder="1" applyAlignment="1">
      <alignment horizontal="center" vertical="center" wrapText="1"/>
    </xf>
    <xf numFmtId="165" fontId="25" fillId="0" borderId="90" xfId="15" applyNumberFormat="1" applyFont="1" applyFill="1" applyBorder="1" applyAlignment="1">
      <alignment horizontal="center" vertical="center" wrapText="1"/>
    </xf>
    <xf numFmtId="165" fontId="29" fillId="0" borderId="3" xfId="40" applyNumberFormat="1" applyFont="1" applyFill="1" applyBorder="1" applyAlignment="1">
      <alignment horizontal="center" vertical="center"/>
    </xf>
    <xf numFmtId="165" fontId="29" fillId="0" borderId="0" xfId="40" applyNumberFormat="1" applyFont="1" applyFill="1" applyBorder="1" applyAlignment="1">
      <alignment horizontal="center" vertical="center"/>
    </xf>
    <xf numFmtId="165" fontId="29" fillId="0" borderId="6" xfId="40" applyNumberFormat="1" applyFont="1" applyFill="1" applyBorder="1" applyAlignment="1">
      <alignment horizontal="center" vertical="center"/>
    </xf>
    <xf numFmtId="165" fontId="30" fillId="0" borderId="32" xfId="12" quotePrefix="1" applyNumberFormat="1" applyFont="1" applyFill="1" applyBorder="1" applyAlignment="1">
      <alignment horizontal="center" vertical="center" wrapText="1"/>
    </xf>
    <xf numFmtId="165" fontId="30" fillId="0" borderId="6" xfId="12" quotePrefix="1" applyNumberFormat="1" applyFont="1" applyFill="1" applyBorder="1" applyAlignment="1">
      <alignment horizontal="center" vertical="center" wrapText="1"/>
    </xf>
    <xf numFmtId="165" fontId="30" fillId="0" borderId="33" xfId="12" applyNumberFormat="1" applyFont="1" applyFill="1" applyBorder="1" applyAlignment="1">
      <alignment horizontal="center" vertical="center" wrapText="1"/>
    </xf>
    <xf numFmtId="165" fontId="30" fillId="0" borderId="0" xfId="12" applyNumberFormat="1" applyFont="1" applyFill="1" applyBorder="1" applyAlignment="1">
      <alignment horizontal="center" vertical="center" wrapText="1"/>
    </xf>
    <xf numFmtId="165" fontId="30" fillId="0" borderId="6" xfId="12" applyNumberFormat="1" applyFont="1" applyFill="1" applyBorder="1" applyAlignment="1">
      <alignment horizontal="center" vertical="center" wrapText="1"/>
    </xf>
    <xf numFmtId="165" fontId="31" fillId="4" borderId="0" xfId="5" applyNumberFormat="1" applyFont="1" applyFill="1" applyAlignment="1">
      <alignment horizontal="center" vertical="center" wrapText="1"/>
    </xf>
    <xf numFmtId="165" fontId="30" fillId="0" borderId="3" xfId="12" quotePrefix="1" applyNumberFormat="1" applyFont="1" applyFill="1" applyBorder="1" applyAlignment="1">
      <alignment horizontal="center" vertical="center" wrapText="1"/>
    </xf>
    <xf numFmtId="0" fontId="60" fillId="0" borderId="0" xfId="2320" applyFont="1" applyAlignment="1">
      <alignment horizontal="left" vertical="center" wrapText="1"/>
    </xf>
    <xf numFmtId="0" fontId="195" fillId="0" borderId="0" xfId="41" applyFont="1" applyFill="1" applyBorder="1" applyAlignment="1">
      <alignment horizontal="left" wrapText="1"/>
    </xf>
    <xf numFmtId="165" fontId="12" fillId="0" borderId="2" xfId="1" applyNumberFormat="1" applyFont="1" applyFill="1" applyBorder="1" applyAlignment="1">
      <alignment horizontal="left" vertical="top" wrapText="1"/>
    </xf>
    <xf numFmtId="0" fontId="50" fillId="3" borderId="0" xfId="2320" applyFont="1" applyFill="1" applyAlignment="1">
      <alignment horizontal="justify" vertical="center" wrapText="1"/>
    </xf>
    <xf numFmtId="0" fontId="50" fillId="3" borderId="0" xfId="2320" applyFont="1" applyFill="1" applyAlignment="1">
      <alignment horizontal="justify" vertical="top" wrapText="1"/>
    </xf>
    <xf numFmtId="165" fontId="21" fillId="3" borderId="0" xfId="12" applyNumberFormat="1" applyFont="1" applyFill="1" applyAlignment="1">
      <alignment horizontal="left" vertical="center" wrapText="1"/>
    </xf>
    <xf numFmtId="0" fontId="50" fillId="3" borderId="0" xfId="2320" applyFont="1" applyFill="1" applyAlignment="1">
      <alignment horizontal="left" vertical="center" wrapText="1"/>
    </xf>
    <xf numFmtId="0" fontId="221" fillId="0" borderId="0" xfId="2320" applyFont="1" applyFill="1" applyAlignment="1">
      <alignment horizontal="left" wrapText="1"/>
    </xf>
    <xf numFmtId="0" fontId="50" fillId="3" borderId="0" xfId="2320" applyFont="1" applyFill="1" applyAlignment="1">
      <alignment horizontal="left" vertical="center"/>
    </xf>
    <xf numFmtId="1" fontId="30" fillId="0" borderId="9" xfId="7" quotePrefix="1" applyNumberFormat="1" applyFont="1" applyFill="1" applyBorder="1" applyAlignment="1" applyProtection="1">
      <alignment horizontal="center" vertical="center" wrapText="1"/>
      <protection locked="0"/>
    </xf>
    <xf numFmtId="1" fontId="30" fillId="0" borderId="10" xfId="7" quotePrefix="1" applyNumberFormat="1" applyFont="1" applyFill="1" applyBorder="1" applyAlignment="1" applyProtection="1">
      <alignment horizontal="center" vertical="center" wrapText="1"/>
      <protection locked="0"/>
    </xf>
    <xf numFmtId="1" fontId="30" fillId="0" borderId="11" xfId="7" quotePrefix="1" applyNumberFormat="1" applyFont="1" applyFill="1" applyBorder="1" applyAlignment="1" applyProtection="1">
      <alignment horizontal="center" vertical="center" wrapText="1"/>
      <protection locked="0"/>
    </xf>
    <xf numFmtId="165" fontId="21" fillId="0" borderId="0" xfId="12" applyNumberFormat="1" applyFont="1" applyFill="1" applyAlignment="1">
      <alignment horizontal="left" vertical="center"/>
    </xf>
    <xf numFmtId="165" fontId="29" fillId="0" borderId="0" xfId="12" applyNumberFormat="1" applyFont="1" applyFill="1" applyAlignment="1" applyProtection="1">
      <alignment horizontal="left" vertical="center" wrapText="1"/>
      <protection locked="0"/>
    </xf>
    <xf numFmtId="1" fontId="30" fillId="0" borderId="9" xfId="18" quotePrefix="1" applyNumberFormat="1" applyFont="1" applyFill="1" applyBorder="1" applyAlignment="1" applyProtection="1">
      <alignment horizontal="center" vertical="center" wrapText="1"/>
      <protection locked="0"/>
    </xf>
    <xf numFmtId="1" fontId="30" fillId="0" borderId="10" xfId="18" quotePrefix="1" applyNumberFormat="1" applyFont="1" applyFill="1" applyBorder="1" applyAlignment="1" applyProtection="1">
      <alignment horizontal="center" vertical="center" wrapText="1"/>
      <protection locked="0"/>
    </xf>
    <xf numFmtId="1" fontId="30" fillId="0" borderId="11" xfId="18" quotePrefix="1" applyNumberFormat="1" applyFont="1" applyFill="1" applyBorder="1" applyAlignment="1" applyProtection="1">
      <alignment horizontal="center" vertical="center" wrapText="1"/>
      <protection locked="0"/>
    </xf>
    <xf numFmtId="165" fontId="21" fillId="0" borderId="0" xfId="14" applyNumberFormat="1" applyFont="1" applyFill="1" applyAlignment="1">
      <alignment vertical="center" wrapText="1"/>
    </xf>
    <xf numFmtId="1" fontId="30" fillId="0" borderId="9" xfId="18" quotePrefix="1" applyNumberFormat="1" applyFont="1" applyFill="1" applyBorder="1" applyAlignment="1">
      <alignment horizontal="center" vertical="center" wrapText="1"/>
    </xf>
    <xf numFmtId="165" fontId="21" fillId="0" borderId="0" xfId="12" applyNumberFormat="1" applyFont="1" applyFill="1" applyAlignment="1">
      <alignment horizontal="left" vertical="center" wrapText="1"/>
    </xf>
    <xf numFmtId="1" fontId="30" fillId="0" borderId="15" xfId="18" quotePrefix="1" applyNumberFormat="1" applyFont="1" applyFill="1" applyBorder="1" applyAlignment="1">
      <alignment horizontal="center" vertical="center" wrapText="1"/>
    </xf>
    <xf numFmtId="1" fontId="30" fillId="0" borderId="16" xfId="18" quotePrefix="1" applyNumberFormat="1" applyFont="1" applyFill="1" applyBorder="1" applyAlignment="1">
      <alignment horizontal="center" vertical="center" wrapText="1"/>
    </xf>
    <xf numFmtId="0" fontId="21" fillId="0" borderId="0" xfId="16" applyFont="1" applyFill="1" applyBorder="1" applyAlignment="1">
      <alignment horizontal="left" vertical="top" wrapText="1"/>
    </xf>
    <xf numFmtId="0" fontId="21" fillId="0" borderId="0" xfId="16" applyFont="1" applyFill="1" applyAlignment="1">
      <alignment horizontal="left" vertical="top" wrapText="1"/>
    </xf>
    <xf numFmtId="165" fontId="39" fillId="0" borderId="2" xfId="1" applyNumberFormat="1" applyFont="1" applyFill="1" applyBorder="1" applyAlignment="1">
      <alignment horizontal="left" vertical="center" wrapText="1"/>
    </xf>
    <xf numFmtId="1" fontId="25" fillId="0" borderId="9" xfId="18" quotePrefix="1" applyNumberFormat="1" applyFont="1" applyFill="1" applyBorder="1" applyAlignment="1">
      <alignment horizontal="center" vertical="center" wrapText="1"/>
    </xf>
    <xf numFmtId="165" fontId="21" fillId="0" borderId="0" xfId="16" applyNumberFormat="1" applyFont="1" applyFill="1" applyBorder="1" applyAlignment="1">
      <alignment horizontal="center" vertical="center"/>
    </xf>
    <xf numFmtId="165" fontId="51" fillId="0" borderId="0" xfId="12" applyNumberFormat="1" applyFont="1" applyFill="1" applyAlignment="1">
      <alignment horizontal="left" vertical="center" wrapText="1"/>
    </xf>
    <xf numFmtId="0" fontId="25" fillId="0" borderId="0" xfId="19" applyFont="1" applyFill="1" applyAlignment="1">
      <alignment horizontal="left" wrapText="1"/>
    </xf>
    <xf numFmtId="165" fontId="44" fillId="0" borderId="0" xfId="12" applyNumberFormat="1" applyFont="1" applyFill="1" applyAlignment="1">
      <alignment horizontal="left" vertical="center" wrapText="1"/>
    </xf>
    <xf numFmtId="2" fontId="40" fillId="0" borderId="0" xfId="19" applyNumberFormat="1" applyFont="1" applyFill="1" applyAlignment="1">
      <alignment horizontal="left" vertical="center" wrapText="1"/>
    </xf>
    <xf numFmtId="2" fontId="40" fillId="0" borderId="0" xfId="19" applyNumberFormat="1" applyFont="1" applyFill="1" applyAlignment="1">
      <alignment horizontal="left" vertical="top" wrapText="1"/>
    </xf>
    <xf numFmtId="2" fontId="25" fillId="0" borderId="9" xfId="12" applyNumberFormat="1" applyFont="1" applyFill="1" applyBorder="1" applyAlignment="1">
      <alignment horizontal="center" vertical="center" wrapText="1"/>
    </xf>
    <xf numFmtId="2" fontId="40" fillId="0" borderId="0" xfId="19" applyNumberFormat="1" applyFont="1" applyFill="1" applyAlignment="1">
      <alignment horizontal="justify" vertical="justify" wrapText="1"/>
    </xf>
    <xf numFmtId="0" fontId="51" fillId="0" borderId="0" xfId="20" applyFont="1" applyFill="1" applyAlignment="1">
      <alignment horizontal="left" wrapText="1"/>
    </xf>
    <xf numFmtId="0" fontId="44" fillId="0" borderId="0" xfId="20" quotePrefix="1" applyFont="1" applyFill="1" applyAlignment="1">
      <alignment horizontal="left" vertical="top" wrapText="1"/>
    </xf>
    <xf numFmtId="0" fontId="44" fillId="0" borderId="0" xfId="20" applyFont="1" applyFill="1" applyAlignment="1">
      <alignment horizontal="left" vertical="top" wrapText="1"/>
    </xf>
    <xf numFmtId="165" fontId="29" fillId="3" borderId="0" xfId="9" applyNumberFormat="1" applyFont="1" applyFill="1" applyAlignment="1" applyProtection="1">
      <alignment vertical="center" wrapText="1"/>
      <protection locked="0"/>
    </xf>
    <xf numFmtId="1" fontId="30" fillId="3" borderId="9" xfId="18" quotePrefix="1" applyNumberFormat="1" applyFont="1" applyFill="1" applyBorder="1" applyAlignment="1" applyProtection="1">
      <alignment horizontal="center" vertical="center" wrapText="1"/>
      <protection locked="0"/>
    </xf>
    <xf numFmtId="1" fontId="30" fillId="3" borderId="10" xfId="18" quotePrefix="1" applyNumberFormat="1" applyFont="1" applyFill="1" applyBorder="1" applyAlignment="1" applyProtection="1">
      <alignment horizontal="center" vertical="center" wrapText="1"/>
      <protection locked="0"/>
    </xf>
    <xf numFmtId="1" fontId="30" fillId="3" borderId="11" xfId="18" quotePrefix="1" applyNumberFormat="1" applyFont="1" applyFill="1" applyBorder="1" applyAlignment="1" applyProtection="1">
      <alignment horizontal="center" vertical="center" wrapText="1"/>
      <protection locked="0"/>
    </xf>
    <xf numFmtId="165" fontId="29" fillId="3" borderId="0" xfId="9" applyNumberFormat="1" applyFont="1" applyFill="1" applyAlignment="1" applyProtection="1">
      <alignment horizontal="left" vertical="center" wrapText="1"/>
      <protection locked="0"/>
    </xf>
    <xf numFmtId="165" fontId="21" fillId="3" borderId="0" xfId="12" applyNumberFormat="1" applyFont="1" applyFill="1" applyAlignment="1">
      <alignment horizontal="left" vertical="center"/>
    </xf>
    <xf numFmtId="1" fontId="30" fillId="0" borderId="0" xfId="18" quotePrefix="1" applyNumberFormat="1" applyFont="1" applyFill="1" applyBorder="1" applyAlignment="1">
      <alignment horizontal="center" vertical="center" wrapText="1"/>
    </xf>
    <xf numFmtId="1" fontId="30" fillId="0" borderId="88" xfId="27" applyNumberFormat="1" applyFont="1" applyFill="1" applyBorder="1" applyAlignment="1">
      <alignment horizontal="center" vertical="center"/>
    </xf>
    <xf numFmtId="1" fontId="30" fillId="0" borderId="3" xfId="27" applyNumberFormat="1" applyFont="1" applyFill="1" applyBorder="1" applyAlignment="1">
      <alignment horizontal="center" vertical="center"/>
    </xf>
    <xf numFmtId="165" fontId="30" fillId="0" borderId="5" xfId="27" applyNumberFormat="1" applyFont="1" applyFill="1" applyBorder="1" applyAlignment="1">
      <alignment horizontal="center" vertical="center"/>
    </xf>
    <xf numFmtId="165" fontId="30" fillId="0" borderId="7" xfId="27" applyNumberFormat="1" applyFont="1" applyFill="1" applyBorder="1" applyAlignment="1">
      <alignment horizontal="center" vertical="center"/>
    </xf>
    <xf numFmtId="165" fontId="30" fillId="0" borderId="19" xfId="27" applyNumberFormat="1" applyFont="1" applyFill="1" applyBorder="1" applyAlignment="1">
      <alignment horizontal="center" vertical="center"/>
    </xf>
    <xf numFmtId="1" fontId="30" fillId="0" borderId="91" xfId="27" applyNumberFormat="1" applyFont="1" applyFill="1" applyBorder="1" applyAlignment="1">
      <alignment horizontal="center" vertical="center"/>
    </xf>
    <xf numFmtId="0" fontId="29" fillId="0" borderId="0" xfId="18" applyFont="1" applyFill="1" applyAlignment="1">
      <alignment horizontal="left" vertical="top" wrapText="1"/>
    </xf>
    <xf numFmtId="0" fontId="40" fillId="0" borderId="0" xfId="19" applyFont="1" applyFill="1" applyAlignment="1">
      <alignment horizontal="left" vertical="center" wrapText="1"/>
    </xf>
    <xf numFmtId="0" fontId="48" fillId="0" borderId="0" xfId="19" applyFont="1" applyFill="1" applyAlignment="1">
      <alignment horizontal="left" wrapText="1"/>
    </xf>
    <xf numFmtId="0" fontId="40" fillId="0" borderId="0" xfId="19" quotePrefix="1" applyFont="1" applyFill="1" applyAlignment="1">
      <alignment horizontal="left" vertical="top" wrapText="1"/>
    </xf>
    <xf numFmtId="0" fontId="40" fillId="0" borderId="0" xfId="19" applyFont="1" applyFill="1" applyAlignment="1">
      <alignment horizontal="left" vertical="top" wrapText="1"/>
    </xf>
    <xf numFmtId="0" fontId="40" fillId="0" borderId="0" xfId="19" applyFont="1" applyFill="1" applyAlignment="1">
      <alignment horizontal="left" vertical="justify" wrapText="1"/>
    </xf>
    <xf numFmtId="0" fontId="11" fillId="0" borderId="0" xfId="18" applyFill="1" applyAlignment="1">
      <alignment horizontal="left" vertical="justify" wrapText="1"/>
    </xf>
    <xf numFmtId="0" fontId="40" fillId="0" borderId="0" xfId="19" applyFont="1" applyFill="1" applyBorder="1" applyAlignment="1">
      <alignment horizontal="left" vertical="center" wrapText="1" indent="1"/>
    </xf>
    <xf numFmtId="0" fontId="50" fillId="0" borderId="0" xfId="18" applyFont="1" applyFill="1" applyAlignment="1">
      <alignment wrapText="1"/>
    </xf>
    <xf numFmtId="0" fontId="11" fillId="0" borderId="0" xfId="18" applyFill="1" applyAlignment="1">
      <alignment wrapText="1"/>
    </xf>
    <xf numFmtId="0" fontId="4" fillId="0" borderId="0" xfId="19" applyFont="1" applyFill="1" applyAlignment="1">
      <alignment horizontal="left" vertical="top" wrapText="1"/>
    </xf>
    <xf numFmtId="0" fontId="71" fillId="0" borderId="0" xfId="19" applyFont="1" applyFill="1" applyAlignment="1">
      <alignment horizontal="left" vertical="top" wrapText="1"/>
    </xf>
    <xf numFmtId="165" fontId="25" fillId="0" borderId="8" xfId="7" applyNumberFormat="1" applyFont="1" applyFill="1" applyBorder="1" applyAlignment="1">
      <alignment horizontal="center" vertical="center"/>
    </xf>
    <xf numFmtId="165" fontId="25" fillId="0" borderId="12" xfId="7" applyNumberFormat="1" applyFont="1" applyFill="1" applyBorder="1" applyAlignment="1">
      <alignment horizontal="center" vertical="center"/>
    </xf>
    <xf numFmtId="1" fontId="25" fillId="0" borderId="9" xfId="7" quotePrefix="1" applyNumberFormat="1" applyFont="1" applyFill="1" applyBorder="1" applyAlignment="1">
      <alignment horizontal="center" vertical="center"/>
    </xf>
    <xf numFmtId="165" fontId="25" fillId="0" borderId="9" xfId="18" applyNumberFormat="1" applyFont="1" applyFill="1" applyBorder="1" applyAlignment="1">
      <alignment horizontal="center" vertical="center" wrapText="1"/>
    </xf>
    <xf numFmtId="165" fontId="25" fillId="0" borderId="10" xfId="18" applyNumberFormat="1" applyFont="1" applyFill="1" applyBorder="1" applyAlignment="1">
      <alignment horizontal="center" vertical="center" wrapText="1"/>
    </xf>
    <xf numFmtId="0" fontId="26" fillId="0" borderId="0" xfId="19" applyFont="1" applyFill="1" applyAlignment="1">
      <alignment horizontal="left" vertical="top" wrapText="1"/>
    </xf>
    <xf numFmtId="165" fontId="25" fillId="3" borderId="23" xfId="12" applyNumberFormat="1" applyFont="1" applyFill="1" applyBorder="1" applyAlignment="1">
      <alignment horizontal="center" vertical="center" wrapText="1"/>
    </xf>
    <xf numFmtId="165" fontId="25" fillId="3" borderId="18" xfId="12" applyNumberFormat="1" applyFont="1" applyFill="1" applyBorder="1" applyAlignment="1">
      <alignment horizontal="center" vertical="center" wrapText="1"/>
    </xf>
    <xf numFmtId="165" fontId="25" fillId="3" borderId="20" xfId="12" applyNumberFormat="1" applyFont="1" applyFill="1" applyBorder="1" applyAlignment="1">
      <alignment horizontal="center" vertical="center" wrapText="1"/>
    </xf>
    <xf numFmtId="165" fontId="25" fillId="3" borderId="9" xfId="16" applyNumberFormat="1" applyFont="1" applyFill="1" applyBorder="1" applyAlignment="1">
      <alignment horizontal="center" vertical="center"/>
    </xf>
    <xf numFmtId="165" fontId="25" fillId="3" borderId="9" xfId="12" quotePrefix="1" applyNumberFormat="1" applyFont="1" applyFill="1" applyBorder="1" applyAlignment="1">
      <alignment horizontal="center" vertical="center" wrapText="1"/>
    </xf>
    <xf numFmtId="165" fontId="25" fillId="3" borderId="10" xfId="12" quotePrefix="1" applyNumberFormat="1" applyFont="1" applyFill="1" applyBorder="1" applyAlignment="1">
      <alignment horizontal="center" vertical="center" wrapText="1"/>
    </xf>
    <xf numFmtId="165" fontId="30" fillId="0" borderId="13" xfId="10" quotePrefix="1" applyNumberFormat="1" applyFont="1" applyFill="1" applyBorder="1" applyAlignment="1">
      <alignment horizontal="center" vertical="center" wrapText="1"/>
    </xf>
    <xf numFmtId="165" fontId="30" fillId="0" borderId="14" xfId="10" quotePrefix="1" applyNumberFormat="1" applyFont="1" applyFill="1" applyBorder="1" applyAlignment="1">
      <alignment horizontal="center" vertical="center" wrapText="1"/>
    </xf>
    <xf numFmtId="165" fontId="29" fillId="0" borderId="8" xfId="10" quotePrefix="1" applyNumberFormat="1" applyFont="1" applyFill="1" applyBorder="1" applyAlignment="1">
      <alignment horizontal="center" vertical="center"/>
    </xf>
    <xf numFmtId="165" fontId="29" fillId="0" borderId="26" xfId="10" quotePrefix="1" applyNumberFormat="1" applyFont="1" applyFill="1" applyBorder="1" applyAlignment="1">
      <alignment horizontal="center" vertical="center"/>
    </xf>
    <xf numFmtId="165" fontId="29" fillId="0" borderId="12" xfId="10" quotePrefix="1" applyNumberFormat="1" applyFont="1" applyFill="1" applyBorder="1" applyAlignment="1">
      <alignment horizontal="center" vertical="center"/>
    </xf>
    <xf numFmtId="165" fontId="29" fillId="0" borderId="29" xfId="10" quotePrefix="1" applyNumberFormat="1" applyFont="1" applyFill="1" applyBorder="1" applyAlignment="1">
      <alignment horizontal="center" vertical="center"/>
    </xf>
    <xf numFmtId="0" fontId="201" fillId="0" borderId="26" xfId="18" applyFont="1" applyFill="1" applyBorder="1" applyAlignment="1">
      <alignment horizontal="center" vertical="center" textRotation="90"/>
    </xf>
    <xf numFmtId="0" fontId="201" fillId="0" borderId="27" xfId="18" applyFont="1" applyFill="1" applyBorder="1" applyAlignment="1">
      <alignment horizontal="center" vertical="center" textRotation="90"/>
    </xf>
    <xf numFmtId="0" fontId="201" fillId="0" borderId="29" xfId="18" applyFont="1" applyFill="1" applyBorder="1" applyAlignment="1">
      <alignment horizontal="center" vertical="center" textRotation="90"/>
    </xf>
    <xf numFmtId="3" fontId="35" fillId="0" borderId="11" xfId="29" applyNumberFormat="1" applyFont="1" applyFill="1" applyBorder="1" applyAlignment="1">
      <alignment horizontal="left" vertical="center"/>
    </xf>
    <xf numFmtId="0" fontId="25" fillId="0" borderId="101" xfId="0" applyFont="1" applyFill="1" applyBorder="1" applyAlignment="1">
      <alignment horizontal="center" vertical="center"/>
    </xf>
    <xf numFmtId="0" fontId="25" fillId="0" borderId="22" xfId="0" applyFont="1" applyFill="1" applyBorder="1" applyAlignment="1">
      <alignment horizontal="center" vertical="center"/>
    </xf>
    <xf numFmtId="0" fontId="25" fillId="0" borderId="93" xfId="0" applyFont="1" applyFill="1" applyBorder="1" applyAlignment="1">
      <alignment horizontal="center" vertical="center"/>
    </xf>
    <xf numFmtId="0" fontId="25" fillId="0" borderId="92" xfId="0" applyFont="1" applyFill="1" applyBorder="1" applyAlignment="1">
      <alignment horizontal="center" vertical="center"/>
    </xf>
    <xf numFmtId="0" fontId="29" fillId="0" borderId="0" xfId="0" applyFont="1" applyFill="1" applyAlignment="1">
      <alignment horizontal="left" vertical="top" wrapText="1"/>
    </xf>
    <xf numFmtId="0" fontId="11" fillId="3" borderId="0" xfId="18" applyFill="1" applyAlignment="1">
      <alignment wrapText="1"/>
    </xf>
    <xf numFmtId="165" fontId="29" fillId="0" borderId="26" xfId="14" applyNumberFormat="1" applyFont="1" applyFill="1" applyBorder="1" applyAlignment="1">
      <alignment horizontal="center" vertical="center" wrapText="1"/>
    </xf>
    <xf numFmtId="165" fontId="29" fillId="0" borderId="29" xfId="14" applyNumberFormat="1" applyFont="1" applyFill="1" applyBorder="1" applyAlignment="1">
      <alignment horizontal="center" vertical="center" wrapText="1"/>
    </xf>
    <xf numFmtId="165" fontId="30" fillId="0" borderId="8" xfId="10" quotePrefix="1" applyNumberFormat="1" applyFont="1" applyFill="1" applyBorder="1" applyAlignment="1">
      <alignment horizontal="center" vertical="center" wrapText="1"/>
    </xf>
    <xf numFmtId="165" fontId="30" fillId="0" borderId="12" xfId="10" quotePrefix="1" applyNumberFormat="1" applyFont="1" applyFill="1" applyBorder="1" applyAlignment="1">
      <alignment horizontal="center" vertical="center" wrapText="1"/>
    </xf>
    <xf numFmtId="165" fontId="21" fillId="0" borderId="0" xfId="18" applyNumberFormat="1" applyFont="1" applyFill="1" applyAlignment="1">
      <alignment horizontal="left" vertical="center" wrapText="1"/>
    </xf>
    <xf numFmtId="165" fontId="44" fillId="0" borderId="0" xfId="18" applyNumberFormat="1" applyFont="1" applyFill="1" applyAlignment="1">
      <alignment horizontal="left" vertical="top" wrapText="1"/>
    </xf>
    <xf numFmtId="165" fontId="25" fillId="0" borderId="9" xfId="18" applyNumberFormat="1" applyFont="1" applyFill="1" applyBorder="1" applyAlignment="1">
      <alignment horizontal="center" vertical="center"/>
    </xf>
    <xf numFmtId="165" fontId="21" fillId="0" borderId="9" xfId="18" applyNumberFormat="1" applyFont="1" applyFill="1" applyBorder="1" applyAlignment="1">
      <alignment horizontal="center" vertical="center" wrapText="1"/>
    </xf>
    <xf numFmtId="165" fontId="21" fillId="0" borderId="10" xfId="18" applyNumberFormat="1" applyFont="1" applyFill="1" applyBorder="1" applyAlignment="1">
      <alignment horizontal="center" vertical="center" wrapText="1"/>
    </xf>
    <xf numFmtId="165" fontId="21" fillId="0" borderId="8" xfId="18" applyNumberFormat="1" applyFont="1" applyFill="1" applyBorder="1" applyAlignment="1">
      <alignment horizontal="center" vertical="center"/>
    </xf>
    <xf numFmtId="165" fontId="21" fillId="0" borderId="12" xfId="18" applyNumberFormat="1" applyFont="1" applyFill="1" applyBorder="1" applyAlignment="1">
      <alignment horizontal="center" vertical="center"/>
    </xf>
    <xf numFmtId="165" fontId="25" fillId="0" borderId="25" xfId="18" applyNumberFormat="1" applyFont="1" applyFill="1" applyBorder="1" applyAlignment="1">
      <alignment horizontal="center" vertical="center"/>
    </xf>
    <xf numFmtId="165" fontId="25" fillId="0" borderId="10" xfId="18" applyNumberFormat="1" applyFont="1" applyFill="1" applyBorder="1" applyAlignment="1">
      <alignment horizontal="center" vertical="center"/>
    </xf>
    <xf numFmtId="165" fontId="21" fillId="0" borderId="11" xfId="18" applyNumberFormat="1" applyFont="1" applyFill="1" applyBorder="1" applyAlignment="1">
      <alignment horizontal="center" vertical="center" wrapText="1"/>
    </xf>
    <xf numFmtId="165" fontId="25" fillId="0" borderId="11" xfId="15" applyNumberFormat="1" applyFont="1" applyFill="1" applyBorder="1" applyAlignment="1">
      <alignment horizontal="center" vertical="center" wrapText="1"/>
    </xf>
    <xf numFmtId="0" fontId="21" fillId="0" borderId="0" xfId="18" quotePrefix="1" applyFont="1" applyFill="1" applyBorder="1" applyAlignment="1">
      <alignment horizontal="left" vertical="center" wrapText="1"/>
    </xf>
    <xf numFmtId="165" fontId="21" fillId="0" borderId="0" xfId="14" applyNumberFormat="1" applyFont="1" applyFill="1" applyAlignment="1">
      <alignment horizontal="left" vertical="center" wrapText="1"/>
    </xf>
    <xf numFmtId="0" fontId="212" fillId="0" borderId="77" xfId="0" applyFont="1" applyFill="1" applyBorder="1" applyAlignment="1">
      <alignment horizontal="center"/>
    </xf>
    <xf numFmtId="0" fontId="212" fillId="0" borderId="73" xfId="0" applyFont="1" applyFill="1" applyBorder="1" applyAlignment="1">
      <alignment horizontal="center"/>
    </xf>
    <xf numFmtId="165" fontId="25" fillId="0" borderId="32" xfId="12" applyNumberFormat="1" applyFont="1" applyFill="1" applyBorder="1" applyAlignment="1">
      <alignment horizontal="center" vertical="center"/>
    </xf>
    <xf numFmtId="165" fontId="25" fillId="0" borderId="0" xfId="12" applyNumberFormat="1" applyFont="1" applyFill="1" applyBorder="1" applyAlignment="1">
      <alignment horizontal="center" vertical="center"/>
    </xf>
    <xf numFmtId="165" fontId="25" fillId="0" borderId="31" xfId="12" applyNumberFormat="1" applyFont="1" applyFill="1" applyBorder="1" applyAlignment="1">
      <alignment horizontal="center" vertical="center"/>
    </xf>
    <xf numFmtId="165" fontId="215" fillId="0" borderId="81" xfId="1" applyNumberFormat="1" applyFont="1" applyFill="1" applyBorder="1" applyAlignment="1">
      <alignment horizontal="left" vertical="center"/>
    </xf>
    <xf numFmtId="0" fontId="48" fillId="0" borderId="30" xfId="0" applyFont="1" applyFill="1" applyBorder="1" applyAlignment="1">
      <alignment horizontal="center" vertical="center"/>
    </xf>
    <xf numFmtId="0" fontId="50" fillId="0" borderId="0" xfId="0" quotePrefix="1" applyFont="1" applyFill="1" applyAlignment="1">
      <alignment horizontal="left" vertical="center" wrapText="1"/>
    </xf>
    <xf numFmtId="0" fontId="0" fillId="0" borderId="0" xfId="0" applyFill="1" applyAlignment="1">
      <alignment horizontal="left" vertical="center" wrapText="1"/>
    </xf>
    <xf numFmtId="0" fontId="40" fillId="0" borderId="0" xfId="0" quotePrefix="1" applyFont="1" applyFill="1" applyAlignment="1">
      <alignment horizontal="left" vertical="center" wrapText="1"/>
    </xf>
    <xf numFmtId="0" fontId="21" fillId="0" borderId="0" xfId="0" quotePrefix="1" applyFont="1" applyFill="1" applyAlignment="1">
      <alignment horizontal="left" vertical="center" wrapText="1"/>
    </xf>
    <xf numFmtId="165" fontId="21" fillId="0" borderId="0" xfId="16" applyNumberFormat="1" applyFont="1" applyFill="1" applyBorder="1" applyAlignment="1">
      <alignment horizontal="left" vertical="center" wrapText="1"/>
    </xf>
  </cellXfs>
  <cellStyles count="2718">
    <cellStyle name="%" xfId="43" xr:uid="{00000000-0005-0000-0000-000000000000}"/>
    <cellStyle name="% 10" xfId="44" xr:uid="{00000000-0005-0000-0000-000001000000}"/>
    <cellStyle name="% 10 2" xfId="1874" xr:uid="{00000000-0005-0000-0000-000002000000}"/>
    <cellStyle name="% 11" xfId="45" xr:uid="{00000000-0005-0000-0000-000003000000}"/>
    <cellStyle name="% 11 2" xfId="1875" xr:uid="{00000000-0005-0000-0000-000004000000}"/>
    <cellStyle name="% 12" xfId="46" xr:uid="{00000000-0005-0000-0000-000005000000}"/>
    <cellStyle name="% 12 2" xfId="1876" xr:uid="{00000000-0005-0000-0000-000006000000}"/>
    <cellStyle name="% 13" xfId="47" xr:uid="{00000000-0005-0000-0000-000007000000}"/>
    <cellStyle name="% 13 2" xfId="1877" xr:uid="{00000000-0005-0000-0000-000008000000}"/>
    <cellStyle name="% 14" xfId="1878" xr:uid="{00000000-0005-0000-0000-000009000000}"/>
    <cellStyle name="% 2" xfId="48" xr:uid="{00000000-0005-0000-0000-00000A000000}"/>
    <cellStyle name="% 2 10" xfId="49" xr:uid="{00000000-0005-0000-0000-00000B000000}"/>
    <cellStyle name="% 2 10 2" xfId="1879" xr:uid="{00000000-0005-0000-0000-00000C000000}"/>
    <cellStyle name="% 2 11" xfId="50" xr:uid="{00000000-0005-0000-0000-00000D000000}"/>
    <cellStyle name="% 2 11 2" xfId="1880" xr:uid="{00000000-0005-0000-0000-00000E000000}"/>
    <cellStyle name="% 2 12" xfId="51" xr:uid="{00000000-0005-0000-0000-00000F000000}"/>
    <cellStyle name="% 2 12 2" xfId="1881" xr:uid="{00000000-0005-0000-0000-000010000000}"/>
    <cellStyle name="% 2 13" xfId="1882" xr:uid="{00000000-0005-0000-0000-000011000000}"/>
    <cellStyle name="% 2 2" xfId="52" xr:uid="{00000000-0005-0000-0000-000012000000}"/>
    <cellStyle name="% 2 2 2" xfId="1883" xr:uid="{00000000-0005-0000-0000-000013000000}"/>
    <cellStyle name="% 2 3" xfId="53" xr:uid="{00000000-0005-0000-0000-000014000000}"/>
    <cellStyle name="% 2 3 2" xfId="1884" xr:uid="{00000000-0005-0000-0000-000015000000}"/>
    <cellStyle name="% 2 4" xfId="54" xr:uid="{00000000-0005-0000-0000-000016000000}"/>
    <cellStyle name="% 2 4 2" xfId="1885" xr:uid="{00000000-0005-0000-0000-000017000000}"/>
    <cellStyle name="% 2 5" xfId="55" xr:uid="{00000000-0005-0000-0000-000018000000}"/>
    <cellStyle name="% 2 5 2" xfId="1886" xr:uid="{00000000-0005-0000-0000-000019000000}"/>
    <cellStyle name="% 2 6" xfId="56" xr:uid="{00000000-0005-0000-0000-00001A000000}"/>
    <cellStyle name="% 2 6 2" xfId="1887" xr:uid="{00000000-0005-0000-0000-00001B000000}"/>
    <cellStyle name="% 2 7" xfId="57" xr:uid="{00000000-0005-0000-0000-00001C000000}"/>
    <cellStyle name="% 2 7 2" xfId="1888" xr:uid="{00000000-0005-0000-0000-00001D000000}"/>
    <cellStyle name="% 2 8" xfId="58" xr:uid="{00000000-0005-0000-0000-00001E000000}"/>
    <cellStyle name="% 2 8 2" xfId="1889" xr:uid="{00000000-0005-0000-0000-00001F000000}"/>
    <cellStyle name="% 2 9" xfId="59" xr:uid="{00000000-0005-0000-0000-000020000000}"/>
    <cellStyle name="% 2 9 2" xfId="1890" xr:uid="{00000000-0005-0000-0000-000021000000}"/>
    <cellStyle name="% 3" xfId="60" xr:uid="{00000000-0005-0000-0000-000022000000}"/>
    <cellStyle name="% 3 2" xfId="1891" xr:uid="{00000000-0005-0000-0000-000023000000}"/>
    <cellStyle name="% 4" xfId="61" xr:uid="{00000000-0005-0000-0000-000024000000}"/>
    <cellStyle name="% 4 2" xfId="1892" xr:uid="{00000000-0005-0000-0000-000025000000}"/>
    <cellStyle name="% 5" xfId="62" xr:uid="{00000000-0005-0000-0000-000026000000}"/>
    <cellStyle name="% 5 2" xfId="1893" xr:uid="{00000000-0005-0000-0000-000027000000}"/>
    <cellStyle name="% 6" xfId="63" xr:uid="{00000000-0005-0000-0000-000028000000}"/>
    <cellStyle name="% 6 2" xfId="1894" xr:uid="{00000000-0005-0000-0000-000029000000}"/>
    <cellStyle name="% 7" xfId="64" xr:uid="{00000000-0005-0000-0000-00002A000000}"/>
    <cellStyle name="% 7 2" xfId="1895" xr:uid="{00000000-0005-0000-0000-00002B000000}"/>
    <cellStyle name="% 8" xfId="65" xr:uid="{00000000-0005-0000-0000-00002C000000}"/>
    <cellStyle name="% 8 2" xfId="1896" xr:uid="{00000000-0005-0000-0000-00002D000000}"/>
    <cellStyle name="% 9" xfId="66" xr:uid="{00000000-0005-0000-0000-00002E000000}"/>
    <cellStyle name="% 9 2" xfId="1897" xr:uid="{00000000-0005-0000-0000-00002F000000}"/>
    <cellStyle name="%_3.ind_pobreza" xfId="1521" xr:uid="{00000000-0005-0000-0000-000030000000}"/>
    <cellStyle name="%_3.ind_pobreza 2" xfId="1898" xr:uid="{00000000-0005-0000-0000-000031000000}"/>
    <cellStyle name="_06.0223-r1" xfId="67" xr:uid="{00000000-0005-0000-0000-000032000000}"/>
    <cellStyle name="_06.0223-r1 10" xfId="68" xr:uid="{00000000-0005-0000-0000-000033000000}"/>
    <cellStyle name="_06.0223-r1 10 2" xfId="1899" xr:uid="{00000000-0005-0000-0000-000034000000}"/>
    <cellStyle name="_06.0223-r1 11" xfId="69" xr:uid="{00000000-0005-0000-0000-000035000000}"/>
    <cellStyle name="_06.0223-r1 11 2" xfId="1900" xr:uid="{00000000-0005-0000-0000-000036000000}"/>
    <cellStyle name="_06.0223-r1 12" xfId="70" xr:uid="{00000000-0005-0000-0000-000037000000}"/>
    <cellStyle name="_06.0223-r1 12 2" xfId="1901" xr:uid="{00000000-0005-0000-0000-000038000000}"/>
    <cellStyle name="_06.0223-r1 13" xfId="1902" xr:uid="{00000000-0005-0000-0000-000039000000}"/>
    <cellStyle name="_06.0223-r1 2" xfId="71" xr:uid="{00000000-0005-0000-0000-00003A000000}"/>
    <cellStyle name="_06.0223-r1 2 2" xfId="1903" xr:uid="{00000000-0005-0000-0000-00003B000000}"/>
    <cellStyle name="_06.0223-r1 3" xfId="72" xr:uid="{00000000-0005-0000-0000-00003C000000}"/>
    <cellStyle name="_06.0223-r1 3 2" xfId="1904" xr:uid="{00000000-0005-0000-0000-00003D000000}"/>
    <cellStyle name="_06.0223-r1 4" xfId="73" xr:uid="{00000000-0005-0000-0000-00003E000000}"/>
    <cellStyle name="_06.0223-r1 4 2" xfId="1905" xr:uid="{00000000-0005-0000-0000-00003F000000}"/>
    <cellStyle name="_06.0223-r1 5" xfId="74" xr:uid="{00000000-0005-0000-0000-000040000000}"/>
    <cellStyle name="_06.0223-r1 5 2" xfId="1906" xr:uid="{00000000-0005-0000-0000-000041000000}"/>
    <cellStyle name="_06.0223-r1 6" xfId="75" xr:uid="{00000000-0005-0000-0000-000042000000}"/>
    <cellStyle name="_06.0223-r1 6 2" xfId="1907" xr:uid="{00000000-0005-0000-0000-000043000000}"/>
    <cellStyle name="_06.0223-r1 7" xfId="76" xr:uid="{00000000-0005-0000-0000-000044000000}"/>
    <cellStyle name="_06.0223-r1 7 2" xfId="1908" xr:uid="{00000000-0005-0000-0000-000045000000}"/>
    <cellStyle name="_06.0223-r1 8" xfId="77" xr:uid="{00000000-0005-0000-0000-000046000000}"/>
    <cellStyle name="_06.0223-r1 8 2" xfId="1909" xr:uid="{00000000-0005-0000-0000-000047000000}"/>
    <cellStyle name="_06.0223-r1 9" xfId="78" xr:uid="{00000000-0005-0000-0000-000048000000}"/>
    <cellStyle name="_06.0223-r1 9 2" xfId="1910" xr:uid="{00000000-0005-0000-0000-000049000000}"/>
    <cellStyle name="20% - Accent1" xfId="79" xr:uid="{00000000-0005-0000-0000-00004A000000}"/>
    <cellStyle name="20% - Accent2" xfId="80" xr:uid="{00000000-0005-0000-0000-00004B000000}"/>
    <cellStyle name="20% - Accent3" xfId="81" xr:uid="{00000000-0005-0000-0000-00004C000000}"/>
    <cellStyle name="20% - Accent4" xfId="82" xr:uid="{00000000-0005-0000-0000-00004D000000}"/>
    <cellStyle name="20% - Accent5" xfId="83" xr:uid="{00000000-0005-0000-0000-00004E000000}"/>
    <cellStyle name="20% - Accent6" xfId="84" xr:uid="{00000000-0005-0000-0000-00004F000000}"/>
    <cellStyle name="20% - Cor1 2" xfId="85" xr:uid="{00000000-0005-0000-0000-000050000000}"/>
    <cellStyle name="20% - Cor1 3" xfId="86" xr:uid="{00000000-0005-0000-0000-000051000000}"/>
    <cellStyle name="20% - Cor1 4" xfId="87" xr:uid="{00000000-0005-0000-0000-000052000000}"/>
    <cellStyle name="20% - Cor2 2" xfId="88" xr:uid="{00000000-0005-0000-0000-000053000000}"/>
    <cellStyle name="20% - Cor2 3" xfId="89" xr:uid="{00000000-0005-0000-0000-000054000000}"/>
    <cellStyle name="20% - Cor2 4" xfId="90" xr:uid="{00000000-0005-0000-0000-000055000000}"/>
    <cellStyle name="20% - Cor3 2" xfId="91" xr:uid="{00000000-0005-0000-0000-000056000000}"/>
    <cellStyle name="20% - Cor3 2 2" xfId="930" xr:uid="{00000000-0005-0000-0000-000057000000}"/>
    <cellStyle name="20% - Cor3 2 2 2" xfId="932" xr:uid="{00000000-0005-0000-0000-000058000000}"/>
    <cellStyle name="20% - Cor3 2 2 3" xfId="933" xr:uid="{00000000-0005-0000-0000-000059000000}"/>
    <cellStyle name="20% - Cor3 2 3" xfId="931" xr:uid="{00000000-0005-0000-0000-00005A000000}"/>
    <cellStyle name="20% - Cor3 3" xfId="92" xr:uid="{00000000-0005-0000-0000-00005B000000}"/>
    <cellStyle name="20% - Cor3 4" xfId="93" xr:uid="{00000000-0005-0000-0000-00005C000000}"/>
    <cellStyle name="20% - Cor4 2" xfId="94" xr:uid="{00000000-0005-0000-0000-00005D000000}"/>
    <cellStyle name="20% - Cor4 3" xfId="95" xr:uid="{00000000-0005-0000-0000-00005E000000}"/>
    <cellStyle name="20% - Cor4 4" xfId="96" xr:uid="{00000000-0005-0000-0000-00005F000000}"/>
    <cellStyle name="20% - Cor5 2" xfId="97" xr:uid="{00000000-0005-0000-0000-000060000000}"/>
    <cellStyle name="20% - Cor5 3" xfId="98" xr:uid="{00000000-0005-0000-0000-000061000000}"/>
    <cellStyle name="20% - Cor5 4" xfId="99" xr:uid="{00000000-0005-0000-0000-000062000000}"/>
    <cellStyle name="20% - Cor6 2" xfId="100" xr:uid="{00000000-0005-0000-0000-000063000000}"/>
    <cellStyle name="20% - Cor6 3" xfId="101" xr:uid="{00000000-0005-0000-0000-000064000000}"/>
    <cellStyle name="20% - Cor6 4" xfId="102" xr:uid="{00000000-0005-0000-0000-000065000000}"/>
    <cellStyle name="20% - Ênfase1" xfId="1522" xr:uid="{00000000-0005-0000-0000-000066000000}"/>
    <cellStyle name="20% - Ênfase2" xfId="1523" xr:uid="{00000000-0005-0000-0000-000067000000}"/>
    <cellStyle name="20% - Ênfase3" xfId="1524" xr:uid="{00000000-0005-0000-0000-000068000000}"/>
    <cellStyle name="20% - Ênfase4" xfId="1525" xr:uid="{00000000-0005-0000-0000-000069000000}"/>
    <cellStyle name="20% - Ênfase5" xfId="1526" xr:uid="{00000000-0005-0000-0000-00006A000000}"/>
    <cellStyle name="20% - Ênfase6" xfId="1527" xr:uid="{00000000-0005-0000-0000-00006B000000}"/>
    <cellStyle name="40% - Accent1" xfId="103" xr:uid="{00000000-0005-0000-0000-00006C000000}"/>
    <cellStyle name="40% - Accent2" xfId="104" xr:uid="{00000000-0005-0000-0000-00006D000000}"/>
    <cellStyle name="40% - Accent3" xfId="105" xr:uid="{00000000-0005-0000-0000-00006E000000}"/>
    <cellStyle name="40% - Accent4" xfId="106" xr:uid="{00000000-0005-0000-0000-00006F000000}"/>
    <cellStyle name="40% - Accent5" xfId="107" xr:uid="{00000000-0005-0000-0000-000070000000}"/>
    <cellStyle name="40% - Accent6" xfId="108" xr:uid="{00000000-0005-0000-0000-000071000000}"/>
    <cellStyle name="40% - Cor1 2" xfId="109" xr:uid="{00000000-0005-0000-0000-000072000000}"/>
    <cellStyle name="40% - Cor1 3" xfId="110" xr:uid="{00000000-0005-0000-0000-000073000000}"/>
    <cellStyle name="40% - Cor1 4" xfId="111" xr:uid="{00000000-0005-0000-0000-000074000000}"/>
    <cellStyle name="40% - Cor2 2" xfId="112" xr:uid="{00000000-0005-0000-0000-000075000000}"/>
    <cellStyle name="40% - Cor2 3" xfId="113" xr:uid="{00000000-0005-0000-0000-000076000000}"/>
    <cellStyle name="40% - Cor2 4" xfId="114" xr:uid="{00000000-0005-0000-0000-000077000000}"/>
    <cellStyle name="40% - Cor3 2" xfId="115" xr:uid="{00000000-0005-0000-0000-000078000000}"/>
    <cellStyle name="40% - Cor3 3" xfId="116" xr:uid="{00000000-0005-0000-0000-000079000000}"/>
    <cellStyle name="40% - Cor3 4" xfId="117" xr:uid="{00000000-0005-0000-0000-00007A000000}"/>
    <cellStyle name="40% - Cor4 2" xfId="118" xr:uid="{00000000-0005-0000-0000-00007B000000}"/>
    <cellStyle name="40% - Cor4 3" xfId="119" xr:uid="{00000000-0005-0000-0000-00007C000000}"/>
    <cellStyle name="40% - Cor4 4" xfId="120" xr:uid="{00000000-0005-0000-0000-00007D000000}"/>
    <cellStyle name="40% - Cor5 2" xfId="121" xr:uid="{00000000-0005-0000-0000-00007E000000}"/>
    <cellStyle name="40% - Cor5 3" xfId="122" xr:uid="{00000000-0005-0000-0000-00007F000000}"/>
    <cellStyle name="40% - Cor5 4" xfId="123" xr:uid="{00000000-0005-0000-0000-000080000000}"/>
    <cellStyle name="40% - Cor6 2" xfId="124" xr:uid="{00000000-0005-0000-0000-000081000000}"/>
    <cellStyle name="40% - Cor6 3" xfId="125" xr:uid="{00000000-0005-0000-0000-000082000000}"/>
    <cellStyle name="40% - Cor6 4" xfId="126" xr:uid="{00000000-0005-0000-0000-000083000000}"/>
    <cellStyle name="40% - Ênfase1" xfId="1528" xr:uid="{00000000-0005-0000-0000-000084000000}"/>
    <cellStyle name="40% - Ênfase2" xfId="1529" xr:uid="{00000000-0005-0000-0000-000085000000}"/>
    <cellStyle name="40% - Ênfase3" xfId="1530" xr:uid="{00000000-0005-0000-0000-000086000000}"/>
    <cellStyle name="40% - Ênfase4" xfId="1531" xr:uid="{00000000-0005-0000-0000-000087000000}"/>
    <cellStyle name="40% - Ênfase5" xfId="1532" xr:uid="{00000000-0005-0000-0000-000088000000}"/>
    <cellStyle name="40% - Ênfase6" xfId="1533" xr:uid="{00000000-0005-0000-0000-000089000000}"/>
    <cellStyle name="60% - Accent1" xfId="127" xr:uid="{00000000-0005-0000-0000-00008A000000}"/>
    <cellStyle name="60% - Accent2" xfId="128" xr:uid="{00000000-0005-0000-0000-00008B000000}"/>
    <cellStyle name="60% - Accent3" xfId="129" xr:uid="{00000000-0005-0000-0000-00008C000000}"/>
    <cellStyle name="60% - Accent4" xfId="130" xr:uid="{00000000-0005-0000-0000-00008D000000}"/>
    <cellStyle name="60% - Accent5" xfId="131" xr:uid="{00000000-0005-0000-0000-00008E000000}"/>
    <cellStyle name="60% - Accent6" xfId="132" xr:uid="{00000000-0005-0000-0000-00008F000000}"/>
    <cellStyle name="60% - Cor1 2" xfId="133" xr:uid="{00000000-0005-0000-0000-000090000000}"/>
    <cellStyle name="60% - Cor1 3" xfId="134" xr:uid="{00000000-0005-0000-0000-000091000000}"/>
    <cellStyle name="60% - Cor1 4" xfId="135" xr:uid="{00000000-0005-0000-0000-000092000000}"/>
    <cellStyle name="60% - Cor2 2" xfId="136" xr:uid="{00000000-0005-0000-0000-000093000000}"/>
    <cellStyle name="60% - Cor2 3" xfId="137" xr:uid="{00000000-0005-0000-0000-000094000000}"/>
    <cellStyle name="60% - Cor2 4" xfId="138" xr:uid="{00000000-0005-0000-0000-000095000000}"/>
    <cellStyle name="60% - Cor3 2" xfId="139" xr:uid="{00000000-0005-0000-0000-000096000000}"/>
    <cellStyle name="60% - Cor3 3" xfId="140" xr:uid="{00000000-0005-0000-0000-000097000000}"/>
    <cellStyle name="60% - Cor3 4" xfId="141" xr:uid="{00000000-0005-0000-0000-000098000000}"/>
    <cellStyle name="60% - Cor4 2" xfId="142" xr:uid="{00000000-0005-0000-0000-000099000000}"/>
    <cellStyle name="60% - Cor4 3" xfId="143" xr:uid="{00000000-0005-0000-0000-00009A000000}"/>
    <cellStyle name="60% - Cor4 4" xfId="144" xr:uid="{00000000-0005-0000-0000-00009B000000}"/>
    <cellStyle name="60% - Cor5 2" xfId="145" xr:uid="{00000000-0005-0000-0000-00009C000000}"/>
    <cellStyle name="60% - Cor5 3" xfId="146" xr:uid="{00000000-0005-0000-0000-00009D000000}"/>
    <cellStyle name="60% - Cor5 4" xfId="147" xr:uid="{00000000-0005-0000-0000-00009E000000}"/>
    <cellStyle name="60% - Cor6 2" xfId="148" xr:uid="{00000000-0005-0000-0000-00009F000000}"/>
    <cellStyle name="60% - Cor6 3" xfId="149" xr:uid="{00000000-0005-0000-0000-0000A0000000}"/>
    <cellStyle name="60% - Cor6 4" xfId="150" xr:uid="{00000000-0005-0000-0000-0000A1000000}"/>
    <cellStyle name="60% - Ênfase1" xfId="1534" xr:uid="{00000000-0005-0000-0000-0000A2000000}"/>
    <cellStyle name="60% - Ênfase2" xfId="1535" xr:uid="{00000000-0005-0000-0000-0000A3000000}"/>
    <cellStyle name="60% - Ênfase3" xfId="1536" xr:uid="{00000000-0005-0000-0000-0000A4000000}"/>
    <cellStyle name="60% - Ênfase4" xfId="1537" xr:uid="{00000000-0005-0000-0000-0000A5000000}"/>
    <cellStyle name="60% - Ênfase5" xfId="1538" xr:uid="{00000000-0005-0000-0000-0000A6000000}"/>
    <cellStyle name="60% - Ênfase6" xfId="1539" xr:uid="{00000000-0005-0000-0000-0000A7000000}"/>
    <cellStyle name="a" xfId="1540" xr:uid="{00000000-0005-0000-0000-0000A8000000}"/>
    <cellStyle name="a_Capacidade e cobertura 2004 - 2007 - PARES e POPH" xfId="1541" xr:uid="{00000000-0005-0000-0000-0000A9000000}"/>
    <cellStyle name="a_INE_DGO_TC" xfId="1542" xr:uid="{00000000-0005-0000-0000-0000AA000000}"/>
    <cellStyle name="a_Livro2" xfId="1543" xr:uid="{00000000-0005-0000-0000-0000AB000000}"/>
    <cellStyle name="a_Subsistema 2014" xfId="1544" xr:uid="{00000000-0005-0000-0000-0000AC000000}"/>
    <cellStyle name="Accent1" xfId="151" xr:uid="{00000000-0005-0000-0000-0000AD000000}"/>
    <cellStyle name="Accent1 - 20%" xfId="152" xr:uid="{00000000-0005-0000-0000-0000AE000000}"/>
    <cellStyle name="Accent1 - 40%" xfId="153" xr:uid="{00000000-0005-0000-0000-0000AF000000}"/>
    <cellStyle name="Accent1 - 60%" xfId="154" xr:uid="{00000000-0005-0000-0000-0000B0000000}"/>
    <cellStyle name="Accent1_2012-2016 Prestações Desemprego_6_Março" xfId="1545" xr:uid="{00000000-0005-0000-0000-0000B1000000}"/>
    <cellStyle name="Accent2" xfId="155" xr:uid="{00000000-0005-0000-0000-0000B2000000}"/>
    <cellStyle name="Accent2 - 20%" xfId="156" xr:uid="{00000000-0005-0000-0000-0000B3000000}"/>
    <cellStyle name="Accent2 - 40%" xfId="157" xr:uid="{00000000-0005-0000-0000-0000B4000000}"/>
    <cellStyle name="Accent2 - 60%" xfId="158" xr:uid="{00000000-0005-0000-0000-0000B5000000}"/>
    <cellStyle name="Accent2_2012-2016 Prestações Desemprego_6_Março" xfId="1546" xr:uid="{00000000-0005-0000-0000-0000B6000000}"/>
    <cellStyle name="Accent3" xfId="159" xr:uid="{00000000-0005-0000-0000-0000B7000000}"/>
    <cellStyle name="Accent3 - 20%" xfId="160" xr:uid="{00000000-0005-0000-0000-0000B8000000}"/>
    <cellStyle name="Accent3 - 40%" xfId="161" xr:uid="{00000000-0005-0000-0000-0000B9000000}"/>
    <cellStyle name="Accent3 - 60%" xfId="162" xr:uid="{00000000-0005-0000-0000-0000BA000000}"/>
    <cellStyle name="Accent3_2012-2016 Prestações Desemprego_6_Março" xfId="1547" xr:uid="{00000000-0005-0000-0000-0000BB000000}"/>
    <cellStyle name="Accent4" xfId="163" xr:uid="{00000000-0005-0000-0000-0000BC000000}"/>
    <cellStyle name="Accent4 - 20%" xfId="164" xr:uid="{00000000-0005-0000-0000-0000BD000000}"/>
    <cellStyle name="Accent4 - 40%" xfId="165" xr:uid="{00000000-0005-0000-0000-0000BE000000}"/>
    <cellStyle name="Accent4 - 60%" xfId="166" xr:uid="{00000000-0005-0000-0000-0000BF000000}"/>
    <cellStyle name="Accent4_2012-2016 Prestações Desemprego_6_Março" xfId="1548" xr:uid="{00000000-0005-0000-0000-0000C0000000}"/>
    <cellStyle name="Accent5" xfId="167" xr:uid="{00000000-0005-0000-0000-0000C1000000}"/>
    <cellStyle name="Accent5 - 20%" xfId="168" xr:uid="{00000000-0005-0000-0000-0000C2000000}"/>
    <cellStyle name="Accent5 - 40%" xfId="169" xr:uid="{00000000-0005-0000-0000-0000C3000000}"/>
    <cellStyle name="Accent5 - 60%" xfId="170" xr:uid="{00000000-0005-0000-0000-0000C4000000}"/>
    <cellStyle name="Accent5_2012-2016 Prestações Desemprego_6_Março" xfId="1549" xr:uid="{00000000-0005-0000-0000-0000C5000000}"/>
    <cellStyle name="Accent6" xfId="171" xr:uid="{00000000-0005-0000-0000-0000C6000000}"/>
    <cellStyle name="Accent6 - 20%" xfId="172" xr:uid="{00000000-0005-0000-0000-0000C7000000}"/>
    <cellStyle name="Accent6 - 40%" xfId="173" xr:uid="{00000000-0005-0000-0000-0000C8000000}"/>
    <cellStyle name="Accent6 - 60%" xfId="174" xr:uid="{00000000-0005-0000-0000-0000C9000000}"/>
    <cellStyle name="Accent6_2012-2016 Prestações Desemprego_6_Março" xfId="1550" xr:uid="{00000000-0005-0000-0000-0000CA000000}"/>
    <cellStyle name="Anos" xfId="175" xr:uid="{00000000-0005-0000-0000-0000CB000000}"/>
    <cellStyle name="Bad" xfId="176" xr:uid="{00000000-0005-0000-0000-0000CC000000}"/>
    <cellStyle name="Bom" xfId="1551" xr:uid="{00000000-0005-0000-0000-0000CD000000}"/>
    <cellStyle name="CABECALHO" xfId="934" xr:uid="{00000000-0005-0000-0000-0000CE000000}"/>
    <cellStyle name="Cabeçalho 1" xfId="1" builtinId="16"/>
    <cellStyle name="Cabeçalho 1 10" xfId="177" xr:uid="{00000000-0005-0000-0000-0000D0000000}"/>
    <cellStyle name="Cabeçalho 1 10 2" xfId="1552" xr:uid="{00000000-0005-0000-0000-0000D1000000}"/>
    <cellStyle name="Cabeçalho 1 11" xfId="178" xr:uid="{00000000-0005-0000-0000-0000D2000000}"/>
    <cellStyle name="Cabeçalho 1 11 2" xfId="1553" xr:uid="{00000000-0005-0000-0000-0000D3000000}"/>
    <cellStyle name="Cabeçalho 1 12" xfId="179" xr:uid="{00000000-0005-0000-0000-0000D4000000}"/>
    <cellStyle name="Cabeçalho 1 13" xfId="440" xr:uid="{00000000-0005-0000-0000-0000D5000000}"/>
    <cellStyle name="Cabeçalho 1 2" xfId="180" xr:uid="{00000000-0005-0000-0000-0000D6000000}"/>
    <cellStyle name="Cabeçalho 1 2 10" xfId="181" xr:uid="{00000000-0005-0000-0000-0000D7000000}"/>
    <cellStyle name="Cabeçalho 1 2 11" xfId="182" xr:uid="{00000000-0005-0000-0000-0000D8000000}"/>
    <cellStyle name="Cabeçalho 1 2 2" xfId="183" xr:uid="{00000000-0005-0000-0000-0000D9000000}"/>
    <cellStyle name="Cabeçalho 1 2 3" xfId="184" xr:uid="{00000000-0005-0000-0000-0000DA000000}"/>
    <cellStyle name="Cabeçalho 1 2 4" xfId="185" xr:uid="{00000000-0005-0000-0000-0000DB000000}"/>
    <cellStyle name="Cabeçalho 1 2 5" xfId="186" xr:uid="{00000000-0005-0000-0000-0000DC000000}"/>
    <cellStyle name="Cabeçalho 1 2 6" xfId="187" xr:uid="{00000000-0005-0000-0000-0000DD000000}"/>
    <cellStyle name="Cabeçalho 1 2 7" xfId="188" xr:uid="{00000000-0005-0000-0000-0000DE000000}"/>
    <cellStyle name="Cabeçalho 1 2 8" xfId="189" xr:uid="{00000000-0005-0000-0000-0000DF000000}"/>
    <cellStyle name="Cabeçalho 1 2 9" xfId="190" xr:uid="{00000000-0005-0000-0000-0000E0000000}"/>
    <cellStyle name="Cabeçalho 1 2_DGO" xfId="1554" xr:uid="{00000000-0005-0000-0000-0000E1000000}"/>
    <cellStyle name="Cabeçalho 1 3" xfId="191" xr:uid="{00000000-0005-0000-0000-0000E2000000}"/>
    <cellStyle name="Cabeçalho 1 4" xfId="192" xr:uid="{00000000-0005-0000-0000-0000E3000000}"/>
    <cellStyle name="Cabeçalho 1 5" xfId="193" xr:uid="{00000000-0005-0000-0000-0000E4000000}"/>
    <cellStyle name="Cabeçalho 1 5 2" xfId="1555" xr:uid="{00000000-0005-0000-0000-0000E5000000}"/>
    <cellStyle name="Cabeçalho 1 6" xfId="194" xr:uid="{00000000-0005-0000-0000-0000E6000000}"/>
    <cellStyle name="Cabeçalho 1 6 2" xfId="1556" xr:uid="{00000000-0005-0000-0000-0000E7000000}"/>
    <cellStyle name="Cabeçalho 1 7" xfId="195" xr:uid="{00000000-0005-0000-0000-0000E8000000}"/>
    <cellStyle name="Cabeçalho 1 7 2" xfId="1557" xr:uid="{00000000-0005-0000-0000-0000E9000000}"/>
    <cellStyle name="Cabeçalho 1 8" xfId="196" xr:uid="{00000000-0005-0000-0000-0000EA000000}"/>
    <cellStyle name="Cabeçalho 1 8 2" xfId="1558" xr:uid="{00000000-0005-0000-0000-0000EB000000}"/>
    <cellStyle name="Cabeçalho 1 9" xfId="197" xr:uid="{00000000-0005-0000-0000-0000EC000000}"/>
    <cellStyle name="Cabeçalho 1 9 2" xfId="1559" xr:uid="{00000000-0005-0000-0000-0000ED000000}"/>
    <cellStyle name="CABECALHO 2" xfId="935" xr:uid="{00000000-0005-0000-0000-0000EE000000}"/>
    <cellStyle name="Cabeçalho 2 10" xfId="198" xr:uid="{00000000-0005-0000-0000-0000EF000000}"/>
    <cellStyle name="Cabeçalho 2 10 2" xfId="1560" xr:uid="{00000000-0005-0000-0000-0000F0000000}"/>
    <cellStyle name="Cabeçalho 2 11" xfId="199" xr:uid="{00000000-0005-0000-0000-0000F1000000}"/>
    <cellStyle name="Cabeçalho 2 11 2" xfId="1561" xr:uid="{00000000-0005-0000-0000-0000F2000000}"/>
    <cellStyle name="Cabeçalho 2 12" xfId="1562" xr:uid="{00000000-0005-0000-0000-0000F3000000}"/>
    <cellStyle name="CABECALHO 2 2" xfId="1069" xr:uid="{00000000-0005-0000-0000-0000F4000000}"/>
    <cellStyle name="Cabeçalho 2 2" xfId="200" xr:uid="{00000000-0005-0000-0000-0000F5000000}"/>
    <cellStyle name="Cabeçalho 2 2 10" xfId="201" xr:uid="{00000000-0005-0000-0000-0000F6000000}"/>
    <cellStyle name="Cabeçalho 2 2 11" xfId="202" xr:uid="{00000000-0005-0000-0000-0000F7000000}"/>
    <cellStyle name="CABECALHO 2 2 2" xfId="1563" xr:uid="{00000000-0005-0000-0000-0000F8000000}"/>
    <cellStyle name="Cabeçalho 2 2 2" xfId="203" xr:uid="{00000000-0005-0000-0000-0000F9000000}"/>
    <cellStyle name="CABECALHO 2 2 2 2" xfId="2234" xr:uid="{00000000-0005-0000-0000-0000FA000000}"/>
    <cellStyle name="CABECALHO 2 2 3" xfId="1911" xr:uid="{00000000-0005-0000-0000-0000FB000000}"/>
    <cellStyle name="Cabeçalho 2 2 3" xfId="204" xr:uid="{00000000-0005-0000-0000-0000FC000000}"/>
    <cellStyle name="CABECALHO 2 2 3 2" xfId="2242" xr:uid="{00000000-0005-0000-0000-0000FD000000}"/>
    <cellStyle name="CABECALHO 2 2 4" xfId="1084" xr:uid="{00000000-0005-0000-0000-0000FE000000}"/>
    <cellStyle name="Cabeçalho 2 2 4" xfId="205" xr:uid="{00000000-0005-0000-0000-0000FF000000}"/>
    <cellStyle name="CABECALHO 2 2 5" xfId="1362" xr:uid="{00000000-0005-0000-0000-000000010000}"/>
    <cellStyle name="Cabeçalho 2 2 5" xfId="206" xr:uid="{00000000-0005-0000-0000-000001010000}"/>
    <cellStyle name="Cabeçalho 2 2 6" xfId="207" xr:uid="{00000000-0005-0000-0000-000002010000}"/>
    <cellStyle name="Cabeçalho 2 2 7" xfId="208" xr:uid="{00000000-0005-0000-0000-000003010000}"/>
    <cellStyle name="Cabeçalho 2 2 8" xfId="209" xr:uid="{00000000-0005-0000-0000-000004010000}"/>
    <cellStyle name="Cabeçalho 2 2 9" xfId="210" xr:uid="{00000000-0005-0000-0000-000005010000}"/>
    <cellStyle name="Cabeçalho 2 2_DGO" xfId="1564" xr:uid="{00000000-0005-0000-0000-000006010000}"/>
    <cellStyle name="CABECALHO 2 3" xfId="1565" xr:uid="{00000000-0005-0000-0000-000007010000}"/>
    <cellStyle name="Cabeçalho 2 3" xfId="211" xr:uid="{00000000-0005-0000-0000-000008010000}"/>
    <cellStyle name="CABECALHO 2 3 2" xfId="2235" xr:uid="{00000000-0005-0000-0000-000009010000}"/>
    <cellStyle name="CABECALHO 2 4" xfId="1912" xr:uid="{00000000-0005-0000-0000-00000A010000}"/>
    <cellStyle name="Cabeçalho 2 4" xfId="212" xr:uid="{00000000-0005-0000-0000-00000B010000}"/>
    <cellStyle name="CABECALHO 2 4 2" xfId="2243" xr:uid="{00000000-0005-0000-0000-00000C010000}"/>
    <cellStyle name="Cabeçalho 2 5" xfId="213" xr:uid="{00000000-0005-0000-0000-00000D010000}"/>
    <cellStyle name="Cabeçalho 2 5 2" xfId="1566" xr:uid="{00000000-0005-0000-0000-00000E010000}"/>
    <cellStyle name="Cabeçalho 2 6" xfId="214" xr:uid="{00000000-0005-0000-0000-00000F010000}"/>
    <cellStyle name="Cabeçalho 2 6 2" xfId="1567" xr:uid="{00000000-0005-0000-0000-000010010000}"/>
    <cellStyle name="Cabeçalho 2 7" xfId="215" xr:uid="{00000000-0005-0000-0000-000011010000}"/>
    <cellStyle name="Cabeçalho 2 7 2" xfId="1568" xr:uid="{00000000-0005-0000-0000-000012010000}"/>
    <cellStyle name="Cabeçalho 2 8" xfId="216" xr:uid="{00000000-0005-0000-0000-000013010000}"/>
    <cellStyle name="Cabeçalho 2 8 2" xfId="1569" xr:uid="{00000000-0005-0000-0000-000014010000}"/>
    <cellStyle name="Cabeçalho 2 9" xfId="217" xr:uid="{00000000-0005-0000-0000-000015010000}"/>
    <cellStyle name="Cabeçalho 2 9 2" xfId="1570" xr:uid="{00000000-0005-0000-0000-000016010000}"/>
    <cellStyle name="CABECALHO 3" xfId="936" xr:uid="{00000000-0005-0000-0000-000017010000}"/>
    <cellStyle name="Cabeçalho 3 10" xfId="218" xr:uid="{00000000-0005-0000-0000-000018010000}"/>
    <cellStyle name="Cabeçalho 3 10 2" xfId="1571" xr:uid="{00000000-0005-0000-0000-000019010000}"/>
    <cellStyle name="Cabeçalho 3 11" xfId="219" xr:uid="{00000000-0005-0000-0000-00001A010000}"/>
    <cellStyle name="Cabeçalho 3 11 2" xfId="1572" xr:uid="{00000000-0005-0000-0000-00001B010000}"/>
    <cellStyle name="Cabeçalho 3 12" xfId="1573" xr:uid="{00000000-0005-0000-0000-00001C010000}"/>
    <cellStyle name="CABECALHO 3 2" xfId="1070" xr:uid="{00000000-0005-0000-0000-00001D010000}"/>
    <cellStyle name="Cabeçalho 3 2" xfId="220" xr:uid="{00000000-0005-0000-0000-00001E010000}"/>
    <cellStyle name="Cabeçalho 3 2 10" xfId="221" xr:uid="{00000000-0005-0000-0000-00001F010000}"/>
    <cellStyle name="Cabeçalho 3 2 11" xfId="222" xr:uid="{00000000-0005-0000-0000-000020010000}"/>
    <cellStyle name="CABECALHO 3 2 2" xfId="1574" xr:uid="{00000000-0005-0000-0000-000021010000}"/>
    <cellStyle name="Cabeçalho 3 2 2" xfId="223" xr:uid="{00000000-0005-0000-0000-000022010000}"/>
    <cellStyle name="CABECALHO 3 2 2 2" xfId="2236" xr:uid="{00000000-0005-0000-0000-000023010000}"/>
    <cellStyle name="CABECALHO 3 2 3" xfId="1913" xr:uid="{00000000-0005-0000-0000-000024010000}"/>
    <cellStyle name="Cabeçalho 3 2 3" xfId="224" xr:uid="{00000000-0005-0000-0000-000025010000}"/>
    <cellStyle name="CABECALHO 3 2 3 2" xfId="2244" xr:uid="{00000000-0005-0000-0000-000026010000}"/>
    <cellStyle name="CABECALHO 3 2 4" xfId="1085" xr:uid="{00000000-0005-0000-0000-000027010000}"/>
    <cellStyle name="Cabeçalho 3 2 4" xfId="225" xr:uid="{00000000-0005-0000-0000-000028010000}"/>
    <cellStyle name="CABECALHO 3 2 5" xfId="1352" xr:uid="{00000000-0005-0000-0000-000029010000}"/>
    <cellStyle name="Cabeçalho 3 2 5" xfId="226" xr:uid="{00000000-0005-0000-0000-00002A010000}"/>
    <cellStyle name="Cabeçalho 3 2 6" xfId="227" xr:uid="{00000000-0005-0000-0000-00002B010000}"/>
    <cellStyle name="Cabeçalho 3 2 7" xfId="228" xr:uid="{00000000-0005-0000-0000-00002C010000}"/>
    <cellStyle name="Cabeçalho 3 2 8" xfId="229" xr:uid="{00000000-0005-0000-0000-00002D010000}"/>
    <cellStyle name="Cabeçalho 3 2 9" xfId="230" xr:uid="{00000000-0005-0000-0000-00002E010000}"/>
    <cellStyle name="Cabeçalho 3 2_DGO" xfId="1575" xr:uid="{00000000-0005-0000-0000-00002F010000}"/>
    <cellStyle name="CABECALHO 3 3" xfId="1576" xr:uid="{00000000-0005-0000-0000-000030010000}"/>
    <cellStyle name="Cabeçalho 3 3" xfId="231" xr:uid="{00000000-0005-0000-0000-000031010000}"/>
    <cellStyle name="CABECALHO 3 3 2" xfId="2237" xr:uid="{00000000-0005-0000-0000-000032010000}"/>
    <cellStyle name="CABECALHO 3 4" xfId="1914" xr:uid="{00000000-0005-0000-0000-000033010000}"/>
    <cellStyle name="Cabeçalho 3 4" xfId="232" xr:uid="{00000000-0005-0000-0000-000034010000}"/>
    <cellStyle name="CABECALHO 3 4 2" xfId="2245" xr:uid="{00000000-0005-0000-0000-000035010000}"/>
    <cellStyle name="Cabeçalho 3 5" xfId="233" xr:uid="{00000000-0005-0000-0000-000036010000}"/>
    <cellStyle name="Cabeçalho 3 5 2" xfId="1577" xr:uid="{00000000-0005-0000-0000-000037010000}"/>
    <cellStyle name="Cabeçalho 3 6" xfId="234" xr:uid="{00000000-0005-0000-0000-000038010000}"/>
    <cellStyle name="Cabeçalho 3 6 2" xfId="1578" xr:uid="{00000000-0005-0000-0000-000039010000}"/>
    <cellStyle name="Cabeçalho 3 7" xfId="235" xr:uid="{00000000-0005-0000-0000-00003A010000}"/>
    <cellStyle name="Cabeçalho 3 7 2" xfId="1579" xr:uid="{00000000-0005-0000-0000-00003B010000}"/>
    <cellStyle name="Cabeçalho 3 8" xfId="236" xr:uid="{00000000-0005-0000-0000-00003C010000}"/>
    <cellStyle name="Cabeçalho 3 8 2" xfId="1580" xr:uid="{00000000-0005-0000-0000-00003D010000}"/>
    <cellStyle name="Cabeçalho 3 9" xfId="237" xr:uid="{00000000-0005-0000-0000-00003E010000}"/>
    <cellStyle name="Cabeçalho 3 9 2" xfId="1581" xr:uid="{00000000-0005-0000-0000-00003F010000}"/>
    <cellStyle name="CABECALHO 4" xfId="937" xr:uid="{00000000-0005-0000-0000-000040010000}"/>
    <cellStyle name="Cabeçalho 4 10" xfId="238" xr:uid="{00000000-0005-0000-0000-000041010000}"/>
    <cellStyle name="Cabeçalho 4 10 2" xfId="1582" xr:uid="{00000000-0005-0000-0000-000042010000}"/>
    <cellStyle name="Cabeçalho 4 11" xfId="239" xr:uid="{00000000-0005-0000-0000-000043010000}"/>
    <cellStyle name="Cabeçalho 4 11 2" xfId="1583" xr:uid="{00000000-0005-0000-0000-000044010000}"/>
    <cellStyle name="Cabeçalho 4 12" xfId="1584" xr:uid="{00000000-0005-0000-0000-000045010000}"/>
    <cellStyle name="CABECALHO 4 2" xfId="1071" xr:uid="{00000000-0005-0000-0000-000046010000}"/>
    <cellStyle name="Cabeçalho 4 2" xfId="240" xr:uid="{00000000-0005-0000-0000-000047010000}"/>
    <cellStyle name="Cabeçalho 4 2 10" xfId="241" xr:uid="{00000000-0005-0000-0000-000048010000}"/>
    <cellStyle name="Cabeçalho 4 2 11" xfId="242" xr:uid="{00000000-0005-0000-0000-000049010000}"/>
    <cellStyle name="CABECALHO 4 2 2" xfId="1585" xr:uid="{00000000-0005-0000-0000-00004A010000}"/>
    <cellStyle name="Cabeçalho 4 2 2" xfId="243" xr:uid="{00000000-0005-0000-0000-00004B010000}"/>
    <cellStyle name="CABECALHO 4 2 2 2" xfId="2238" xr:uid="{00000000-0005-0000-0000-00004C010000}"/>
    <cellStyle name="CABECALHO 4 2 3" xfId="1915" xr:uid="{00000000-0005-0000-0000-00004D010000}"/>
    <cellStyle name="Cabeçalho 4 2 3" xfId="244" xr:uid="{00000000-0005-0000-0000-00004E010000}"/>
    <cellStyle name="CABECALHO 4 2 3 2" xfId="2246" xr:uid="{00000000-0005-0000-0000-00004F010000}"/>
    <cellStyle name="CABECALHO 4 2 4" xfId="1086" xr:uid="{00000000-0005-0000-0000-000050010000}"/>
    <cellStyle name="Cabeçalho 4 2 4" xfId="245" xr:uid="{00000000-0005-0000-0000-000051010000}"/>
    <cellStyle name="CABECALHO 4 2 5" xfId="1335" xr:uid="{00000000-0005-0000-0000-000052010000}"/>
    <cellStyle name="Cabeçalho 4 2 5" xfId="246" xr:uid="{00000000-0005-0000-0000-000053010000}"/>
    <cellStyle name="Cabeçalho 4 2 6" xfId="247" xr:uid="{00000000-0005-0000-0000-000054010000}"/>
    <cellStyle name="Cabeçalho 4 2 7" xfId="248" xr:uid="{00000000-0005-0000-0000-000055010000}"/>
    <cellStyle name="Cabeçalho 4 2 8" xfId="249" xr:uid="{00000000-0005-0000-0000-000056010000}"/>
    <cellStyle name="Cabeçalho 4 2 9" xfId="250" xr:uid="{00000000-0005-0000-0000-000057010000}"/>
    <cellStyle name="Cabeçalho 4 2_DGO" xfId="1586" xr:uid="{00000000-0005-0000-0000-000058010000}"/>
    <cellStyle name="CABECALHO 4 3" xfId="1587" xr:uid="{00000000-0005-0000-0000-000059010000}"/>
    <cellStyle name="Cabeçalho 4 3" xfId="251" xr:uid="{00000000-0005-0000-0000-00005A010000}"/>
    <cellStyle name="CABECALHO 4 3 2" xfId="2239" xr:uid="{00000000-0005-0000-0000-00005B010000}"/>
    <cellStyle name="CABECALHO 4 4" xfId="1916" xr:uid="{00000000-0005-0000-0000-00005C010000}"/>
    <cellStyle name="Cabeçalho 4 4" xfId="252" xr:uid="{00000000-0005-0000-0000-00005D010000}"/>
    <cellStyle name="CABECALHO 4 4 2" xfId="2247" xr:uid="{00000000-0005-0000-0000-00005E010000}"/>
    <cellStyle name="Cabeçalho 4 5" xfId="253" xr:uid="{00000000-0005-0000-0000-00005F010000}"/>
    <cellStyle name="Cabeçalho 4 5 2" xfId="1588" xr:uid="{00000000-0005-0000-0000-000060010000}"/>
    <cellStyle name="Cabeçalho 4 6" xfId="254" xr:uid="{00000000-0005-0000-0000-000061010000}"/>
    <cellStyle name="Cabeçalho 4 6 2" xfId="1589" xr:uid="{00000000-0005-0000-0000-000062010000}"/>
    <cellStyle name="Cabeçalho 4 7" xfId="255" xr:uid="{00000000-0005-0000-0000-000063010000}"/>
    <cellStyle name="Cabeçalho 4 7 2" xfId="1590" xr:uid="{00000000-0005-0000-0000-000064010000}"/>
    <cellStyle name="Cabeçalho 4 8" xfId="256" xr:uid="{00000000-0005-0000-0000-000065010000}"/>
    <cellStyle name="Cabeçalho 4 8 2" xfId="1591" xr:uid="{00000000-0005-0000-0000-000066010000}"/>
    <cellStyle name="Cabeçalho 4 9" xfId="257" xr:uid="{00000000-0005-0000-0000-000067010000}"/>
    <cellStyle name="Cabeçalho 4 9 2" xfId="1592" xr:uid="{00000000-0005-0000-0000-000068010000}"/>
    <cellStyle name="CABECALHO 5" xfId="1072" xr:uid="{00000000-0005-0000-0000-000069010000}"/>
    <cellStyle name="CABECALHO 5 2" xfId="1593" xr:uid="{00000000-0005-0000-0000-00006A010000}"/>
    <cellStyle name="CABECALHO 5 2 2" xfId="2240" xr:uid="{00000000-0005-0000-0000-00006B010000}"/>
    <cellStyle name="CABECALHO 5 3" xfId="1087" xr:uid="{00000000-0005-0000-0000-00006C010000}"/>
    <cellStyle name="CABECALHO 6" xfId="1594" xr:uid="{00000000-0005-0000-0000-00006D010000}"/>
    <cellStyle name="CABECALHO 6 2" xfId="2241" xr:uid="{00000000-0005-0000-0000-00006E010000}"/>
    <cellStyle name="CABECALHO 7" xfId="1917" xr:uid="{00000000-0005-0000-0000-00006F010000}"/>
    <cellStyle name="CABECALHO 7 2" xfId="2248" xr:uid="{00000000-0005-0000-0000-000070010000}"/>
    <cellStyle name="CABECALHO_3.ind_pobreza" xfId="1595" xr:uid="{00000000-0005-0000-0000-000071010000}"/>
    <cellStyle name="cal" xfId="258" xr:uid="{00000000-0005-0000-0000-000072010000}"/>
    <cellStyle name="cal 2" xfId="1596" xr:uid="{00000000-0005-0000-0000-000073010000}"/>
    <cellStyle name="Calc" xfId="259" xr:uid="{00000000-0005-0000-0000-000074010000}"/>
    <cellStyle name="Calc - Blue" xfId="260" xr:uid="{00000000-0005-0000-0000-000075010000}"/>
    <cellStyle name="Calc - Blue 2" xfId="1918" xr:uid="{00000000-0005-0000-0000-000076010000}"/>
    <cellStyle name="Calc - Green" xfId="261" xr:uid="{00000000-0005-0000-0000-000077010000}"/>
    <cellStyle name="Calc - Green 2" xfId="1919" xr:uid="{00000000-0005-0000-0000-000078010000}"/>
    <cellStyle name="Calc - Grey" xfId="262" xr:uid="{00000000-0005-0000-0000-000079010000}"/>
    <cellStyle name="Calc - Grey 2" xfId="1920" xr:uid="{00000000-0005-0000-0000-00007A010000}"/>
    <cellStyle name="Calc - White" xfId="263" xr:uid="{00000000-0005-0000-0000-00007B010000}"/>
    <cellStyle name="Calc - White 2" xfId="1921" xr:uid="{00000000-0005-0000-0000-00007C010000}"/>
    <cellStyle name="Calc 2" xfId="1922" xr:uid="{00000000-0005-0000-0000-00007D010000}"/>
    <cellStyle name="Calc Currency (0)" xfId="1597" xr:uid="{00000000-0005-0000-0000-00007E010000}"/>
    <cellStyle name="Calc Currency (2)" xfId="1598" xr:uid="{00000000-0005-0000-0000-00007F010000}"/>
    <cellStyle name="Calc Percent (0)" xfId="1599" xr:uid="{00000000-0005-0000-0000-000080010000}"/>
    <cellStyle name="Calc Percent (1)" xfId="1600" xr:uid="{00000000-0005-0000-0000-000081010000}"/>
    <cellStyle name="Calc Percent (2)" xfId="1601" xr:uid="{00000000-0005-0000-0000-000082010000}"/>
    <cellStyle name="Calc Units (0)" xfId="1602" xr:uid="{00000000-0005-0000-0000-000083010000}"/>
    <cellStyle name="Calc Units (1)" xfId="1603" xr:uid="{00000000-0005-0000-0000-000084010000}"/>
    <cellStyle name="Calc Units (2)" xfId="1604" xr:uid="{00000000-0005-0000-0000-000085010000}"/>
    <cellStyle name="Calculation" xfId="264" xr:uid="{00000000-0005-0000-0000-000086010000}"/>
    <cellStyle name="Calculation 2" xfId="265" xr:uid="{00000000-0005-0000-0000-000087010000}"/>
    <cellStyle name="Calculation 2 2" xfId="1088" xr:uid="{00000000-0005-0000-0000-000088010000}"/>
    <cellStyle name="Calculation 2 3" xfId="1089" xr:uid="{00000000-0005-0000-0000-000089010000}"/>
    <cellStyle name="Calculation 3" xfId="938" xr:uid="{00000000-0005-0000-0000-00008A010000}"/>
    <cellStyle name="Calculation 4" xfId="939" xr:uid="{00000000-0005-0000-0000-00008B010000}"/>
    <cellStyle name="Calculation 5" xfId="1090" xr:uid="{00000000-0005-0000-0000-00008C010000}"/>
    <cellStyle name="Calculation 6" xfId="1091" xr:uid="{00000000-0005-0000-0000-00008D010000}"/>
    <cellStyle name="Calculation_efeito da reposicao de subsidios em 2013 (2)" xfId="1605" xr:uid="{00000000-0005-0000-0000-00008E010000}"/>
    <cellStyle name="Cálculo 2" xfId="266" xr:uid="{00000000-0005-0000-0000-00008F010000}"/>
    <cellStyle name="Cálculo 2 2" xfId="941" xr:uid="{00000000-0005-0000-0000-000090010000}"/>
    <cellStyle name="Cálculo 2 3" xfId="942" xr:uid="{00000000-0005-0000-0000-000091010000}"/>
    <cellStyle name="Cálculo 2 4" xfId="943" xr:uid="{00000000-0005-0000-0000-000092010000}"/>
    <cellStyle name="Cálculo 2 5" xfId="940" xr:uid="{00000000-0005-0000-0000-000093010000}"/>
    <cellStyle name="Cálculo 2 6" xfId="1092" xr:uid="{00000000-0005-0000-0000-000094010000}"/>
    <cellStyle name="Cálculo 3" xfId="267" xr:uid="{00000000-0005-0000-0000-000095010000}"/>
    <cellStyle name="Cálculo 4" xfId="268" xr:uid="{00000000-0005-0000-0000-000096010000}"/>
    <cellStyle name="Célula de Verificação" xfId="1606" xr:uid="{00000000-0005-0000-0000-000097010000}"/>
    <cellStyle name="Célula Ligada 10" xfId="269" xr:uid="{00000000-0005-0000-0000-000098010000}"/>
    <cellStyle name="Célula Ligada 10 2" xfId="1607" xr:uid="{00000000-0005-0000-0000-000099010000}"/>
    <cellStyle name="Célula Ligada 11" xfId="270" xr:uid="{00000000-0005-0000-0000-00009A010000}"/>
    <cellStyle name="Célula Ligada 11 2" xfId="1608" xr:uid="{00000000-0005-0000-0000-00009B010000}"/>
    <cellStyle name="Célula Ligada 2" xfId="271" xr:uid="{00000000-0005-0000-0000-00009C010000}"/>
    <cellStyle name="Célula Ligada 2 10" xfId="272" xr:uid="{00000000-0005-0000-0000-00009D010000}"/>
    <cellStyle name="Célula Ligada 2 11" xfId="273" xr:uid="{00000000-0005-0000-0000-00009E010000}"/>
    <cellStyle name="Célula Ligada 2 2" xfId="274" xr:uid="{00000000-0005-0000-0000-00009F010000}"/>
    <cellStyle name="Célula Ligada 2 3" xfId="275" xr:uid="{00000000-0005-0000-0000-0000A0010000}"/>
    <cellStyle name="Célula Ligada 2 4" xfId="276" xr:uid="{00000000-0005-0000-0000-0000A1010000}"/>
    <cellStyle name="Célula Ligada 2 5" xfId="277" xr:uid="{00000000-0005-0000-0000-0000A2010000}"/>
    <cellStyle name="Célula Ligada 2 6" xfId="278" xr:uid="{00000000-0005-0000-0000-0000A3010000}"/>
    <cellStyle name="Célula Ligada 2 7" xfId="279" xr:uid="{00000000-0005-0000-0000-0000A4010000}"/>
    <cellStyle name="Célula Ligada 2 8" xfId="280" xr:uid="{00000000-0005-0000-0000-0000A5010000}"/>
    <cellStyle name="Célula Ligada 2 9" xfId="281" xr:uid="{00000000-0005-0000-0000-0000A6010000}"/>
    <cellStyle name="Célula Ligada 2_DGO" xfId="1609" xr:uid="{00000000-0005-0000-0000-0000A7010000}"/>
    <cellStyle name="Célula Ligada 3" xfId="282" xr:uid="{00000000-0005-0000-0000-0000A8010000}"/>
    <cellStyle name="Célula Ligada 4" xfId="283" xr:uid="{00000000-0005-0000-0000-0000A9010000}"/>
    <cellStyle name="Célula Ligada 5" xfId="284" xr:uid="{00000000-0005-0000-0000-0000AA010000}"/>
    <cellStyle name="Célula Ligada 5 2" xfId="1610" xr:uid="{00000000-0005-0000-0000-0000AB010000}"/>
    <cellStyle name="Célula Ligada 6" xfId="285" xr:uid="{00000000-0005-0000-0000-0000AC010000}"/>
    <cellStyle name="Célula Ligada 6 2" xfId="1611" xr:uid="{00000000-0005-0000-0000-0000AD010000}"/>
    <cellStyle name="Célula Ligada 7" xfId="286" xr:uid="{00000000-0005-0000-0000-0000AE010000}"/>
    <cellStyle name="Célula Ligada 7 2" xfId="1612" xr:uid="{00000000-0005-0000-0000-0000AF010000}"/>
    <cellStyle name="Célula Ligada 8" xfId="287" xr:uid="{00000000-0005-0000-0000-0000B0010000}"/>
    <cellStyle name="Célula Ligada 8 2" xfId="1613" xr:uid="{00000000-0005-0000-0000-0000B1010000}"/>
    <cellStyle name="Célula Ligada 9" xfId="288" xr:uid="{00000000-0005-0000-0000-0000B2010000}"/>
    <cellStyle name="Célula Ligada 9 2" xfId="1614" xr:uid="{00000000-0005-0000-0000-0000B3010000}"/>
    <cellStyle name="Célula Vinculada" xfId="1615" xr:uid="{00000000-0005-0000-0000-0000B4010000}"/>
    <cellStyle name="Check Cell" xfId="289" xr:uid="{00000000-0005-0000-0000-0000B5010000}"/>
    <cellStyle name="COMMA" xfId="290" xr:uid="{00000000-0005-0000-0000-0000B6010000}"/>
    <cellStyle name="Comma  - Style1" xfId="1616" xr:uid="{00000000-0005-0000-0000-0000B7010000}"/>
    <cellStyle name="Comma  - Style2" xfId="1617" xr:uid="{00000000-0005-0000-0000-0000B8010000}"/>
    <cellStyle name="Comma  - Style3" xfId="1618" xr:uid="{00000000-0005-0000-0000-0000B9010000}"/>
    <cellStyle name="Comma  - Style4" xfId="1619" xr:uid="{00000000-0005-0000-0000-0000BA010000}"/>
    <cellStyle name="Comma  - Style5" xfId="1620" xr:uid="{00000000-0005-0000-0000-0000BB010000}"/>
    <cellStyle name="Comma  - Style6" xfId="1621" xr:uid="{00000000-0005-0000-0000-0000BC010000}"/>
    <cellStyle name="Comma  - Style7" xfId="1622" xr:uid="{00000000-0005-0000-0000-0000BD010000}"/>
    <cellStyle name="Comma  - Style8" xfId="1623" xr:uid="{00000000-0005-0000-0000-0000BE010000}"/>
    <cellStyle name="Comma [0] 2" xfId="291" xr:uid="{00000000-0005-0000-0000-0000BF010000}"/>
    <cellStyle name="Comma [0] 2 2" xfId="292" xr:uid="{00000000-0005-0000-0000-0000C0010000}"/>
    <cellStyle name="Comma [0] 2 2 2" xfId="293" xr:uid="{00000000-0005-0000-0000-0000C1010000}"/>
    <cellStyle name="Comma [0] 2 2 2 10" xfId="294" xr:uid="{00000000-0005-0000-0000-0000C2010000}"/>
    <cellStyle name="Comma [0] 2 2 2 10 2" xfId="1923" xr:uid="{00000000-0005-0000-0000-0000C3010000}"/>
    <cellStyle name="Comma [0] 2 2 2 11" xfId="295" xr:uid="{00000000-0005-0000-0000-0000C4010000}"/>
    <cellStyle name="Comma [0] 2 2 2 11 2" xfId="1924" xr:uid="{00000000-0005-0000-0000-0000C5010000}"/>
    <cellStyle name="Comma [0] 2 2 2 12" xfId="296" xr:uid="{00000000-0005-0000-0000-0000C6010000}"/>
    <cellStyle name="Comma [0] 2 2 2 12 2" xfId="1925" xr:uid="{00000000-0005-0000-0000-0000C7010000}"/>
    <cellStyle name="Comma [0] 2 2 2 12 3" xfId="1093" xr:uid="{00000000-0005-0000-0000-0000C8010000}"/>
    <cellStyle name="Comma [0] 2 2 2 13" xfId="297" xr:uid="{00000000-0005-0000-0000-0000C9010000}"/>
    <cellStyle name="Comma [0] 2 2 2 13 2" xfId="1926" xr:uid="{00000000-0005-0000-0000-0000CA010000}"/>
    <cellStyle name="Comma [0] 2 2 2 13 3" xfId="1094" xr:uid="{00000000-0005-0000-0000-0000CB010000}"/>
    <cellStyle name="Comma [0] 2 2 2 14" xfId="298" xr:uid="{00000000-0005-0000-0000-0000CC010000}"/>
    <cellStyle name="Comma [0] 2 2 2 14 2" xfId="1927" xr:uid="{00000000-0005-0000-0000-0000CD010000}"/>
    <cellStyle name="Comma [0] 2 2 2 14 3" xfId="1095" xr:uid="{00000000-0005-0000-0000-0000CE010000}"/>
    <cellStyle name="Comma [0] 2 2 2 15" xfId="1928" xr:uid="{00000000-0005-0000-0000-0000CF010000}"/>
    <cellStyle name="Comma [0] 2 2 2 2" xfId="299" xr:uid="{00000000-0005-0000-0000-0000D0010000}"/>
    <cellStyle name="Comma [0] 2 2 2 2 2" xfId="1929" xr:uid="{00000000-0005-0000-0000-0000D1010000}"/>
    <cellStyle name="Comma [0] 2 2 2 3" xfId="300" xr:uid="{00000000-0005-0000-0000-0000D2010000}"/>
    <cellStyle name="Comma [0] 2 2 2 3 2" xfId="1930" xr:uid="{00000000-0005-0000-0000-0000D3010000}"/>
    <cellStyle name="Comma [0] 2 2 2 4" xfId="301" xr:uid="{00000000-0005-0000-0000-0000D4010000}"/>
    <cellStyle name="Comma [0] 2 2 2 4 2" xfId="1931" xr:uid="{00000000-0005-0000-0000-0000D5010000}"/>
    <cellStyle name="Comma [0] 2 2 2 5" xfId="302" xr:uid="{00000000-0005-0000-0000-0000D6010000}"/>
    <cellStyle name="Comma [0] 2 2 2 5 2" xfId="1932" xr:uid="{00000000-0005-0000-0000-0000D7010000}"/>
    <cellStyle name="Comma [0] 2 2 2 6" xfId="303" xr:uid="{00000000-0005-0000-0000-0000D8010000}"/>
    <cellStyle name="Comma [0] 2 2 2 6 2" xfId="1933" xr:uid="{00000000-0005-0000-0000-0000D9010000}"/>
    <cellStyle name="Comma [0] 2 2 2 7" xfId="304" xr:uid="{00000000-0005-0000-0000-0000DA010000}"/>
    <cellStyle name="Comma [0] 2 2 2 7 2" xfId="1934" xr:uid="{00000000-0005-0000-0000-0000DB010000}"/>
    <cellStyle name="Comma [0] 2 2 2 8" xfId="305" xr:uid="{00000000-0005-0000-0000-0000DC010000}"/>
    <cellStyle name="Comma [0] 2 2 2 8 2" xfId="1935" xr:uid="{00000000-0005-0000-0000-0000DD010000}"/>
    <cellStyle name="Comma [0] 2 2 2 9" xfId="306" xr:uid="{00000000-0005-0000-0000-0000DE010000}"/>
    <cellStyle name="Comma [0] 2 2 2 9 2" xfId="1936" xr:uid="{00000000-0005-0000-0000-0000DF010000}"/>
    <cellStyle name="Comma [0] 2 2 3" xfId="307" xr:uid="{00000000-0005-0000-0000-0000E0010000}"/>
    <cellStyle name="Comma [0] 2 2 3 10" xfId="308" xr:uid="{00000000-0005-0000-0000-0000E1010000}"/>
    <cellStyle name="Comma [0] 2 2 3 10 2" xfId="1937" xr:uid="{00000000-0005-0000-0000-0000E2010000}"/>
    <cellStyle name="Comma [0] 2 2 3 11" xfId="1938" xr:uid="{00000000-0005-0000-0000-0000E3010000}"/>
    <cellStyle name="Comma [0] 2 2 3 2" xfId="309" xr:uid="{00000000-0005-0000-0000-0000E4010000}"/>
    <cellStyle name="Comma [0] 2 2 3 2 2" xfId="310" xr:uid="{00000000-0005-0000-0000-0000E5010000}"/>
    <cellStyle name="Comma [0] 2 2 3 2 2 2" xfId="1939" xr:uid="{00000000-0005-0000-0000-0000E6010000}"/>
    <cellStyle name="Comma [0] 2 2 3 2 3" xfId="1940" xr:uid="{00000000-0005-0000-0000-0000E7010000}"/>
    <cellStyle name="Comma [0] 2 2 3 3" xfId="311" xr:uid="{00000000-0005-0000-0000-0000E8010000}"/>
    <cellStyle name="Comma [0] 2 2 3 3 2" xfId="1941" xr:uid="{00000000-0005-0000-0000-0000E9010000}"/>
    <cellStyle name="Comma [0] 2 2 3 4" xfId="312" xr:uid="{00000000-0005-0000-0000-0000EA010000}"/>
    <cellStyle name="Comma [0] 2 2 3 4 2" xfId="1942" xr:uid="{00000000-0005-0000-0000-0000EB010000}"/>
    <cellStyle name="Comma [0] 2 2 3 5" xfId="313" xr:uid="{00000000-0005-0000-0000-0000EC010000}"/>
    <cellStyle name="Comma [0] 2 2 3 5 2" xfId="1943" xr:uid="{00000000-0005-0000-0000-0000ED010000}"/>
    <cellStyle name="Comma [0] 2 2 3 6" xfId="314" xr:uid="{00000000-0005-0000-0000-0000EE010000}"/>
    <cellStyle name="Comma [0] 2 2 3 6 2" xfId="1944" xr:uid="{00000000-0005-0000-0000-0000EF010000}"/>
    <cellStyle name="Comma [0] 2 2 3 7" xfId="315" xr:uid="{00000000-0005-0000-0000-0000F0010000}"/>
    <cellStyle name="Comma [0] 2 2 3 7 2" xfId="1945" xr:uid="{00000000-0005-0000-0000-0000F1010000}"/>
    <cellStyle name="Comma [0] 2 2 3 8" xfId="316" xr:uid="{00000000-0005-0000-0000-0000F2010000}"/>
    <cellStyle name="Comma [0] 2 2 3 8 2" xfId="1946" xr:uid="{00000000-0005-0000-0000-0000F3010000}"/>
    <cellStyle name="Comma [0] 2 2 3 9" xfId="317" xr:uid="{00000000-0005-0000-0000-0000F4010000}"/>
    <cellStyle name="Comma [0] 2 2 3 9 2" xfId="1947" xr:uid="{00000000-0005-0000-0000-0000F5010000}"/>
    <cellStyle name="Comma [0] 2 2 4" xfId="1948" xr:uid="{00000000-0005-0000-0000-0000F6010000}"/>
    <cellStyle name="Comma [0] 2 3" xfId="1949" xr:uid="{00000000-0005-0000-0000-0000F7010000}"/>
    <cellStyle name="Comma [00]" xfId="1624" xr:uid="{00000000-0005-0000-0000-0000F8010000}"/>
    <cellStyle name="Comma [00] 2" xfId="1950" xr:uid="{00000000-0005-0000-0000-0000F9010000}"/>
    <cellStyle name="Comma 2" xfId="318" xr:uid="{00000000-0005-0000-0000-0000FA010000}"/>
    <cellStyle name="Comma 2 10" xfId="2274" xr:uid="{00000000-0005-0000-0000-0000FB010000}"/>
    <cellStyle name="Comma 2 11" xfId="2369" xr:uid="{00000000-0005-0000-0000-0000FC010000}"/>
    <cellStyle name="Comma 2 12" xfId="2404" xr:uid="{00000000-0005-0000-0000-0000FD010000}"/>
    <cellStyle name="Comma 2 13" xfId="2439" xr:uid="{00000000-0005-0000-0000-0000FE010000}"/>
    <cellStyle name="Comma 2 14" xfId="2474" xr:uid="{00000000-0005-0000-0000-0000FF010000}"/>
    <cellStyle name="Comma 2 15" xfId="2509" xr:uid="{00000000-0005-0000-0000-000000020000}"/>
    <cellStyle name="Comma 2 16" xfId="2543" xr:uid="{00000000-0005-0000-0000-000001020000}"/>
    <cellStyle name="Comma 2 17" xfId="2578" xr:uid="{00000000-0005-0000-0000-000002020000}"/>
    <cellStyle name="Comma 2 18" xfId="2614" xr:uid="{00000000-0005-0000-0000-000003020000}"/>
    <cellStyle name="Comma 2 19" xfId="2649" xr:uid="{00000000-0005-0000-0000-000019010000}"/>
    <cellStyle name="Comma 2 2" xfId="319" xr:uid="{00000000-0005-0000-0000-000004020000}"/>
    <cellStyle name="Comma 2 2 2" xfId="1098" xr:uid="{00000000-0005-0000-0000-000005020000}"/>
    <cellStyle name="Comma 2 2 3" xfId="1099" xr:uid="{00000000-0005-0000-0000-000006020000}"/>
    <cellStyle name="Comma 2 2 4" xfId="1625" xr:uid="{00000000-0005-0000-0000-000007020000}"/>
    <cellStyle name="Comma 2 2 5" xfId="1097" xr:uid="{00000000-0005-0000-0000-000008020000}"/>
    <cellStyle name="Comma 2 20" xfId="2684" xr:uid="{00000000-0005-0000-0000-000019010000}"/>
    <cellStyle name="Comma 2 3" xfId="320" xr:uid="{00000000-0005-0000-0000-000009020000}"/>
    <cellStyle name="Comma 2 3 2" xfId="1101" xr:uid="{00000000-0005-0000-0000-00000A020000}"/>
    <cellStyle name="Comma 2 3 3" xfId="1102" xr:uid="{00000000-0005-0000-0000-00000B020000}"/>
    <cellStyle name="Comma 2 3 4" xfId="1626" xr:uid="{00000000-0005-0000-0000-00000C020000}"/>
    <cellStyle name="Comma 2 3 5" xfId="1100" xr:uid="{00000000-0005-0000-0000-00000D020000}"/>
    <cellStyle name="Comma 2 4" xfId="321" xr:uid="{00000000-0005-0000-0000-00000E020000}"/>
    <cellStyle name="Comma 2 4 2" xfId="1104" xr:uid="{00000000-0005-0000-0000-00000F020000}"/>
    <cellStyle name="Comma 2 4 3" xfId="1105" xr:uid="{00000000-0005-0000-0000-000010020000}"/>
    <cellStyle name="Comma 2 4 4" xfId="1627" xr:uid="{00000000-0005-0000-0000-000011020000}"/>
    <cellStyle name="Comma 2 4 5" xfId="1103" xr:uid="{00000000-0005-0000-0000-000012020000}"/>
    <cellStyle name="Comma 2 5" xfId="322" xr:uid="{00000000-0005-0000-0000-000013020000}"/>
    <cellStyle name="Comma 2 5 2" xfId="1107" xr:uid="{00000000-0005-0000-0000-000014020000}"/>
    <cellStyle name="Comma 2 5 3" xfId="1108" xr:uid="{00000000-0005-0000-0000-000015020000}"/>
    <cellStyle name="Comma 2 5 4" xfId="1628" xr:uid="{00000000-0005-0000-0000-000016020000}"/>
    <cellStyle name="Comma 2 5 5" xfId="1106" xr:uid="{00000000-0005-0000-0000-000017020000}"/>
    <cellStyle name="Comma 2 6" xfId="323" xr:uid="{00000000-0005-0000-0000-000018020000}"/>
    <cellStyle name="Comma 2 6 2" xfId="1110" xr:uid="{00000000-0005-0000-0000-000019020000}"/>
    <cellStyle name="Comma 2 6 3" xfId="1111" xr:uid="{00000000-0005-0000-0000-00001A020000}"/>
    <cellStyle name="Comma 2 6 4" xfId="1629" xr:uid="{00000000-0005-0000-0000-00001B020000}"/>
    <cellStyle name="Comma 2 6 5" xfId="1109" xr:uid="{00000000-0005-0000-0000-00001C020000}"/>
    <cellStyle name="Comma 2 7" xfId="324" xr:uid="{00000000-0005-0000-0000-00001D020000}"/>
    <cellStyle name="Comma 2 7 2" xfId="325" xr:uid="{00000000-0005-0000-0000-00001E020000}"/>
    <cellStyle name="Comma 2 7 2 10" xfId="2579" xr:uid="{00000000-0005-0000-0000-00001F020000}"/>
    <cellStyle name="Comma 2 7 2 11" xfId="2615" xr:uid="{00000000-0005-0000-0000-000020020000}"/>
    <cellStyle name="Comma 2 7 2 12" xfId="2650" xr:uid="{00000000-0005-0000-0000-000020010000}"/>
    <cellStyle name="Comma 2 7 2 13" xfId="2685" xr:uid="{00000000-0005-0000-0000-000020010000}"/>
    <cellStyle name="Comma 2 7 2 2" xfId="1113" xr:uid="{00000000-0005-0000-0000-000021020000}"/>
    <cellStyle name="Comma 2 7 2 3" xfId="2275" xr:uid="{00000000-0005-0000-0000-000022020000}"/>
    <cellStyle name="Comma 2 7 2 4" xfId="2370" xr:uid="{00000000-0005-0000-0000-000023020000}"/>
    <cellStyle name="Comma 2 7 2 5" xfId="2405" xr:uid="{00000000-0005-0000-0000-000024020000}"/>
    <cellStyle name="Comma 2 7 2 6" xfId="2440" xr:uid="{00000000-0005-0000-0000-000025020000}"/>
    <cellStyle name="Comma 2 7 2 7" xfId="2475" xr:uid="{00000000-0005-0000-0000-000026020000}"/>
    <cellStyle name="Comma 2 7 2 8" xfId="2510" xr:uid="{00000000-0005-0000-0000-000027020000}"/>
    <cellStyle name="Comma 2 7 2 9" xfId="2544" xr:uid="{00000000-0005-0000-0000-000028020000}"/>
    <cellStyle name="Comma 2 7 3" xfId="326" xr:uid="{00000000-0005-0000-0000-000029020000}"/>
    <cellStyle name="Comma 2 7 3 10" xfId="2580" xr:uid="{00000000-0005-0000-0000-00002A020000}"/>
    <cellStyle name="Comma 2 7 3 11" xfId="2616" xr:uid="{00000000-0005-0000-0000-00002B020000}"/>
    <cellStyle name="Comma 2 7 3 12" xfId="2651" xr:uid="{00000000-0005-0000-0000-000021010000}"/>
    <cellStyle name="Comma 2 7 3 13" xfId="2686" xr:uid="{00000000-0005-0000-0000-000021010000}"/>
    <cellStyle name="Comma 2 7 3 2" xfId="1114" xr:uid="{00000000-0005-0000-0000-00002C020000}"/>
    <cellStyle name="Comma 2 7 3 3" xfId="2276" xr:uid="{00000000-0005-0000-0000-00002D020000}"/>
    <cellStyle name="Comma 2 7 3 4" xfId="2371" xr:uid="{00000000-0005-0000-0000-00002E020000}"/>
    <cellStyle name="Comma 2 7 3 5" xfId="2406" xr:uid="{00000000-0005-0000-0000-00002F020000}"/>
    <cellStyle name="Comma 2 7 3 6" xfId="2441" xr:uid="{00000000-0005-0000-0000-000030020000}"/>
    <cellStyle name="Comma 2 7 3 7" xfId="2476" xr:uid="{00000000-0005-0000-0000-000031020000}"/>
    <cellStyle name="Comma 2 7 3 8" xfId="2511" xr:uid="{00000000-0005-0000-0000-000032020000}"/>
    <cellStyle name="Comma 2 7 3 9" xfId="2545" xr:uid="{00000000-0005-0000-0000-000033020000}"/>
    <cellStyle name="Comma 2 7 4" xfId="327" xr:uid="{00000000-0005-0000-0000-000034020000}"/>
    <cellStyle name="Comma 2 7 4 10" xfId="2581" xr:uid="{00000000-0005-0000-0000-000035020000}"/>
    <cellStyle name="Comma 2 7 4 11" xfId="2617" xr:uid="{00000000-0005-0000-0000-000036020000}"/>
    <cellStyle name="Comma 2 7 4 12" xfId="2652" xr:uid="{00000000-0005-0000-0000-000022010000}"/>
    <cellStyle name="Comma 2 7 4 13" xfId="2687" xr:uid="{00000000-0005-0000-0000-000022010000}"/>
    <cellStyle name="Comma 2 7 4 2" xfId="1115" xr:uid="{00000000-0005-0000-0000-000037020000}"/>
    <cellStyle name="Comma 2 7 4 3" xfId="2277" xr:uid="{00000000-0005-0000-0000-000038020000}"/>
    <cellStyle name="Comma 2 7 4 4" xfId="2372" xr:uid="{00000000-0005-0000-0000-000039020000}"/>
    <cellStyle name="Comma 2 7 4 5" xfId="2407" xr:uid="{00000000-0005-0000-0000-00003A020000}"/>
    <cellStyle name="Comma 2 7 4 6" xfId="2442" xr:uid="{00000000-0005-0000-0000-00003B020000}"/>
    <cellStyle name="Comma 2 7 4 7" xfId="2477" xr:uid="{00000000-0005-0000-0000-00003C020000}"/>
    <cellStyle name="Comma 2 7 4 8" xfId="2512" xr:uid="{00000000-0005-0000-0000-00003D020000}"/>
    <cellStyle name="Comma 2 7 4 9" xfId="2546" xr:uid="{00000000-0005-0000-0000-00003E020000}"/>
    <cellStyle name="Comma 2 7 5" xfId="1116" xr:uid="{00000000-0005-0000-0000-00003F020000}"/>
    <cellStyle name="Comma 2 7 6" xfId="1117" xr:uid="{00000000-0005-0000-0000-000040020000}"/>
    <cellStyle name="Comma 2 7 7" xfId="1630" xr:uid="{00000000-0005-0000-0000-000041020000}"/>
    <cellStyle name="Comma 2 7 8" xfId="1112" xr:uid="{00000000-0005-0000-0000-000042020000}"/>
    <cellStyle name="Comma 2 8" xfId="328" xr:uid="{00000000-0005-0000-0000-000043020000}"/>
    <cellStyle name="Comma 2 8 2" xfId="1119" xr:uid="{00000000-0005-0000-0000-000044020000}"/>
    <cellStyle name="Comma 2 8 3" xfId="1120" xr:uid="{00000000-0005-0000-0000-000045020000}"/>
    <cellStyle name="Comma 2 8 4" xfId="1631" xr:uid="{00000000-0005-0000-0000-000046020000}"/>
    <cellStyle name="Comma 2 8 5" xfId="1118" xr:uid="{00000000-0005-0000-0000-000047020000}"/>
    <cellStyle name="Comma 2 9" xfId="1096" xr:uid="{00000000-0005-0000-0000-000048020000}"/>
    <cellStyle name="Comma 3" xfId="329" xr:uid="{00000000-0005-0000-0000-000049020000}"/>
    <cellStyle name="Comma 3 10" xfId="2513" xr:uid="{00000000-0005-0000-0000-00004A020000}"/>
    <cellStyle name="Comma 3 11" xfId="2547" xr:uid="{00000000-0005-0000-0000-00004B020000}"/>
    <cellStyle name="Comma 3 12" xfId="2582" xr:uid="{00000000-0005-0000-0000-00004C020000}"/>
    <cellStyle name="Comma 3 13" xfId="2618" xr:uid="{00000000-0005-0000-0000-00004D020000}"/>
    <cellStyle name="Comma 3 14" xfId="2653" xr:uid="{00000000-0005-0000-0000-000024010000}"/>
    <cellStyle name="Comma 3 15" xfId="2688" xr:uid="{00000000-0005-0000-0000-000024010000}"/>
    <cellStyle name="Comma 3 2" xfId="330" xr:uid="{00000000-0005-0000-0000-00004E020000}"/>
    <cellStyle name="Comma 3 2 2" xfId="1951" xr:uid="{00000000-0005-0000-0000-00004F020000}"/>
    <cellStyle name="Comma 3 3" xfId="1952" xr:uid="{00000000-0005-0000-0000-000050020000}"/>
    <cellStyle name="Comma 3 4" xfId="1121" xr:uid="{00000000-0005-0000-0000-000051020000}"/>
    <cellStyle name="Comma 3 5" xfId="2278" xr:uid="{00000000-0005-0000-0000-000052020000}"/>
    <cellStyle name="Comma 3 6" xfId="2373" xr:uid="{00000000-0005-0000-0000-000053020000}"/>
    <cellStyle name="Comma 3 7" xfId="2408" xr:uid="{00000000-0005-0000-0000-000054020000}"/>
    <cellStyle name="Comma 3 8" xfId="2443" xr:uid="{00000000-0005-0000-0000-000055020000}"/>
    <cellStyle name="Comma 3 9" xfId="2478" xr:uid="{00000000-0005-0000-0000-000056020000}"/>
    <cellStyle name="Comma 8" xfId="331" xr:uid="{00000000-0005-0000-0000-000057020000}"/>
    <cellStyle name="Comma 8 10" xfId="2479" xr:uid="{00000000-0005-0000-0000-000058020000}"/>
    <cellStyle name="Comma 8 11" xfId="2514" xr:uid="{00000000-0005-0000-0000-000059020000}"/>
    <cellStyle name="Comma 8 12" xfId="2548" xr:uid="{00000000-0005-0000-0000-00005A020000}"/>
    <cellStyle name="Comma 8 13" xfId="2583" xr:uid="{00000000-0005-0000-0000-00005B020000}"/>
    <cellStyle name="Comma 8 14" xfId="2619" xr:uid="{00000000-0005-0000-0000-00005C020000}"/>
    <cellStyle name="Comma 8 15" xfId="2654" xr:uid="{00000000-0005-0000-0000-000026010000}"/>
    <cellStyle name="Comma 8 16" xfId="2689" xr:uid="{00000000-0005-0000-0000-000026010000}"/>
    <cellStyle name="Comma 8 2" xfId="332" xr:uid="{00000000-0005-0000-0000-00005D020000}"/>
    <cellStyle name="Comma 8 2 10" xfId="2584" xr:uid="{00000000-0005-0000-0000-00005E020000}"/>
    <cellStyle name="Comma 8 2 11" xfId="2620" xr:uid="{00000000-0005-0000-0000-00005F020000}"/>
    <cellStyle name="Comma 8 2 12" xfId="2655" xr:uid="{00000000-0005-0000-0000-000027010000}"/>
    <cellStyle name="Comma 8 2 13" xfId="2690" xr:uid="{00000000-0005-0000-0000-000027010000}"/>
    <cellStyle name="Comma 8 2 2" xfId="1123" xr:uid="{00000000-0005-0000-0000-000060020000}"/>
    <cellStyle name="Comma 8 2 3" xfId="2280" xr:uid="{00000000-0005-0000-0000-000061020000}"/>
    <cellStyle name="Comma 8 2 4" xfId="2375" xr:uid="{00000000-0005-0000-0000-000062020000}"/>
    <cellStyle name="Comma 8 2 5" xfId="2410" xr:uid="{00000000-0005-0000-0000-000063020000}"/>
    <cellStyle name="Comma 8 2 6" xfId="2445" xr:uid="{00000000-0005-0000-0000-000064020000}"/>
    <cellStyle name="Comma 8 2 7" xfId="2480" xr:uid="{00000000-0005-0000-0000-000065020000}"/>
    <cellStyle name="Comma 8 2 8" xfId="2515" xr:uid="{00000000-0005-0000-0000-000066020000}"/>
    <cellStyle name="Comma 8 2 9" xfId="2549" xr:uid="{00000000-0005-0000-0000-000067020000}"/>
    <cellStyle name="Comma 8 3" xfId="333" xr:uid="{00000000-0005-0000-0000-000068020000}"/>
    <cellStyle name="Comma 8 3 10" xfId="2585" xr:uid="{00000000-0005-0000-0000-000069020000}"/>
    <cellStyle name="Comma 8 3 11" xfId="2621" xr:uid="{00000000-0005-0000-0000-00006A020000}"/>
    <cellStyle name="Comma 8 3 12" xfId="2656" xr:uid="{00000000-0005-0000-0000-000028010000}"/>
    <cellStyle name="Comma 8 3 13" xfId="2691" xr:uid="{00000000-0005-0000-0000-000028010000}"/>
    <cellStyle name="Comma 8 3 2" xfId="1124" xr:uid="{00000000-0005-0000-0000-00006B020000}"/>
    <cellStyle name="Comma 8 3 3" xfId="2281" xr:uid="{00000000-0005-0000-0000-00006C020000}"/>
    <cellStyle name="Comma 8 3 4" xfId="2376" xr:uid="{00000000-0005-0000-0000-00006D020000}"/>
    <cellStyle name="Comma 8 3 5" xfId="2411" xr:uid="{00000000-0005-0000-0000-00006E020000}"/>
    <cellStyle name="Comma 8 3 6" xfId="2446" xr:uid="{00000000-0005-0000-0000-00006F020000}"/>
    <cellStyle name="Comma 8 3 7" xfId="2481" xr:uid="{00000000-0005-0000-0000-000070020000}"/>
    <cellStyle name="Comma 8 3 8" xfId="2516" xr:uid="{00000000-0005-0000-0000-000071020000}"/>
    <cellStyle name="Comma 8 3 9" xfId="2550" xr:uid="{00000000-0005-0000-0000-000072020000}"/>
    <cellStyle name="Comma 8 4" xfId="334" xr:uid="{00000000-0005-0000-0000-000073020000}"/>
    <cellStyle name="Comma 8 4 10" xfId="2586" xr:uid="{00000000-0005-0000-0000-000074020000}"/>
    <cellStyle name="Comma 8 4 11" xfId="2622" xr:uid="{00000000-0005-0000-0000-000075020000}"/>
    <cellStyle name="Comma 8 4 12" xfId="2657" xr:uid="{00000000-0005-0000-0000-000029010000}"/>
    <cellStyle name="Comma 8 4 13" xfId="2692" xr:uid="{00000000-0005-0000-0000-000029010000}"/>
    <cellStyle name="Comma 8 4 2" xfId="1125" xr:uid="{00000000-0005-0000-0000-000076020000}"/>
    <cellStyle name="Comma 8 4 3" xfId="2282" xr:uid="{00000000-0005-0000-0000-000077020000}"/>
    <cellStyle name="Comma 8 4 4" xfId="2377" xr:uid="{00000000-0005-0000-0000-000078020000}"/>
    <cellStyle name="Comma 8 4 5" xfId="2412" xr:uid="{00000000-0005-0000-0000-000079020000}"/>
    <cellStyle name="Comma 8 4 6" xfId="2447" xr:uid="{00000000-0005-0000-0000-00007A020000}"/>
    <cellStyle name="Comma 8 4 7" xfId="2482" xr:uid="{00000000-0005-0000-0000-00007B020000}"/>
    <cellStyle name="Comma 8 4 8" xfId="2517" xr:uid="{00000000-0005-0000-0000-00007C020000}"/>
    <cellStyle name="Comma 8 4 9" xfId="2551" xr:uid="{00000000-0005-0000-0000-00007D020000}"/>
    <cellStyle name="Comma 8 5" xfId="1122" xr:uid="{00000000-0005-0000-0000-00007E020000}"/>
    <cellStyle name="Comma 8 6" xfId="2279" xr:uid="{00000000-0005-0000-0000-00007F020000}"/>
    <cellStyle name="Comma 8 7" xfId="2374" xr:uid="{00000000-0005-0000-0000-000080020000}"/>
    <cellStyle name="Comma 8 8" xfId="2409" xr:uid="{00000000-0005-0000-0000-000081020000}"/>
    <cellStyle name="Comma 8 9" xfId="2444" xr:uid="{00000000-0005-0000-0000-000082020000}"/>
    <cellStyle name="COMMA_Serviço por económica 2014_20131212" xfId="1632" xr:uid="{00000000-0005-0000-0000-000083020000}"/>
    <cellStyle name="Comma0" xfId="335" xr:uid="{00000000-0005-0000-0000-000084020000}"/>
    <cellStyle name="Comma0 2" xfId="1953" xr:uid="{00000000-0005-0000-0000-000085020000}"/>
    <cellStyle name="Cor1 2" xfId="336" xr:uid="{00000000-0005-0000-0000-000086020000}"/>
    <cellStyle name="Cor1 3" xfId="337" xr:uid="{00000000-0005-0000-0000-000087020000}"/>
    <cellStyle name="Cor1 4" xfId="338" xr:uid="{00000000-0005-0000-0000-000088020000}"/>
    <cellStyle name="Cor2 2" xfId="339" xr:uid="{00000000-0005-0000-0000-000089020000}"/>
    <cellStyle name="Cor2 3" xfId="340" xr:uid="{00000000-0005-0000-0000-00008A020000}"/>
    <cellStyle name="Cor2 4" xfId="341" xr:uid="{00000000-0005-0000-0000-00008B020000}"/>
    <cellStyle name="Cor3 2" xfId="342" xr:uid="{00000000-0005-0000-0000-00008C020000}"/>
    <cellStyle name="Cor3 3" xfId="343" xr:uid="{00000000-0005-0000-0000-00008D020000}"/>
    <cellStyle name="Cor3 4" xfId="344" xr:uid="{00000000-0005-0000-0000-00008E020000}"/>
    <cellStyle name="Cor4 2" xfId="345" xr:uid="{00000000-0005-0000-0000-00008F020000}"/>
    <cellStyle name="Cor4 3" xfId="346" xr:uid="{00000000-0005-0000-0000-000090020000}"/>
    <cellStyle name="Cor4 4" xfId="347" xr:uid="{00000000-0005-0000-0000-000091020000}"/>
    <cellStyle name="Cor5 2" xfId="348" xr:uid="{00000000-0005-0000-0000-000092020000}"/>
    <cellStyle name="Cor5 3" xfId="349" xr:uid="{00000000-0005-0000-0000-000093020000}"/>
    <cellStyle name="Cor5 4" xfId="350" xr:uid="{00000000-0005-0000-0000-000094020000}"/>
    <cellStyle name="Cor6 2" xfId="351" xr:uid="{00000000-0005-0000-0000-000095020000}"/>
    <cellStyle name="Cor6 3" xfId="352" xr:uid="{00000000-0005-0000-0000-000096020000}"/>
    <cellStyle name="Cor6 4" xfId="353" xr:uid="{00000000-0005-0000-0000-000097020000}"/>
    <cellStyle name="Correcto 10" xfId="354" xr:uid="{00000000-0005-0000-0000-000098020000}"/>
    <cellStyle name="Correcto 10 2" xfId="1633" xr:uid="{00000000-0005-0000-0000-000099020000}"/>
    <cellStyle name="Correcto 11" xfId="355" xr:uid="{00000000-0005-0000-0000-00009A020000}"/>
    <cellStyle name="Correcto 11 2" xfId="1634" xr:uid="{00000000-0005-0000-0000-00009B020000}"/>
    <cellStyle name="Correcto 2" xfId="356" xr:uid="{00000000-0005-0000-0000-00009C020000}"/>
    <cellStyle name="Correcto 2 10" xfId="357" xr:uid="{00000000-0005-0000-0000-00009D020000}"/>
    <cellStyle name="Correcto 2 11" xfId="358" xr:uid="{00000000-0005-0000-0000-00009E020000}"/>
    <cellStyle name="Correcto 2 12" xfId="944" xr:uid="{00000000-0005-0000-0000-00009F020000}"/>
    <cellStyle name="Correcto 2 2" xfId="359" xr:uid="{00000000-0005-0000-0000-0000A0020000}"/>
    <cellStyle name="Correcto 2 3" xfId="360" xr:uid="{00000000-0005-0000-0000-0000A1020000}"/>
    <cellStyle name="Correcto 2 4" xfId="361" xr:uid="{00000000-0005-0000-0000-0000A2020000}"/>
    <cellStyle name="Correcto 2 5" xfId="362" xr:uid="{00000000-0005-0000-0000-0000A3020000}"/>
    <cellStyle name="Correcto 2 6" xfId="363" xr:uid="{00000000-0005-0000-0000-0000A4020000}"/>
    <cellStyle name="Correcto 2 7" xfId="364" xr:uid="{00000000-0005-0000-0000-0000A5020000}"/>
    <cellStyle name="Correcto 2 8" xfId="365" xr:uid="{00000000-0005-0000-0000-0000A6020000}"/>
    <cellStyle name="Correcto 2 9" xfId="366" xr:uid="{00000000-0005-0000-0000-0000A7020000}"/>
    <cellStyle name="Correcto 2_DGO" xfId="1635" xr:uid="{00000000-0005-0000-0000-0000A8020000}"/>
    <cellStyle name="Correcto 3" xfId="367" xr:uid="{00000000-0005-0000-0000-0000A9020000}"/>
    <cellStyle name="Correcto 4" xfId="368" xr:uid="{00000000-0005-0000-0000-0000AA020000}"/>
    <cellStyle name="Correcto 5" xfId="369" xr:uid="{00000000-0005-0000-0000-0000AB020000}"/>
    <cellStyle name="Correcto 5 2" xfId="1636" xr:uid="{00000000-0005-0000-0000-0000AC020000}"/>
    <cellStyle name="Correcto 6" xfId="370" xr:uid="{00000000-0005-0000-0000-0000AD020000}"/>
    <cellStyle name="Correcto 6 2" xfId="1637" xr:uid="{00000000-0005-0000-0000-0000AE020000}"/>
    <cellStyle name="Correcto 7" xfId="371" xr:uid="{00000000-0005-0000-0000-0000AF020000}"/>
    <cellStyle name="Correcto 7 2" xfId="1638" xr:uid="{00000000-0005-0000-0000-0000B0020000}"/>
    <cellStyle name="Correcto 8" xfId="372" xr:uid="{00000000-0005-0000-0000-0000B1020000}"/>
    <cellStyle name="Correcto 8 2" xfId="1639" xr:uid="{00000000-0005-0000-0000-0000B2020000}"/>
    <cellStyle name="Correcto 9" xfId="373" xr:uid="{00000000-0005-0000-0000-0000B3020000}"/>
    <cellStyle name="Correcto 9 2" xfId="1640" xr:uid="{00000000-0005-0000-0000-0000B4020000}"/>
    <cellStyle name="Correto" xfId="2" builtinId="26"/>
    <cellStyle name="CURRENCY" xfId="374" xr:uid="{00000000-0005-0000-0000-0000B6020000}"/>
    <cellStyle name="Currency [00]" xfId="1641" xr:uid="{00000000-0005-0000-0000-0000B7020000}"/>
    <cellStyle name="Currency [00] 2" xfId="1954" xr:uid="{00000000-0005-0000-0000-0000B8020000}"/>
    <cellStyle name="Currency [2]" xfId="375" xr:uid="{00000000-0005-0000-0000-0000B9020000}"/>
    <cellStyle name="Currency [2] 2" xfId="1955" xr:uid="{00000000-0005-0000-0000-0000BA020000}"/>
    <cellStyle name="Currency 2" xfId="376" xr:uid="{00000000-0005-0000-0000-0000BB020000}"/>
    <cellStyle name="Currency 2 10" xfId="1126" xr:uid="{00000000-0005-0000-0000-0000BC020000}"/>
    <cellStyle name="Currency 2 11" xfId="1642" xr:uid="{00000000-0005-0000-0000-0000BD020000}"/>
    <cellStyle name="Currency 2 2" xfId="377" xr:uid="{00000000-0005-0000-0000-0000BE020000}"/>
    <cellStyle name="Currency 2 2 2" xfId="1127" xr:uid="{00000000-0005-0000-0000-0000BF020000}"/>
    <cellStyle name="Currency 2 2 3" xfId="1128" xr:uid="{00000000-0005-0000-0000-0000C0020000}"/>
    <cellStyle name="Currency 2 2 4" xfId="1643" xr:uid="{00000000-0005-0000-0000-0000C1020000}"/>
    <cellStyle name="Currency 2 3" xfId="378" xr:uid="{00000000-0005-0000-0000-0000C2020000}"/>
    <cellStyle name="Currency 2 3 2" xfId="1129" xr:uid="{00000000-0005-0000-0000-0000C3020000}"/>
    <cellStyle name="Currency 2 3 3" xfId="1130" xr:uid="{00000000-0005-0000-0000-0000C4020000}"/>
    <cellStyle name="Currency 2 3 4" xfId="1644" xr:uid="{00000000-0005-0000-0000-0000C5020000}"/>
    <cellStyle name="Currency 2 4" xfId="379" xr:uid="{00000000-0005-0000-0000-0000C6020000}"/>
    <cellStyle name="Currency 2 4 2" xfId="1131" xr:uid="{00000000-0005-0000-0000-0000C7020000}"/>
    <cellStyle name="Currency 2 4 3" xfId="1132" xr:uid="{00000000-0005-0000-0000-0000C8020000}"/>
    <cellStyle name="Currency 2 4 4" xfId="1645" xr:uid="{00000000-0005-0000-0000-0000C9020000}"/>
    <cellStyle name="Currency 2 5" xfId="380" xr:uid="{00000000-0005-0000-0000-0000CA020000}"/>
    <cellStyle name="Currency 2 5 2" xfId="1133" xr:uid="{00000000-0005-0000-0000-0000CB020000}"/>
    <cellStyle name="Currency 2 5 3" xfId="1134" xr:uid="{00000000-0005-0000-0000-0000CC020000}"/>
    <cellStyle name="Currency 2 5 4" xfId="1646" xr:uid="{00000000-0005-0000-0000-0000CD020000}"/>
    <cellStyle name="Currency 2 6" xfId="381" xr:uid="{00000000-0005-0000-0000-0000CE020000}"/>
    <cellStyle name="Currency 2 6 2" xfId="1135" xr:uid="{00000000-0005-0000-0000-0000CF020000}"/>
    <cellStyle name="Currency 2 6 3" xfId="1136" xr:uid="{00000000-0005-0000-0000-0000D0020000}"/>
    <cellStyle name="Currency 2 6 4" xfId="1647" xr:uid="{00000000-0005-0000-0000-0000D1020000}"/>
    <cellStyle name="Currency 2 7" xfId="382" xr:uid="{00000000-0005-0000-0000-0000D2020000}"/>
    <cellStyle name="Currency 2 7 2" xfId="1137" xr:uid="{00000000-0005-0000-0000-0000D3020000}"/>
    <cellStyle name="Currency 2 7 3" xfId="1138" xr:uid="{00000000-0005-0000-0000-0000D4020000}"/>
    <cellStyle name="Currency 2 7 4" xfId="1648" xr:uid="{00000000-0005-0000-0000-0000D5020000}"/>
    <cellStyle name="Currency 2 8" xfId="383" xr:uid="{00000000-0005-0000-0000-0000D6020000}"/>
    <cellStyle name="Currency 2 8 2" xfId="1139" xr:uid="{00000000-0005-0000-0000-0000D7020000}"/>
    <cellStyle name="Currency 2 8 3" xfId="1140" xr:uid="{00000000-0005-0000-0000-0000D8020000}"/>
    <cellStyle name="Currency 2 8 4" xfId="1649" xr:uid="{00000000-0005-0000-0000-0000D9020000}"/>
    <cellStyle name="Currency 2 9" xfId="1141" xr:uid="{00000000-0005-0000-0000-0000DA020000}"/>
    <cellStyle name="Currency0" xfId="384" xr:uid="{00000000-0005-0000-0000-0000DB020000}"/>
    <cellStyle name="Currency0 2" xfId="1956" xr:uid="{00000000-0005-0000-0000-0000DC020000}"/>
    <cellStyle name="DATE" xfId="385" xr:uid="{00000000-0005-0000-0000-0000DD020000}"/>
    <cellStyle name="Date [mmm-yy]" xfId="386" xr:uid="{00000000-0005-0000-0000-0000DE020000}"/>
    <cellStyle name="Date 2" xfId="945" xr:uid="{00000000-0005-0000-0000-0000DF020000}"/>
    <cellStyle name="Date Short" xfId="1650" xr:uid="{00000000-0005-0000-0000-0000E0020000}"/>
    <cellStyle name="Date_Copiar de Saldos" xfId="1957" xr:uid="{00000000-0005-0000-0000-0000E1020000}"/>
    <cellStyle name="dsf" xfId="387" xr:uid="{00000000-0005-0000-0000-0000E2020000}"/>
    <cellStyle name="dsf 2" xfId="1142" xr:uid="{00000000-0005-0000-0000-0000E3020000}"/>
    <cellStyle name="dsf 2 2" xfId="1202" xr:uid="{00000000-0005-0000-0000-0000E4020000}"/>
    <cellStyle name="dsf 3" xfId="1203" xr:uid="{00000000-0005-0000-0000-0000E5020000}"/>
    <cellStyle name="Emphasis 1" xfId="388" xr:uid="{00000000-0005-0000-0000-0000E6020000}"/>
    <cellStyle name="Emphasis 2" xfId="389" xr:uid="{00000000-0005-0000-0000-0000E7020000}"/>
    <cellStyle name="Emphasis 3" xfId="390" xr:uid="{00000000-0005-0000-0000-0000E8020000}"/>
    <cellStyle name="Ênfase1" xfId="1651" xr:uid="{00000000-0005-0000-0000-0000E9020000}"/>
    <cellStyle name="Ênfase2" xfId="1652" xr:uid="{00000000-0005-0000-0000-0000EA020000}"/>
    <cellStyle name="Ênfase3" xfId="1653" xr:uid="{00000000-0005-0000-0000-0000EB020000}"/>
    <cellStyle name="Ênfase4" xfId="1654" xr:uid="{00000000-0005-0000-0000-0000EC020000}"/>
    <cellStyle name="Ênfase5" xfId="1655" xr:uid="{00000000-0005-0000-0000-0000ED020000}"/>
    <cellStyle name="Ênfase6" xfId="1656" xr:uid="{00000000-0005-0000-0000-0000EE020000}"/>
    <cellStyle name="Enter Currency (0)" xfId="1657" xr:uid="{00000000-0005-0000-0000-0000EF020000}"/>
    <cellStyle name="Enter Currency (2)" xfId="1658" xr:uid="{00000000-0005-0000-0000-0000F0020000}"/>
    <cellStyle name="Enter Units (0)" xfId="1659" xr:uid="{00000000-0005-0000-0000-0000F1020000}"/>
    <cellStyle name="Enter Units (1)" xfId="1660" xr:uid="{00000000-0005-0000-0000-0000F2020000}"/>
    <cellStyle name="Enter Units (2)" xfId="1661" xr:uid="{00000000-0005-0000-0000-0000F3020000}"/>
    <cellStyle name="Entrada 10" xfId="391" xr:uid="{00000000-0005-0000-0000-0000F4020000}"/>
    <cellStyle name="Entrada 10 2" xfId="1662" xr:uid="{00000000-0005-0000-0000-0000F5020000}"/>
    <cellStyle name="Entrada 11" xfId="392" xr:uid="{00000000-0005-0000-0000-0000F6020000}"/>
    <cellStyle name="Entrada 11 2" xfId="1663" xr:uid="{00000000-0005-0000-0000-0000F7020000}"/>
    <cellStyle name="Entrada 2" xfId="393" xr:uid="{00000000-0005-0000-0000-0000F8020000}"/>
    <cellStyle name="Entrada 2 10" xfId="394" xr:uid="{00000000-0005-0000-0000-0000F9020000}"/>
    <cellStyle name="Entrada 2 11" xfId="395" xr:uid="{00000000-0005-0000-0000-0000FA020000}"/>
    <cellStyle name="Entrada 2 12" xfId="946" xr:uid="{00000000-0005-0000-0000-0000FB020000}"/>
    <cellStyle name="Entrada 2 13" xfId="1143" xr:uid="{00000000-0005-0000-0000-0000FC020000}"/>
    <cellStyle name="Entrada 2 2" xfId="396" xr:uid="{00000000-0005-0000-0000-0000FD020000}"/>
    <cellStyle name="Entrada 2 2 2" xfId="947" xr:uid="{00000000-0005-0000-0000-0000FE020000}"/>
    <cellStyle name="Entrada 2 3" xfId="397" xr:uid="{00000000-0005-0000-0000-0000FF020000}"/>
    <cellStyle name="Entrada 2 3 2" xfId="948" xr:uid="{00000000-0005-0000-0000-000000030000}"/>
    <cellStyle name="Entrada 2 4" xfId="398" xr:uid="{00000000-0005-0000-0000-000001030000}"/>
    <cellStyle name="Entrada 2 4 2" xfId="949" xr:uid="{00000000-0005-0000-0000-000002030000}"/>
    <cellStyle name="Entrada 2 5" xfId="399" xr:uid="{00000000-0005-0000-0000-000003030000}"/>
    <cellStyle name="Entrada 2 6" xfId="400" xr:uid="{00000000-0005-0000-0000-000004030000}"/>
    <cellStyle name="Entrada 2 7" xfId="401" xr:uid="{00000000-0005-0000-0000-000005030000}"/>
    <cellStyle name="Entrada 2 8" xfId="402" xr:uid="{00000000-0005-0000-0000-000006030000}"/>
    <cellStyle name="Entrada 2 9" xfId="403" xr:uid="{00000000-0005-0000-0000-000007030000}"/>
    <cellStyle name="Entrada 2_DGO" xfId="1664" xr:uid="{00000000-0005-0000-0000-000008030000}"/>
    <cellStyle name="Entrada 3" xfId="404" xr:uid="{00000000-0005-0000-0000-000009030000}"/>
    <cellStyle name="Entrada 4" xfId="405" xr:uid="{00000000-0005-0000-0000-00000A030000}"/>
    <cellStyle name="Entrada 5" xfId="406" xr:uid="{00000000-0005-0000-0000-00000B030000}"/>
    <cellStyle name="Entrada 5 2" xfId="1665" xr:uid="{00000000-0005-0000-0000-00000C030000}"/>
    <cellStyle name="Entrada 6" xfId="407" xr:uid="{00000000-0005-0000-0000-00000D030000}"/>
    <cellStyle name="Entrada 6 2" xfId="1666" xr:uid="{00000000-0005-0000-0000-00000E030000}"/>
    <cellStyle name="Entrada 7" xfId="408" xr:uid="{00000000-0005-0000-0000-00000F030000}"/>
    <cellStyle name="Entrada 7 2" xfId="1667" xr:uid="{00000000-0005-0000-0000-000010030000}"/>
    <cellStyle name="Entrada 8" xfId="409" xr:uid="{00000000-0005-0000-0000-000011030000}"/>
    <cellStyle name="Entrada 8 2" xfId="1668" xr:uid="{00000000-0005-0000-0000-000012030000}"/>
    <cellStyle name="Entrada 9" xfId="410" xr:uid="{00000000-0005-0000-0000-000013030000}"/>
    <cellStyle name="Entrada 9 2" xfId="1669" xr:uid="{00000000-0005-0000-0000-000014030000}"/>
    <cellStyle name="Estilo 1" xfId="411" xr:uid="{00000000-0005-0000-0000-000015030000}"/>
    <cellStyle name="Estilo 1 10" xfId="412" xr:uid="{00000000-0005-0000-0000-000016030000}"/>
    <cellStyle name="Estilo 1 10 2" xfId="1958" xr:uid="{00000000-0005-0000-0000-000017030000}"/>
    <cellStyle name="Estilo 1 11" xfId="413" xr:uid="{00000000-0005-0000-0000-000018030000}"/>
    <cellStyle name="Estilo 1 11 2" xfId="1959" xr:uid="{00000000-0005-0000-0000-000019030000}"/>
    <cellStyle name="Estilo 1 12" xfId="414" xr:uid="{00000000-0005-0000-0000-00001A030000}"/>
    <cellStyle name="Estilo 1 12 2" xfId="1960" xr:uid="{00000000-0005-0000-0000-00001B030000}"/>
    <cellStyle name="Estilo 1 13" xfId="950" xr:uid="{00000000-0005-0000-0000-00001C030000}"/>
    <cellStyle name="Estilo 1 13 2" xfId="1961" xr:uid="{00000000-0005-0000-0000-00001D030000}"/>
    <cellStyle name="Estilo 1 2" xfId="415" xr:uid="{00000000-0005-0000-0000-00001E030000}"/>
    <cellStyle name="Estilo 1 2 2" xfId="1962" xr:uid="{00000000-0005-0000-0000-00001F030000}"/>
    <cellStyle name="Estilo 1 3" xfId="416" xr:uid="{00000000-0005-0000-0000-000020030000}"/>
    <cellStyle name="Estilo 1 3 2" xfId="1963" xr:uid="{00000000-0005-0000-0000-000021030000}"/>
    <cellStyle name="Estilo 1 4" xfId="417" xr:uid="{00000000-0005-0000-0000-000022030000}"/>
    <cellStyle name="Estilo 1 4 2" xfId="1964" xr:uid="{00000000-0005-0000-0000-000023030000}"/>
    <cellStyle name="Estilo 1 5" xfId="418" xr:uid="{00000000-0005-0000-0000-000024030000}"/>
    <cellStyle name="Estilo 1 5 2" xfId="1965" xr:uid="{00000000-0005-0000-0000-000025030000}"/>
    <cellStyle name="Estilo 1 6" xfId="419" xr:uid="{00000000-0005-0000-0000-000026030000}"/>
    <cellStyle name="Estilo 1 6 2" xfId="1966" xr:uid="{00000000-0005-0000-0000-000027030000}"/>
    <cellStyle name="Estilo 1 7" xfId="420" xr:uid="{00000000-0005-0000-0000-000028030000}"/>
    <cellStyle name="Estilo 1 7 2" xfId="1967" xr:uid="{00000000-0005-0000-0000-000029030000}"/>
    <cellStyle name="Estilo 1 8" xfId="421" xr:uid="{00000000-0005-0000-0000-00002A030000}"/>
    <cellStyle name="Estilo 1 8 2" xfId="1968" xr:uid="{00000000-0005-0000-0000-00002B030000}"/>
    <cellStyle name="Estilo 1 9" xfId="422" xr:uid="{00000000-0005-0000-0000-00002C030000}"/>
    <cellStyle name="Estilo 1 9 2" xfId="1969" xr:uid="{00000000-0005-0000-0000-00002D030000}"/>
    <cellStyle name="Estilo 1_Livro1" xfId="1670" xr:uid="{00000000-0005-0000-0000-00002E030000}"/>
    <cellStyle name="Euro" xfId="423" xr:uid="{00000000-0005-0000-0000-00002F030000}"/>
    <cellStyle name="Euro 2" xfId="424" xr:uid="{00000000-0005-0000-0000-000030030000}"/>
    <cellStyle name="Euro 2 10" xfId="2324" xr:uid="{00000000-0005-0000-0000-000031030000}"/>
    <cellStyle name="Euro 2 11" xfId="2336" xr:uid="{00000000-0005-0000-0000-000032030000}"/>
    <cellStyle name="Euro 2 12" xfId="2347" xr:uid="{00000000-0005-0000-0000-000033030000}"/>
    <cellStyle name="Euro 2 13" xfId="2358" xr:uid="{00000000-0005-0000-0000-000034030000}"/>
    <cellStyle name="Euro 2 14" xfId="2378" xr:uid="{00000000-0005-0000-0000-000035030000}"/>
    <cellStyle name="Euro 2 15" xfId="2413" xr:uid="{00000000-0005-0000-0000-000036030000}"/>
    <cellStyle name="Euro 2 16" xfId="2448" xr:uid="{00000000-0005-0000-0000-000037030000}"/>
    <cellStyle name="Euro 2 17" xfId="2483" xr:uid="{00000000-0005-0000-0000-000038030000}"/>
    <cellStyle name="Euro 2 18" xfId="2518" xr:uid="{00000000-0005-0000-0000-000039030000}"/>
    <cellStyle name="Euro 2 19" xfId="2552" xr:uid="{00000000-0005-0000-0000-00003A030000}"/>
    <cellStyle name="Euro 2 2" xfId="425" xr:uid="{00000000-0005-0000-0000-00003B030000}"/>
    <cellStyle name="Euro 2 2 10" xfId="2359" xr:uid="{00000000-0005-0000-0000-00003C030000}"/>
    <cellStyle name="Euro 2 2 11" xfId="2379" xr:uid="{00000000-0005-0000-0000-00003D030000}"/>
    <cellStyle name="Euro 2 2 12" xfId="2414" xr:uid="{00000000-0005-0000-0000-00003E030000}"/>
    <cellStyle name="Euro 2 2 13" xfId="2449" xr:uid="{00000000-0005-0000-0000-00003F030000}"/>
    <cellStyle name="Euro 2 2 14" xfId="2484" xr:uid="{00000000-0005-0000-0000-000040030000}"/>
    <cellStyle name="Euro 2 2 15" xfId="2519" xr:uid="{00000000-0005-0000-0000-000041030000}"/>
    <cellStyle name="Euro 2 2 16" xfId="2553" xr:uid="{00000000-0005-0000-0000-000042030000}"/>
    <cellStyle name="Euro 2 2 17" xfId="2588" xr:uid="{00000000-0005-0000-0000-000043030000}"/>
    <cellStyle name="Euro 2 2 18" xfId="2624" xr:uid="{00000000-0005-0000-0000-000044030000}"/>
    <cellStyle name="Euro 2 2 19" xfId="2659" xr:uid="{00000000-0005-0000-0000-000084010000}"/>
    <cellStyle name="Euro 2 2 2" xfId="1144" xr:uid="{00000000-0005-0000-0000-000045030000}"/>
    <cellStyle name="Euro 2 2 20" xfId="2694" xr:uid="{00000000-0005-0000-0000-000084010000}"/>
    <cellStyle name="Euro 2 2 3" xfId="2251" xr:uid="{00000000-0005-0000-0000-000046030000}"/>
    <cellStyle name="Euro 2 2 4" xfId="2264" xr:uid="{00000000-0005-0000-0000-000047030000}"/>
    <cellStyle name="Euro 2 2 5" xfId="2284" xr:uid="{00000000-0005-0000-0000-000048030000}"/>
    <cellStyle name="Euro 2 2 6" xfId="2311" xr:uid="{00000000-0005-0000-0000-000049030000}"/>
    <cellStyle name="Euro 2 2 7" xfId="2325" xr:uid="{00000000-0005-0000-0000-00004A030000}"/>
    <cellStyle name="Euro 2 2 8" xfId="2337" xr:uid="{00000000-0005-0000-0000-00004B030000}"/>
    <cellStyle name="Euro 2 2 9" xfId="2348" xr:uid="{00000000-0005-0000-0000-00004C030000}"/>
    <cellStyle name="Euro 2 20" xfId="2587" xr:uid="{00000000-0005-0000-0000-00004D030000}"/>
    <cellStyle name="Euro 2 21" xfId="2623" xr:uid="{00000000-0005-0000-0000-00004E030000}"/>
    <cellStyle name="Euro 2 22" xfId="2658" xr:uid="{00000000-0005-0000-0000-000083010000}"/>
    <cellStyle name="Euro 2 23" xfId="2693" xr:uid="{00000000-0005-0000-0000-000083010000}"/>
    <cellStyle name="Euro 2 3" xfId="426" xr:uid="{00000000-0005-0000-0000-00004F030000}"/>
    <cellStyle name="Euro 2 3 2" xfId="1970" xr:uid="{00000000-0005-0000-0000-000050030000}"/>
    <cellStyle name="Euro 2 4" xfId="427" xr:uid="{00000000-0005-0000-0000-000051030000}"/>
    <cellStyle name="Euro 2 4 2" xfId="1971" xr:uid="{00000000-0005-0000-0000-000052030000}"/>
    <cellStyle name="Euro 2 5" xfId="951" xr:uid="{00000000-0005-0000-0000-000053030000}"/>
    <cellStyle name="Euro 2 6" xfId="2250" xr:uid="{00000000-0005-0000-0000-000054030000}"/>
    <cellStyle name="Euro 2 7" xfId="2263" xr:uid="{00000000-0005-0000-0000-000055030000}"/>
    <cellStyle name="Euro 2 8" xfId="2283" xr:uid="{00000000-0005-0000-0000-000056030000}"/>
    <cellStyle name="Euro 2 9" xfId="2310" xr:uid="{00000000-0005-0000-0000-000057030000}"/>
    <cellStyle name="Euro 3" xfId="428" xr:uid="{00000000-0005-0000-0000-000058030000}"/>
    <cellStyle name="Euro 3 2" xfId="1972" xr:uid="{00000000-0005-0000-0000-000059030000}"/>
    <cellStyle name="Euro 4" xfId="429" xr:uid="{00000000-0005-0000-0000-00005A030000}"/>
    <cellStyle name="Euro 4 2" xfId="1973" xr:uid="{00000000-0005-0000-0000-00005B030000}"/>
    <cellStyle name="Euro 5" xfId="430" xr:uid="{00000000-0005-0000-0000-00005C030000}"/>
    <cellStyle name="Euro 5 2" xfId="1974" xr:uid="{00000000-0005-0000-0000-00005D030000}"/>
    <cellStyle name="Euro 6" xfId="431" xr:uid="{00000000-0005-0000-0000-00005E030000}"/>
    <cellStyle name="Euro 6 2" xfId="1975" xr:uid="{00000000-0005-0000-0000-00005F030000}"/>
    <cellStyle name="Euro_07_05_22 SEMENTES COLZA ROMÉNIA" xfId="432" xr:uid="{00000000-0005-0000-0000-000060030000}"/>
    <cellStyle name="Exception" xfId="433" xr:uid="{00000000-0005-0000-0000-000061030000}"/>
    <cellStyle name="Explanatory Text" xfId="434" xr:uid="{00000000-0005-0000-0000-000062030000}"/>
    <cellStyle name="Feeder Field" xfId="435" xr:uid="{00000000-0005-0000-0000-000063030000}"/>
    <cellStyle name="FIXED" xfId="436" xr:uid="{00000000-0005-0000-0000-000064030000}"/>
    <cellStyle name="Fixed 2" xfId="952" xr:uid="{00000000-0005-0000-0000-000065030000}"/>
    <cellStyle name="Good" xfId="437" xr:uid="{00000000-0005-0000-0000-000066030000}"/>
    <cellStyle name="Good 2" xfId="953" xr:uid="{00000000-0005-0000-0000-000067030000}"/>
    <cellStyle name="Grey" xfId="438" xr:uid="{00000000-0005-0000-0000-000068030000}"/>
    <cellStyle name="Grey 2" xfId="1976" xr:uid="{00000000-0005-0000-0000-000069030000}"/>
    <cellStyle name="Greyed out" xfId="439" xr:uid="{00000000-0005-0000-0000-00006A030000}"/>
    <cellStyle name="Header1" xfId="1671" xr:uid="{00000000-0005-0000-0000-00006B030000}"/>
    <cellStyle name="Header2" xfId="1672" xr:uid="{00000000-0005-0000-0000-00006C030000}"/>
    <cellStyle name="Heading 1" xfId="954" xr:uid="{00000000-0005-0000-0000-00006D030000}"/>
    <cellStyle name="Heading 1 2" xfId="1145" xr:uid="{00000000-0005-0000-0000-00006E030000}"/>
    <cellStyle name="Heading 2" xfId="441" xr:uid="{00000000-0005-0000-0000-00006F030000}"/>
    <cellStyle name="Heading 2 2" xfId="955" xr:uid="{00000000-0005-0000-0000-000070030000}"/>
    <cellStyle name="Heading 3" xfId="442" xr:uid="{00000000-0005-0000-0000-000071030000}"/>
    <cellStyle name="Heading 3 2" xfId="956" xr:uid="{00000000-0005-0000-0000-000072030000}"/>
    <cellStyle name="Heading 4" xfId="443" xr:uid="{00000000-0005-0000-0000-000073030000}"/>
    <cellStyle name="Heading 4 2" xfId="957" xr:uid="{00000000-0005-0000-0000-000074030000}"/>
    <cellStyle name="HEADING1" xfId="444" xr:uid="{00000000-0005-0000-0000-000075030000}"/>
    <cellStyle name="Heading1 2" xfId="958" xr:uid="{00000000-0005-0000-0000-000076030000}"/>
    <cellStyle name="HEADING2" xfId="445" xr:uid="{00000000-0005-0000-0000-000077030000}"/>
    <cellStyle name="Heading2 2" xfId="959" xr:uid="{00000000-0005-0000-0000-000078030000}"/>
    <cellStyle name="Hiperligação" xfId="2308" builtinId="8"/>
    <cellStyle name="Hiperligação 2" xfId="446" xr:uid="{00000000-0005-0000-0000-00007A030000}"/>
    <cellStyle name="Hiperligação 2 2" xfId="447" xr:uid="{00000000-0005-0000-0000-00007B030000}"/>
    <cellStyle name="Hiperligação 2 2 2" xfId="960" xr:uid="{00000000-0005-0000-0000-00007C030000}"/>
    <cellStyle name="Hiperligação 2 3" xfId="961" xr:uid="{00000000-0005-0000-0000-00007D030000}"/>
    <cellStyle name="Hiperligação 2 3 2" xfId="1673" xr:uid="{00000000-0005-0000-0000-00007E030000}"/>
    <cellStyle name="Hiperligação 2 4" xfId="962" xr:uid="{00000000-0005-0000-0000-00007F030000}"/>
    <cellStyle name="Hiperligação 2 4 2" xfId="1674" xr:uid="{00000000-0005-0000-0000-000080030000}"/>
    <cellStyle name="Hiperligação 2 5" xfId="963" xr:uid="{00000000-0005-0000-0000-000081030000}"/>
    <cellStyle name="Hiperligação 2 5 2" xfId="1675" xr:uid="{00000000-0005-0000-0000-000082030000}"/>
    <cellStyle name="Hiperligação 2 6" xfId="964" xr:uid="{00000000-0005-0000-0000-000083030000}"/>
    <cellStyle name="Hiperligação 2 6 2" xfId="1676" xr:uid="{00000000-0005-0000-0000-000084030000}"/>
    <cellStyle name="Hiperligação 2 7" xfId="965" xr:uid="{00000000-0005-0000-0000-000085030000}"/>
    <cellStyle name="Hiperligação 2 7 2" xfId="1677" xr:uid="{00000000-0005-0000-0000-000086030000}"/>
    <cellStyle name="Hiperligação 3" xfId="448" xr:uid="{00000000-0005-0000-0000-000087030000}"/>
    <cellStyle name="Hiperligação 3 2" xfId="1678" xr:uid="{00000000-0005-0000-0000-000088030000}"/>
    <cellStyle name="Hiperligação 4" xfId="449" xr:uid="{00000000-0005-0000-0000-000089030000}"/>
    <cellStyle name="Hiperligação 4 2" xfId="1679" xr:uid="{00000000-0005-0000-0000-00008A030000}"/>
    <cellStyle name="Hyperlink 2" xfId="450" xr:uid="{00000000-0005-0000-0000-00008B030000}"/>
    <cellStyle name="Hyperlink 2 2" xfId="1680" xr:uid="{00000000-0005-0000-0000-00008C030000}"/>
    <cellStyle name="Hyperlink_3.ind_pobreza" xfId="1681" xr:uid="{00000000-0005-0000-0000-00008D030000}"/>
    <cellStyle name="Incorrecto 2" xfId="451" xr:uid="{00000000-0005-0000-0000-00008E030000}"/>
    <cellStyle name="Incorrecto 3" xfId="452" xr:uid="{00000000-0005-0000-0000-00008F030000}"/>
    <cellStyle name="Incorrecto 4" xfId="453" xr:uid="{00000000-0005-0000-0000-000090030000}"/>
    <cellStyle name="Incorreto 2" xfId="1682" xr:uid="{00000000-0005-0000-0000-000091030000}"/>
    <cellStyle name="Input" xfId="454" xr:uid="{00000000-0005-0000-0000-000092030000}"/>
    <cellStyle name="Input [yellow]" xfId="1683" xr:uid="{00000000-0005-0000-0000-000093030000}"/>
    <cellStyle name="Input [yellow] 2" xfId="1977" xr:uid="{00000000-0005-0000-0000-000094030000}"/>
    <cellStyle name="Input 1" xfId="455" xr:uid="{00000000-0005-0000-0000-000095030000}"/>
    <cellStyle name="Input 2" xfId="456" xr:uid="{00000000-0005-0000-0000-000096030000}"/>
    <cellStyle name="Input 2 2" xfId="967" xr:uid="{00000000-0005-0000-0000-000097030000}"/>
    <cellStyle name="Input 2 2 2" xfId="1146" xr:uid="{00000000-0005-0000-0000-000098030000}"/>
    <cellStyle name="Input 2 3" xfId="1147" xr:uid="{00000000-0005-0000-0000-000099030000}"/>
    <cellStyle name="Input 3" xfId="968" xr:uid="{00000000-0005-0000-0000-00009A030000}"/>
    <cellStyle name="Input 4" xfId="969" xr:uid="{00000000-0005-0000-0000-00009B030000}"/>
    <cellStyle name="Input 5" xfId="966" xr:uid="{00000000-0005-0000-0000-00009C030000}"/>
    <cellStyle name="Input 5 2" xfId="1148" xr:uid="{00000000-0005-0000-0000-00009D030000}"/>
    <cellStyle name="Input 6" xfId="1149" xr:uid="{00000000-0005-0000-0000-00009E030000}"/>
    <cellStyle name="Input Date" xfId="457" xr:uid="{00000000-0005-0000-0000-00009F030000}"/>
    <cellStyle name="Input Date 2" xfId="1978" xr:uid="{00000000-0005-0000-0000-0000A0030000}"/>
    <cellStyle name="Input Normal" xfId="458" xr:uid="{00000000-0005-0000-0000-0000A1030000}"/>
    <cellStyle name="Input Normal 2" xfId="1979" xr:uid="{00000000-0005-0000-0000-0000A2030000}"/>
    <cellStyle name="Input Percent" xfId="459" xr:uid="{00000000-0005-0000-0000-0000A3030000}"/>
    <cellStyle name="Input Percent [2]" xfId="460" xr:uid="{00000000-0005-0000-0000-0000A4030000}"/>
    <cellStyle name="Input Percent [2] 2" xfId="1980" xr:uid="{00000000-0005-0000-0000-0000A5030000}"/>
    <cellStyle name="Input Percent 2" xfId="1981" xr:uid="{00000000-0005-0000-0000-0000A6030000}"/>
    <cellStyle name="Input_baselimpa_para_nuno" xfId="1684" xr:uid="{00000000-0005-0000-0000-0000A7030000}"/>
    <cellStyle name="LineBottom2" xfId="970" xr:uid="{00000000-0005-0000-0000-0000A8030000}"/>
    <cellStyle name="Link Currency (0)" xfId="1685" xr:uid="{00000000-0005-0000-0000-0000A9030000}"/>
    <cellStyle name="Link Currency (2)" xfId="1686" xr:uid="{00000000-0005-0000-0000-0000AA030000}"/>
    <cellStyle name="Link Units (0)" xfId="1687" xr:uid="{00000000-0005-0000-0000-0000AB030000}"/>
    <cellStyle name="Link Units (1)" xfId="1688" xr:uid="{00000000-0005-0000-0000-0000AC030000}"/>
    <cellStyle name="Link Units (2)" xfId="1689" xr:uid="{00000000-0005-0000-0000-0000AD030000}"/>
    <cellStyle name="Linked Cell" xfId="461" xr:uid="{00000000-0005-0000-0000-0000AE030000}"/>
    <cellStyle name="Linked Cell 2" xfId="971" xr:uid="{00000000-0005-0000-0000-0000AF030000}"/>
    <cellStyle name="Millares_CALDERA.XLC" xfId="462" xr:uid="{00000000-0005-0000-0000-0000B0030000}"/>
    <cellStyle name="Moeda 2" xfId="463" xr:uid="{00000000-0005-0000-0000-0000B1030000}"/>
    <cellStyle name="Moeda 2 2" xfId="464" xr:uid="{00000000-0005-0000-0000-0000B2030000}"/>
    <cellStyle name="Moeda 2 2 10" xfId="2326" xr:uid="{00000000-0005-0000-0000-0000B3030000}"/>
    <cellStyle name="Moeda 2 2 11" xfId="2338" xr:uid="{00000000-0005-0000-0000-0000B4030000}"/>
    <cellStyle name="Moeda 2 2 12" xfId="2349" xr:uid="{00000000-0005-0000-0000-0000B5030000}"/>
    <cellStyle name="Moeda 2 2 13" xfId="2360" xr:uid="{00000000-0005-0000-0000-0000B6030000}"/>
    <cellStyle name="Moeda 2 2 14" xfId="2380" xr:uid="{00000000-0005-0000-0000-0000B7030000}"/>
    <cellStyle name="Moeda 2 2 15" xfId="2415" xr:uid="{00000000-0005-0000-0000-0000B8030000}"/>
    <cellStyle name="Moeda 2 2 16" xfId="2450" xr:uid="{00000000-0005-0000-0000-0000B9030000}"/>
    <cellStyle name="Moeda 2 2 17" xfId="2485" xr:uid="{00000000-0005-0000-0000-0000BA030000}"/>
    <cellStyle name="Moeda 2 2 18" xfId="2520" xr:uid="{00000000-0005-0000-0000-0000BB030000}"/>
    <cellStyle name="Moeda 2 2 19" xfId="2554" xr:uid="{00000000-0005-0000-0000-0000BC030000}"/>
    <cellStyle name="Moeda 2 2 2" xfId="1151" xr:uid="{00000000-0005-0000-0000-0000BD030000}"/>
    <cellStyle name="Moeda 2 2 20" xfId="2589" xr:uid="{00000000-0005-0000-0000-0000BE030000}"/>
    <cellStyle name="Moeda 2 2 21" xfId="2625" xr:uid="{00000000-0005-0000-0000-0000BF030000}"/>
    <cellStyle name="Moeda 2 2 22" xfId="2660" xr:uid="{00000000-0005-0000-0000-0000AB010000}"/>
    <cellStyle name="Moeda 2 2 23" xfId="2695" xr:uid="{00000000-0005-0000-0000-0000AB010000}"/>
    <cellStyle name="Moeda 2 2 3" xfId="1152" xr:uid="{00000000-0005-0000-0000-0000C0030000}"/>
    <cellStyle name="Moeda 2 2 4" xfId="1690" xr:uid="{00000000-0005-0000-0000-0000C1030000}"/>
    <cellStyle name="Moeda 2 2 5" xfId="1150" xr:uid="{00000000-0005-0000-0000-0000C2030000}"/>
    <cellStyle name="Moeda 2 2 6" xfId="2252" xr:uid="{00000000-0005-0000-0000-0000C3030000}"/>
    <cellStyle name="Moeda 2 2 7" xfId="2265" xr:uid="{00000000-0005-0000-0000-0000C4030000}"/>
    <cellStyle name="Moeda 2 2 8" xfId="2285" xr:uid="{00000000-0005-0000-0000-0000C5030000}"/>
    <cellStyle name="Moeda 2 2 9" xfId="2312" xr:uid="{00000000-0005-0000-0000-0000C6030000}"/>
    <cellStyle name="Moeda 2 3" xfId="1982" xr:uid="{00000000-0005-0000-0000-0000C7030000}"/>
    <cellStyle name="Moeda 3" xfId="465" xr:uid="{00000000-0005-0000-0000-0000C8030000}"/>
    <cellStyle name="Moeda 3 10" xfId="2327" xr:uid="{00000000-0005-0000-0000-0000C9030000}"/>
    <cellStyle name="Moeda 3 11" xfId="2339" xr:uid="{00000000-0005-0000-0000-0000CA030000}"/>
    <cellStyle name="Moeda 3 12" xfId="2350" xr:uid="{00000000-0005-0000-0000-0000CB030000}"/>
    <cellStyle name="Moeda 3 13" xfId="2361" xr:uid="{00000000-0005-0000-0000-0000CC030000}"/>
    <cellStyle name="Moeda 3 14" xfId="2381" xr:uid="{00000000-0005-0000-0000-0000CD030000}"/>
    <cellStyle name="Moeda 3 15" xfId="2416" xr:uid="{00000000-0005-0000-0000-0000CE030000}"/>
    <cellStyle name="Moeda 3 16" xfId="2451" xr:uid="{00000000-0005-0000-0000-0000CF030000}"/>
    <cellStyle name="Moeda 3 17" xfId="2486" xr:uid="{00000000-0005-0000-0000-0000D0030000}"/>
    <cellStyle name="Moeda 3 18" xfId="2521" xr:uid="{00000000-0005-0000-0000-0000D1030000}"/>
    <cellStyle name="Moeda 3 19" xfId="2555" xr:uid="{00000000-0005-0000-0000-0000D2030000}"/>
    <cellStyle name="Moeda 3 2" xfId="1154" xr:uid="{00000000-0005-0000-0000-0000D3030000}"/>
    <cellStyle name="Moeda 3 20" xfId="2590" xr:uid="{00000000-0005-0000-0000-0000D4030000}"/>
    <cellStyle name="Moeda 3 21" xfId="2626" xr:uid="{00000000-0005-0000-0000-0000D5030000}"/>
    <cellStyle name="Moeda 3 22" xfId="2661" xr:uid="{00000000-0005-0000-0000-0000AC010000}"/>
    <cellStyle name="Moeda 3 23" xfId="2696" xr:uid="{00000000-0005-0000-0000-0000AC010000}"/>
    <cellStyle name="Moeda 3 3" xfId="1155" xr:uid="{00000000-0005-0000-0000-0000D6030000}"/>
    <cellStyle name="Moeda 3 4" xfId="1691" xr:uid="{00000000-0005-0000-0000-0000D7030000}"/>
    <cellStyle name="Moeda 3 5" xfId="1153" xr:uid="{00000000-0005-0000-0000-0000D8030000}"/>
    <cellStyle name="Moeda 3 6" xfId="2253" xr:uid="{00000000-0005-0000-0000-0000D9030000}"/>
    <cellStyle name="Moeda 3 7" xfId="2266" xr:uid="{00000000-0005-0000-0000-0000DA030000}"/>
    <cellStyle name="Moeda 3 8" xfId="2286" xr:uid="{00000000-0005-0000-0000-0000DB030000}"/>
    <cellStyle name="Moeda 3 9" xfId="2313" xr:uid="{00000000-0005-0000-0000-0000DC030000}"/>
    <cellStyle name="Moeda 6" xfId="466" xr:uid="{00000000-0005-0000-0000-0000DD030000}"/>
    <cellStyle name="Moeda 6 10" xfId="2351" xr:uid="{00000000-0005-0000-0000-0000DE030000}"/>
    <cellStyle name="Moeda 6 11" xfId="2362" xr:uid="{00000000-0005-0000-0000-0000DF030000}"/>
    <cellStyle name="Moeda 6 12" xfId="2382" xr:uid="{00000000-0005-0000-0000-0000E0030000}"/>
    <cellStyle name="Moeda 6 13" xfId="2417" xr:uid="{00000000-0005-0000-0000-0000E1030000}"/>
    <cellStyle name="Moeda 6 14" xfId="2452" xr:uid="{00000000-0005-0000-0000-0000E2030000}"/>
    <cellStyle name="Moeda 6 15" xfId="2487" xr:uid="{00000000-0005-0000-0000-0000E3030000}"/>
    <cellStyle name="Moeda 6 16" xfId="2522" xr:uid="{00000000-0005-0000-0000-0000E4030000}"/>
    <cellStyle name="Moeda 6 17" xfId="2556" xr:uid="{00000000-0005-0000-0000-0000E5030000}"/>
    <cellStyle name="Moeda 6 18" xfId="2591" xr:uid="{00000000-0005-0000-0000-0000E6030000}"/>
    <cellStyle name="Moeda 6 19" xfId="2627" xr:uid="{00000000-0005-0000-0000-0000E7030000}"/>
    <cellStyle name="Moeda 6 2" xfId="1983" xr:uid="{00000000-0005-0000-0000-0000E8030000}"/>
    <cellStyle name="Moeda 6 20" xfId="2662" xr:uid="{00000000-0005-0000-0000-0000AD010000}"/>
    <cellStyle name="Moeda 6 21" xfId="2697" xr:uid="{00000000-0005-0000-0000-0000AD010000}"/>
    <cellStyle name="Moeda 6 3" xfId="1156" xr:uid="{00000000-0005-0000-0000-0000E9030000}"/>
    <cellStyle name="Moeda 6 4" xfId="2254" xr:uid="{00000000-0005-0000-0000-0000EA030000}"/>
    <cellStyle name="Moeda 6 5" xfId="2267" xr:uid="{00000000-0005-0000-0000-0000EB030000}"/>
    <cellStyle name="Moeda 6 6" xfId="2287" xr:uid="{00000000-0005-0000-0000-0000EC030000}"/>
    <cellStyle name="Moeda 6 7" xfId="2314" xr:uid="{00000000-0005-0000-0000-0000ED030000}"/>
    <cellStyle name="Moeda 6 8" xfId="2328" xr:uid="{00000000-0005-0000-0000-0000EE030000}"/>
    <cellStyle name="Moeda 6 9" xfId="2340" xr:uid="{00000000-0005-0000-0000-0000EF030000}"/>
    <cellStyle name="Moeda 7" xfId="467" xr:uid="{00000000-0005-0000-0000-0000F0030000}"/>
    <cellStyle name="Moeda 7 10" xfId="2352" xr:uid="{00000000-0005-0000-0000-0000F1030000}"/>
    <cellStyle name="Moeda 7 11" xfId="2363" xr:uid="{00000000-0005-0000-0000-0000F2030000}"/>
    <cellStyle name="Moeda 7 12" xfId="2383" xr:uid="{00000000-0005-0000-0000-0000F3030000}"/>
    <cellStyle name="Moeda 7 13" xfId="2418" xr:uid="{00000000-0005-0000-0000-0000F4030000}"/>
    <cellStyle name="Moeda 7 14" xfId="2453" xr:uid="{00000000-0005-0000-0000-0000F5030000}"/>
    <cellStyle name="Moeda 7 15" xfId="2488" xr:uid="{00000000-0005-0000-0000-0000F6030000}"/>
    <cellStyle name="Moeda 7 16" xfId="2523" xr:uid="{00000000-0005-0000-0000-0000F7030000}"/>
    <cellStyle name="Moeda 7 17" xfId="2557" xr:uid="{00000000-0005-0000-0000-0000F8030000}"/>
    <cellStyle name="Moeda 7 18" xfId="2592" xr:uid="{00000000-0005-0000-0000-0000F9030000}"/>
    <cellStyle name="Moeda 7 19" xfId="2628" xr:uid="{00000000-0005-0000-0000-0000FA030000}"/>
    <cellStyle name="Moeda 7 2" xfId="1984" xr:uid="{00000000-0005-0000-0000-0000FB030000}"/>
    <cellStyle name="Moeda 7 20" xfId="2663" xr:uid="{00000000-0005-0000-0000-0000AE010000}"/>
    <cellStyle name="Moeda 7 21" xfId="2698" xr:uid="{00000000-0005-0000-0000-0000AE010000}"/>
    <cellStyle name="Moeda 7 3" xfId="1157" xr:uid="{00000000-0005-0000-0000-0000FC030000}"/>
    <cellStyle name="Moeda 7 4" xfId="2255" xr:uid="{00000000-0005-0000-0000-0000FD030000}"/>
    <cellStyle name="Moeda 7 5" xfId="2268" xr:uid="{00000000-0005-0000-0000-0000FE030000}"/>
    <cellStyle name="Moeda 7 6" xfId="2288" xr:uid="{00000000-0005-0000-0000-0000FF030000}"/>
    <cellStyle name="Moeda 7 7" xfId="2315" xr:uid="{00000000-0005-0000-0000-000000040000}"/>
    <cellStyle name="Moeda 7 8" xfId="2329" xr:uid="{00000000-0005-0000-0000-000001040000}"/>
    <cellStyle name="Moeda 7 9" xfId="2341" xr:uid="{00000000-0005-0000-0000-000002040000}"/>
    <cellStyle name="Moeda 8" xfId="1470" xr:uid="{00000000-0005-0000-0000-000003040000}"/>
    <cellStyle name="Moeda 9" xfId="468" xr:uid="{00000000-0005-0000-0000-000004040000}"/>
    <cellStyle name="Moeda 9 10" xfId="2353" xr:uid="{00000000-0005-0000-0000-000005040000}"/>
    <cellStyle name="Moeda 9 11" xfId="2364" xr:uid="{00000000-0005-0000-0000-000006040000}"/>
    <cellStyle name="Moeda 9 12" xfId="2384" xr:uid="{00000000-0005-0000-0000-000007040000}"/>
    <cellStyle name="Moeda 9 13" xfId="2419" xr:uid="{00000000-0005-0000-0000-000008040000}"/>
    <cellStyle name="Moeda 9 14" xfId="2454" xr:uid="{00000000-0005-0000-0000-000009040000}"/>
    <cellStyle name="Moeda 9 15" xfId="2489" xr:uid="{00000000-0005-0000-0000-00000A040000}"/>
    <cellStyle name="Moeda 9 16" xfId="2524" xr:uid="{00000000-0005-0000-0000-00000B040000}"/>
    <cellStyle name="Moeda 9 17" xfId="2558" xr:uid="{00000000-0005-0000-0000-00000C040000}"/>
    <cellStyle name="Moeda 9 18" xfId="2593" xr:uid="{00000000-0005-0000-0000-00000D040000}"/>
    <cellStyle name="Moeda 9 19" xfId="2629" xr:uid="{00000000-0005-0000-0000-00000E040000}"/>
    <cellStyle name="Moeda 9 2" xfId="1985" xr:uid="{00000000-0005-0000-0000-00000F040000}"/>
    <cellStyle name="Moeda 9 20" xfId="2664" xr:uid="{00000000-0005-0000-0000-0000AF010000}"/>
    <cellStyle name="Moeda 9 21" xfId="2699" xr:uid="{00000000-0005-0000-0000-0000AF010000}"/>
    <cellStyle name="Moeda 9 3" xfId="1158" xr:uid="{00000000-0005-0000-0000-000010040000}"/>
    <cellStyle name="Moeda 9 4" xfId="2256" xr:uid="{00000000-0005-0000-0000-000011040000}"/>
    <cellStyle name="Moeda 9 5" xfId="2269" xr:uid="{00000000-0005-0000-0000-000012040000}"/>
    <cellStyle name="Moeda 9 6" xfId="2289" xr:uid="{00000000-0005-0000-0000-000013040000}"/>
    <cellStyle name="Moeda 9 7" xfId="2316" xr:uid="{00000000-0005-0000-0000-000014040000}"/>
    <cellStyle name="Moeda 9 8" xfId="2330" xr:uid="{00000000-0005-0000-0000-000015040000}"/>
    <cellStyle name="Moeda 9 9" xfId="2342" xr:uid="{00000000-0005-0000-0000-000016040000}"/>
    <cellStyle name="Moneda_CALDERA.XLC" xfId="469" xr:uid="{00000000-0005-0000-0000-000017040000}"/>
    <cellStyle name="montantes" xfId="470" xr:uid="{00000000-0005-0000-0000-000018040000}"/>
    <cellStyle name="montantes 2" xfId="1986" xr:uid="{00000000-0005-0000-0000-000019040000}"/>
    <cellStyle name="Named Range" xfId="471" xr:uid="{00000000-0005-0000-0000-00001A040000}"/>
    <cellStyle name="Named Range Tag" xfId="472" xr:uid="{00000000-0005-0000-0000-00001B040000}"/>
    <cellStyle name="Neutra" xfId="1692" xr:uid="{00000000-0005-0000-0000-00001C040000}"/>
    <cellStyle name="Neutral" xfId="473" xr:uid="{00000000-0005-0000-0000-00001D040000}"/>
    <cellStyle name="Neutro 2" xfId="474" xr:uid="{00000000-0005-0000-0000-00001E040000}"/>
    <cellStyle name="Neutro 2 2" xfId="972" xr:uid="{00000000-0005-0000-0000-00001F040000}"/>
    <cellStyle name="Neutro 3" xfId="475" xr:uid="{00000000-0005-0000-0000-000020040000}"/>
    <cellStyle name="Neutro 4" xfId="476" xr:uid="{00000000-0005-0000-0000-000021040000}"/>
    <cellStyle name="No-definido" xfId="1693" xr:uid="{00000000-0005-0000-0000-000022040000}"/>
    <cellStyle name="No-definido 2" xfId="1987" xr:uid="{00000000-0005-0000-0000-000023040000}"/>
    <cellStyle name="Normal" xfId="0" builtinId="0"/>
    <cellStyle name="Normal - Style1" xfId="477" xr:uid="{00000000-0005-0000-0000-000025040000}"/>
    <cellStyle name="Normal [1]" xfId="478" xr:uid="{00000000-0005-0000-0000-000026040000}"/>
    <cellStyle name="Normal [1] 2" xfId="1988" xr:uid="{00000000-0005-0000-0000-000027040000}"/>
    <cellStyle name="Normal [2]" xfId="479" xr:uid="{00000000-0005-0000-0000-000028040000}"/>
    <cellStyle name="Normal [2] 2" xfId="1989" xr:uid="{00000000-0005-0000-0000-000029040000}"/>
    <cellStyle name="Normal [3]" xfId="480" xr:uid="{00000000-0005-0000-0000-00002A040000}"/>
    <cellStyle name="Normal [3] 2" xfId="1990" xr:uid="{00000000-0005-0000-0000-00002B040000}"/>
    <cellStyle name="Normal 10" xfId="481" xr:uid="{00000000-0005-0000-0000-00002C040000}"/>
    <cellStyle name="Normal 10 10" xfId="482" xr:uid="{00000000-0005-0000-0000-00002D040000}"/>
    <cellStyle name="Normal 10 10 2" xfId="1991" xr:uid="{00000000-0005-0000-0000-00002E040000}"/>
    <cellStyle name="Normal 10 11" xfId="483" xr:uid="{00000000-0005-0000-0000-00002F040000}"/>
    <cellStyle name="Normal 10 11 2" xfId="1992" xr:uid="{00000000-0005-0000-0000-000030040000}"/>
    <cellStyle name="Normal 10 12" xfId="484" xr:uid="{00000000-0005-0000-0000-000031040000}"/>
    <cellStyle name="Normal 10 12 2" xfId="1159" xr:uid="{00000000-0005-0000-0000-000032040000}"/>
    <cellStyle name="Normal 10 12 3" xfId="1160" xr:uid="{00000000-0005-0000-0000-000033040000}"/>
    <cellStyle name="Normal 10 12 4" xfId="1694" xr:uid="{00000000-0005-0000-0000-000034040000}"/>
    <cellStyle name="Normal 10 13" xfId="485" xr:uid="{00000000-0005-0000-0000-000035040000}"/>
    <cellStyle name="Normal 10 13 2" xfId="1161" xr:uid="{00000000-0005-0000-0000-000036040000}"/>
    <cellStyle name="Normal 10 13 3" xfId="1162" xr:uid="{00000000-0005-0000-0000-000037040000}"/>
    <cellStyle name="Normal 10 13 4" xfId="1695" xr:uid="{00000000-0005-0000-0000-000038040000}"/>
    <cellStyle name="Normal 10 14" xfId="1163" xr:uid="{00000000-0005-0000-0000-000039040000}"/>
    <cellStyle name="Normal 10 14 2" xfId="1164" xr:uid="{00000000-0005-0000-0000-00003A040000}"/>
    <cellStyle name="Normal 10 15" xfId="1165" xr:uid="{00000000-0005-0000-0000-00003B040000}"/>
    <cellStyle name="Normal 10 16" xfId="1696" xr:uid="{00000000-0005-0000-0000-00003C040000}"/>
    <cellStyle name="Normal 10 2" xfId="486" xr:uid="{00000000-0005-0000-0000-00003D040000}"/>
    <cellStyle name="Normal 10 2 2" xfId="1993" xr:uid="{00000000-0005-0000-0000-00003E040000}"/>
    <cellStyle name="Normal 10 3" xfId="487" xr:uid="{00000000-0005-0000-0000-00003F040000}"/>
    <cellStyle name="Normal 10 3 2" xfId="1166" xr:uid="{00000000-0005-0000-0000-000040040000}"/>
    <cellStyle name="Normal 10 3 3" xfId="1167" xr:uid="{00000000-0005-0000-0000-000041040000}"/>
    <cellStyle name="Normal 10 3 4" xfId="1697" xr:uid="{00000000-0005-0000-0000-000042040000}"/>
    <cellStyle name="Normal 10 4" xfId="18" xr:uid="{00000000-0005-0000-0000-000043040000}"/>
    <cellStyle name="Normal 10 4 2" xfId="1994" xr:uid="{00000000-0005-0000-0000-000044040000}"/>
    <cellStyle name="Normal 10 5" xfId="488" xr:uid="{00000000-0005-0000-0000-000045040000}"/>
    <cellStyle name="Normal 10 5 2" xfId="1995" xr:uid="{00000000-0005-0000-0000-000046040000}"/>
    <cellStyle name="Normal 10 6" xfId="489" xr:uid="{00000000-0005-0000-0000-000047040000}"/>
    <cellStyle name="Normal 10 6 2" xfId="1996" xr:uid="{00000000-0005-0000-0000-000048040000}"/>
    <cellStyle name="Normal 10 7" xfId="490" xr:uid="{00000000-0005-0000-0000-000049040000}"/>
    <cellStyle name="Normal 10 7 2" xfId="1997" xr:uid="{00000000-0005-0000-0000-00004A040000}"/>
    <cellStyle name="Normal 10 8" xfId="491" xr:uid="{00000000-0005-0000-0000-00004B040000}"/>
    <cellStyle name="Normal 10 8 2" xfId="1998" xr:uid="{00000000-0005-0000-0000-00004C040000}"/>
    <cellStyle name="Normal 10 9" xfId="492" xr:uid="{00000000-0005-0000-0000-00004D040000}"/>
    <cellStyle name="Normal 10 9 2" xfId="1999" xr:uid="{00000000-0005-0000-0000-00004E040000}"/>
    <cellStyle name="Normal 10_DGO" xfId="1698" xr:uid="{00000000-0005-0000-0000-00004F040000}"/>
    <cellStyle name="Normal 100" xfId="2354" xr:uid="{00000000-0005-0000-0000-000050040000}"/>
    <cellStyle name="Normal 101" xfId="2355" xr:uid="{00000000-0005-0000-0000-000051040000}"/>
    <cellStyle name="Normal 102" xfId="2356" xr:uid="{00000000-0005-0000-0000-000052040000}"/>
    <cellStyle name="Normal 103" xfId="2357" xr:uid="{00000000-0005-0000-0000-000053040000}"/>
    <cellStyle name="Normal 104" xfId="2365" xr:uid="{00000000-0005-0000-0000-000054040000}"/>
    <cellStyle name="Normal 105" xfId="2366" xr:uid="{00000000-0005-0000-0000-000055040000}"/>
    <cellStyle name="Normal 106" xfId="2367" xr:uid="{00000000-0005-0000-0000-000056040000}"/>
    <cellStyle name="Normal 107" xfId="2368" xr:uid="{00000000-0005-0000-0000-000057040000}"/>
    <cellStyle name="Normal 108" xfId="2400" xr:uid="{00000000-0005-0000-0000-000058040000}"/>
    <cellStyle name="Normal 109" xfId="2401" xr:uid="{00000000-0005-0000-0000-000059040000}"/>
    <cellStyle name="Normal 11" xfId="493" xr:uid="{00000000-0005-0000-0000-00005A040000}"/>
    <cellStyle name="Normal 11 2" xfId="22" xr:uid="{00000000-0005-0000-0000-00005B040000}"/>
    <cellStyle name="Normal 11 2 2" xfId="1052" xr:uid="{00000000-0005-0000-0000-00005C040000}"/>
    <cellStyle name="Normal 11 2 2 2" xfId="2000" xr:uid="{00000000-0005-0000-0000-00005D040000}"/>
    <cellStyle name="Normal 11 3" xfId="494" xr:uid="{00000000-0005-0000-0000-00005E040000}"/>
    <cellStyle name="Normal 11 4" xfId="495" xr:uid="{00000000-0005-0000-0000-00005F040000}"/>
    <cellStyle name="Normal 11 4 2" xfId="2001" xr:uid="{00000000-0005-0000-0000-000060040000}"/>
    <cellStyle name="Normal 11 5" xfId="496" xr:uid="{00000000-0005-0000-0000-000061040000}"/>
    <cellStyle name="Normal 11 5 2" xfId="2002" xr:uid="{00000000-0005-0000-0000-000062040000}"/>
    <cellStyle name="Normal 11 6" xfId="1168" xr:uid="{00000000-0005-0000-0000-000063040000}"/>
    <cellStyle name="Normal 11 6 2" xfId="1169" xr:uid="{00000000-0005-0000-0000-000064040000}"/>
    <cellStyle name="Normal 11 7" xfId="1170" xr:uid="{00000000-0005-0000-0000-000065040000}"/>
    <cellStyle name="Normal 11 8" xfId="1699" xr:uid="{00000000-0005-0000-0000-000066040000}"/>
    <cellStyle name="Normal 11_DGO" xfId="1700" xr:uid="{00000000-0005-0000-0000-000067040000}"/>
    <cellStyle name="Normal 110" xfId="2402" xr:uid="{00000000-0005-0000-0000-000068040000}"/>
    <cellStyle name="Normal 111" xfId="2403" xr:uid="{00000000-0005-0000-0000-000069040000}"/>
    <cellStyle name="Normal 112" xfId="2435" xr:uid="{00000000-0005-0000-0000-00006A040000}"/>
    <cellStyle name="Normal 113" xfId="2436" xr:uid="{00000000-0005-0000-0000-00006B040000}"/>
    <cellStyle name="Normal 114" xfId="2437" xr:uid="{00000000-0005-0000-0000-00006C040000}"/>
    <cellStyle name="Normal 115" xfId="2438" xr:uid="{00000000-0005-0000-0000-00006D040000}"/>
    <cellStyle name="Normal 116" xfId="2470" xr:uid="{00000000-0005-0000-0000-00006E040000}"/>
    <cellStyle name="Normal 117" xfId="2471" xr:uid="{00000000-0005-0000-0000-00006F040000}"/>
    <cellStyle name="Normal 118" xfId="2472" xr:uid="{00000000-0005-0000-0000-000070040000}"/>
    <cellStyle name="Normal 119" xfId="2473" xr:uid="{00000000-0005-0000-0000-000071040000}"/>
    <cellStyle name="Normal 12" xfId="497" xr:uid="{00000000-0005-0000-0000-000072040000}"/>
    <cellStyle name="Normal 12 2" xfId="498" xr:uid="{00000000-0005-0000-0000-000073040000}"/>
    <cellStyle name="Normal 12 2 2" xfId="1171" xr:uid="{00000000-0005-0000-0000-000074040000}"/>
    <cellStyle name="Normal 12 2 3" xfId="1172" xr:uid="{00000000-0005-0000-0000-000075040000}"/>
    <cellStyle name="Normal 12 2 4" xfId="1701" xr:uid="{00000000-0005-0000-0000-000076040000}"/>
    <cellStyle name="Normal 12 3" xfId="499" xr:uid="{00000000-0005-0000-0000-000077040000}"/>
    <cellStyle name="Normal 12 3 2" xfId="1173" xr:uid="{00000000-0005-0000-0000-000078040000}"/>
    <cellStyle name="Normal 12 3 3" xfId="1174" xr:uid="{00000000-0005-0000-0000-000079040000}"/>
    <cellStyle name="Normal 12 3 4" xfId="1702" xr:uid="{00000000-0005-0000-0000-00007A040000}"/>
    <cellStyle name="Normal 12 4" xfId="8" xr:uid="{00000000-0005-0000-0000-00007B040000}"/>
    <cellStyle name="Normal 12 4 2" xfId="1175" xr:uid="{00000000-0005-0000-0000-00007C040000}"/>
    <cellStyle name="Normal 12 4 2 2" xfId="1176" xr:uid="{00000000-0005-0000-0000-00007D040000}"/>
    <cellStyle name="Normal 12 4 2 3" xfId="41" xr:uid="{00000000-0005-0000-0000-00007E040000}"/>
    <cellStyle name="Normal 12 4 3" xfId="1177" xr:uid="{00000000-0005-0000-0000-00007F040000}"/>
    <cellStyle name="Normal 12 4 4" xfId="1459" xr:uid="{00000000-0005-0000-0000-000080040000}"/>
    <cellStyle name="Normal 12 4 4 2" xfId="1477" xr:uid="{00000000-0005-0000-0000-000081040000}"/>
    <cellStyle name="Normal 12 4 5" xfId="1476" xr:uid="{00000000-0005-0000-0000-000082040000}"/>
    <cellStyle name="Normal 12 4 6" xfId="1703" xr:uid="{00000000-0005-0000-0000-000083040000}"/>
    <cellStyle name="Normal 12 5" xfId="1053" xr:uid="{00000000-0005-0000-0000-000084040000}"/>
    <cellStyle name="Normal 12 5 2" xfId="1178" xr:uid="{00000000-0005-0000-0000-000085040000}"/>
    <cellStyle name="Normal 12 6" xfId="1179" xr:uid="{00000000-0005-0000-0000-000086040000}"/>
    <cellStyle name="Normal 12 7" xfId="1704" xr:uid="{00000000-0005-0000-0000-000087040000}"/>
    <cellStyle name="Normal 12_DGO" xfId="1705" xr:uid="{00000000-0005-0000-0000-000088040000}"/>
    <cellStyle name="Normal 120" xfId="2505" xr:uid="{00000000-0005-0000-0000-000089040000}"/>
    <cellStyle name="Normal 121" xfId="2506" xr:uid="{00000000-0005-0000-0000-00008A040000}"/>
    <cellStyle name="Normal 122" xfId="2507" xr:uid="{00000000-0005-0000-0000-00008B040000}"/>
    <cellStyle name="Normal 123" xfId="2508" xr:uid="{00000000-0005-0000-0000-00008C040000}"/>
    <cellStyle name="Normal 124" xfId="2540" xr:uid="{00000000-0005-0000-0000-00008D040000}"/>
    <cellStyle name="Normal 125" xfId="2541" xr:uid="{00000000-0005-0000-0000-00008E040000}"/>
    <cellStyle name="Normal 126" xfId="2542" xr:uid="{00000000-0005-0000-0000-00008F040000}"/>
    <cellStyle name="Normal 127" xfId="2574" xr:uid="{00000000-0005-0000-0000-000090040000}"/>
    <cellStyle name="Normal 128" xfId="2575" xr:uid="{00000000-0005-0000-0000-000091040000}"/>
    <cellStyle name="Normal 129" xfId="2576" xr:uid="{00000000-0005-0000-0000-000092040000}"/>
    <cellStyle name="Normal 13" xfId="500" xr:uid="{00000000-0005-0000-0000-000093040000}"/>
    <cellStyle name="Normal 13 2" xfId="1054" xr:uid="{00000000-0005-0000-0000-000094040000}"/>
    <cellStyle name="Normal 13 2 2" xfId="1181" xr:uid="{00000000-0005-0000-0000-000095040000}"/>
    <cellStyle name="Normal 13 2 3" xfId="1180" xr:uid="{00000000-0005-0000-0000-000096040000}"/>
    <cellStyle name="Normal 13 3" xfId="1182" xr:uid="{00000000-0005-0000-0000-000097040000}"/>
    <cellStyle name="Normal 13 4" xfId="1706" xr:uid="{00000000-0005-0000-0000-000098040000}"/>
    <cellStyle name="Normal 130" xfId="2577" xr:uid="{00000000-0005-0000-0000-000099040000}"/>
    <cellStyle name="Normal 131" xfId="2609" xr:uid="{00000000-0005-0000-0000-00009A040000}"/>
    <cellStyle name="Normal 132" xfId="2610" xr:uid="{00000000-0005-0000-0000-00009B040000}"/>
    <cellStyle name="Normal 133" xfId="2611" xr:uid="{00000000-0005-0000-0000-00009C040000}"/>
    <cellStyle name="Normal 134" xfId="2613" xr:uid="{00000000-0005-0000-0000-00009D040000}"/>
    <cellStyle name="Normal 135" xfId="2645" xr:uid="{00000000-0005-0000-0000-00009E040000}"/>
    <cellStyle name="Normal 136" xfId="2646" xr:uid="{00000000-0005-0000-0000-00009F040000}"/>
    <cellStyle name="Normal 137" xfId="2647" xr:uid="{00000000-0005-0000-0000-0000A0040000}"/>
    <cellStyle name="Normal 138" xfId="2648" xr:uid="{00000000-0005-0000-0000-00009B0A0000}"/>
    <cellStyle name="Normal 139" xfId="2680" xr:uid="{00000000-0005-0000-0000-0000AB0A0000}"/>
    <cellStyle name="Normal 14" xfId="24" xr:uid="{00000000-0005-0000-0000-0000A1040000}"/>
    <cellStyle name="Normal 14 2" xfId="1055" xr:uid="{00000000-0005-0000-0000-0000A2040000}"/>
    <cellStyle name="Normal 14 2 2" xfId="1707" xr:uid="{00000000-0005-0000-0000-0000A3040000}"/>
    <cellStyle name="Normal 14 2 3" xfId="1183" xr:uid="{00000000-0005-0000-0000-0000A4040000}"/>
    <cellStyle name="Normal 14 3" xfId="1184" xr:uid="{00000000-0005-0000-0000-0000A5040000}"/>
    <cellStyle name="Normal 14 4" xfId="1708" xr:uid="{00000000-0005-0000-0000-0000A6040000}"/>
    <cellStyle name="Normal 14_DGO" xfId="1709" xr:uid="{00000000-0005-0000-0000-0000A7040000}"/>
    <cellStyle name="Normal 140" xfId="2681" xr:uid="{00000000-0005-0000-0000-0000AC0A0000}"/>
    <cellStyle name="Normal 141" xfId="2682" xr:uid="{00000000-0005-0000-0000-0000AD0A0000}"/>
    <cellStyle name="Normal 142" xfId="2683" xr:uid="{00000000-0005-0000-0000-0000BE0A0000}"/>
    <cellStyle name="Normal 143" xfId="2715" xr:uid="{00000000-0005-0000-0000-0000CE0A0000}"/>
    <cellStyle name="Normal 144" xfId="2716" xr:uid="{00000000-0005-0000-0000-0000CF0A0000}"/>
    <cellStyle name="Normal 145" xfId="2717" xr:uid="{00000000-0005-0000-0000-0000D00A0000}"/>
    <cellStyle name="Normal 15" xfId="9" xr:uid="{00000000-0005-0000-0000-0000A8040000}"/>
    <cellStyle name="Normal 15 2" xfId="15" xr:uid="{00000000-0005-0000-0000-0000A9040000}"/>
    <cellStyle name="Normal 15 3" xfId="1056" xr:uid="{00000000-0005-0000-0000-0000AA040000}"/>
    <cellStyle name="Normal 16" xfId="501" xr:uid="{00000000-0005-0000-0000-0000AB040000}"/>
    <cellStyle name="Normal 16 2" xfId="502" xr:uid="{00000000-0005-0000-0000-0000AC040000}"/>
    <cellStyle name="Normal 16 2 2" xfId="1185" xr:uid="{00000000-0005-0000-0000-0000AD040000}"/>
    <cellStyle name="Normal 16 2 3" xfId="1186" xr:uid="{00000000-0005-0000-0000-0000AE040000}"/>
    <cellStyle name="Normal 16 2 4" xfId="1710" xr:uid="{00000000-0005-0000-0000-0000AF040000}"/>
    <cellStyle name="Normal 16 3" xfId="2003" xr:uid="{00000000-0005-0000-0000-0000B0040000}"/>
    <cellStyle name="Normal 17" xfId="503" xr:uid="{00000000-0005-0000-0000-0000B1040000}"/>
    <cellStyle name="Normal 17 2" xfId="1057" xr:uid="{00000000-0005-0000-0000-0000B2040000}"/>
    <cellStyle name="Normal 17 2 2" xfId="1187" xr:uid="{00000000-0005-0000-0000-0000B3040000}"/>
    <cellStyle name="Normal 17 3" xfId="1188" xr:uid="{00000000-0005-0000-0000-0000B4040000}"/>
    <cellStyle name="Normal 17 4" xfId="1711" xr:uid="{00000000-0005-0000-0000-0000B5040000}"/>
    <cellStyle name="Normal 18" xfId="504" xr:uid="{00000000-0005-0000-0000-0000B6040000}"/>
    <cellStyle name="Normal 18 2" xfId="1058" xr:uid="{00000000-0005-0000-0000-0000B7040000}"/>
    <cellStyle name="Normal 18 2 2" xfId="1189" xr:uid="{00000000-0005-0000-0000-0000B8040000}"/>
    <cellStyle name="Normal 18 3" xfId="1190" xr:uid="{00000000-0005-0000-0000-0000B9040000}"/>
    <cellStyle name="Normal 18 4" xfId="1712" xr:uid="{00000000-0005-0000-0000-0000BA040000}"/>
    <cellStyle name="Normal 19" xfId="505" xr:uid="{00000000-0005-0000-0000-0000BB040000}"/>
    <cellStyle name="Normal 19 2" xfId="506" xr:uid="{00000000-0005-0000-0000-0000BC040000}"/>
    <cellStyle name="Normal 19 2 2" xfId="1191" xr:uid="{00000000-0005-0000-0000-0000BD040000}"/>
    <cellStyle name="Normal 19 2 3" xfId="1192" xr:uid="{00000000-0005-0000-0000-0000BE040000}"/>
    <cellStyle name="Normal 19 2 4" xfId="1713" xr:uid="{00000000-0005-0000-0000-0000BF040000}"/>
    <cellStyle name="Normal 19 3" xfId="1059" xr:uid="{00000000-0005-0000-0000-0000C0040000}"/>
    <cellStyle name="Normal 19 3 2" xfId="1193" xr:uid="{00000000-0005-0000-0000-0000C1040000}"/>
    <cellStyle name="Normal 19 4" xfId="1194" xr:uid="{00000000-0005-0000-0000-0000C2040000}"/>
    <cellStyle name="Normal 19 5" xfId="1714" xr:uid="{00000000-0005-0000-0000-0000C3040000}"/>
    <cellStyle name="Normal 19_DGO" xfId="1715" xr:uid="{00000000-0005-0000-0000-0000C4040000}"/>
    <cellStyle name="Normal 2" xfId="7" xr:uid="{00000000-0005-0000-0000-0000C5040000}"/>
    <cellStyle name="Normal 2 10" xfId="27" xr:uid="{00000000-0005-0000-0000-0000C6040000}"/>
    <cellStyle name="Normal 2 10 2" xfId="507" xr:uid="{00000000-0005-0000-0000-0000C7040000}"/>
    <cellStyle name="Normal 2 10 3" xfId="2004" xr:uid="{00000000-0005-0000-0000-0000C8040000}"/>
    <cellStyle name="Normal 2 11" xfId="508" xr:uid="{00000000-0005-0000-0000-0000C9040000}"/>
    <cellStyle name="Normal 2 11 2" xfId="509" xr:uid="{00000000-0005-0000-0000-0000CA040000}"/>
    <cellStyle name="Normal 2 11 3" xfId="2005" xr:uid="{00000000-0005-0000-0000-0000CB040000}"/>
    <cellStyle name="Normal 2 12" xfId="510" xr:uid="{00000000-0005-0000-0000-0000CC040000}"/>
    <cellStyle name="Normal 2 12 2" xfId="511" xr:uid="{00000000-0005-0000-0000-0000CD040000}"/>
    <cellStyle name="Normal 2 12 3" xfId="512" xr:uid="{00000000-0005-0000-0000-0000CE040000}"/>
    <cellStyle name="Normal 2 12 3 2" xfId="2006" xr:uid="{00000000-0005-0000-0000-0000CF040000}"/>
    <cellStyle name="Normal 2 12 4" xfId="2007" xr:uid="{00000000-0005-0000-0000-0000D0040000}"/>
    <cellStyle name="Normal 2 13" xfId="513" xr:uid="{00000000-0005-0000-0000-0000D1040000}"/>
    <cellStyle name="Normal 2 13 2" xfId="514" xr:uid="{00000000-0005-0000-0000-0000D2040000}"/>
    <cellStyle name="Normal 2 13 3" xfId="2008" xr:uid="{00000000-0005-0000-0000-0000D3040000}"/>
    <cellStyle name="Normal 2 14" xfId="515" xr:uid="{00000000-0005-0000-0000-0000D4040000}"/>
    <cellStyle name="Normal 2 14 2" xfId="516" xr:uid="{00000000-0005-0000-0000-0000D5040000}"/>
    <cellStyle name="Normal 2 14 3" xfId="2009" xr:uid="{00000000-0005-0000-0000-0000D6040000}"/>
    <cellStyle name="Normal 2 15" xfId="517" xr:uid="{00000000-0005-0000-0000-0000D7040000}"/>
    <cellStyle name="Normal 2 15 2" xfId="518" xr:uid="{00000000-0005-0000-0000-0000D8040000}"/>
    <cellStyle name="Normal 2 15 3" xfId="2010" xr:uid="{00000000-0005-0000-0000-0000D9040000}"/>
    <cellStyle name="Normal 2 16" xfId="519" xr:uid="{00000000-0005-0000-0000-0000DA040000}"/>
    <cellStyle name="Normal 2 16 2" xfId="520" xr:uid="{00000000-0005-0000-0000-0000DB040000}"/>
    <cellStyle name="Normal 2 16 3" xfId="2011" xr:uid="{00000000-0005-0000-0000-0000DC040000}"/>
    <cellStyle name="Normal 2 17" xfId="521" xr:uid="{00000000-0005-0000-0000-0000DD040000}"/>
    <cellStyle name="Normal 2 17 2" xfId="522" xr:uid="{00000000-0005-0000-0000-0000DE040000}"/>
    <cellStyle name="Normal 2 17 3" xfId="2012" xr:uid="{00000000-0005-0000-0000-0000DF040000}"/>
    <cellStyle name="Normal 2 18" xfId="523" xr:uid="{00000000-0005-0000-0000-0000E0040000}"/>
    <cellStyle name="Normal 2 18 2" xfId="2013" xr:uid="{00000000-0005-0000-0000-0000E1040000}"/>
    <cellStyle name="Normal 2 19" xfId="524" xr:uid="{00000000-0005-0000-0000-0000E2040000}"/>
    <cellStyle name="Normal 2 2" xfId="12" xr:uid="{00000000-0005-0000-0000-0000E3040000}"/>
    <cellStyle name="Normal 2 2 10" xfId="525" xr:uid="{00000000-0005-0000-0000-0000E4040000}"/>
    <cellStyle name="Normal 2 2 11" xfId="526" xr:uid="{00000000-0005-0000-0000-0000E5040000}"/>
    <cellStyle name="Normal 2 2 12" xfId="527" xr:uid="{00000000-0005-0000-0000-0000E6040000}"/>
    <cellStyle name="Normal 2 2 12 2" xfId="2014" xr:uid="{00000000-0005-0000-0000-0000E7040000}"/>
    <cellStyle name="Normal 2 2 13" xfId="1471" xr:uid="{00000000-0005-0000-0000-0000E8040000}"/>
    <cellStyle name="Normal 2 2 2" xfId="528" xr:uid="{00000000-0005-0000-0000-0000E9040000}"/>
    <cellStyle name="Normal 2 2 2 2" xfId="529" xr:uid="{00000000-0005-0000-0000-0000EA040000}"/>
    <cellStyle name="Normal 2 2 2 2 2" xfId="530" xr:uid="{00000000-0005-0000-0000-0000EB040000}"/>
    <cellStyle name="Normal 2 2 2 2 3" xfId="531" xr:uid="{00000000-0005-0000-0000-0000EC040000}"/>
    <cellStyle name="Normal 2 2 2 2 4" xfId="532" xr:uid="{00000000-0005-0000-0000-0000ED040000}"/>
    <cellStyle name="Normal 2 2 2 2 5" xfId="974" xr:uid="{00000000-0005-0000-0000-0000EE040000}"/>
    <cellStyle name="Normal 2 2 2 2 5 2" xfId="1195" xr:uid="{00000000-0005-0000-0000-0000EF040000}"/>
    <cellStyle name="Normal 2 2 2 2 6" xfId="1196" xr:uid="{00000000-0005-0000-0000-0000F0040000}"/>
    <cellStyle name="Normal 2 2 2 2 7" xfId="1716" xr:uid="{00000000-0005-0000-0000-0000F1040000}"/>
    <cellStyle name="Normal 2 2 2 2_DGO" xfId="1717" xr:uid="{00000000-0005-0000-0000-0000F2040000}"/>
    <cellStyle name="Normal 2 2 2 3" xfId="533" xr:uid="{00000000-0005-0000-0000-0000F3040000}"/>
    <cellStyle name="Normal 2 2 2 3 2" xfId="975" xr:uid="{00000000-0005-0000-0000-0000F4040000}"/>
    <cellStyle name="Normal 2 2 2 3 2 2" xfId="1197" xr:uid="{00000000-0005-0000-0000-0000F5040000}"/>
    <cellStyle name="Normal 2 2 2 3 3" xfId="1198" xr:uid="{00000000-0005-0000-0000-0000F6040000}"/>
    <cellStyle name="Normal 2 2 2 3 4" xfId="1718" xr:uid="{00000000-0005-0000-0000-0000F7040000}"/>
    <cellStyle name="Normal 2 2 2 4" xfId="534" xr:uid="{00000000-0005-0000-0000-0000F8040000}"/>
    <cellStyle name="Normal 2 2 2 4 2" xfId="976" xr:uid="{00000000-0005-0000-0000-0000F9040000}"/>
    <cellStyle name="Normal 2 2 2 4 2 2" xfId="1199" xr:uid="{00000000-0005-0000-0000-0000FA040000}"/>
    <cellStyle name="Normal 2 2 2 4 3" xfId="1200" xr:uid="{00000000-0005-0000-0000-0000FB040000}"/>
    <cellStyle name="Normal 2 2 2 4 4" xfId="1719" xr:uid="{00000000-0005-0000-0000-0000FC040000}"/>
    <cellStyle name="Normal 2 2 2 5" xfId="977" xr:uid="{00000000-0005-0000-0000-0000FD040000}"/>
    <cellStyle name="Normal 2 2 2 6" xfId="978" xr:uid="{00000000-0005-0000-0000-0000FE040000}"/>
    <cellStyle name="Normal 2 2 2 7" xfId="979" xr:uid="{00000000-0005-0000-0000-0000FF040000}"/>
    <cellStyle name="Normal 2 2 2 8" xfId="973" xr:uid="{00000000-0005-0000-0000-000000050000}"/>
    <cellStyle name="Normal 2 2 3" xfId="535" xr:uid="{00000000-0005-0000-0000-000001050000}"/>
    <cellStyle name="Normal 2 2 3 2" xfId="536" xr:uid="{00000000-0005-0000-0000-000002050000}"/>
    <cellStyle name="Normal 2 2 3 2 2" xfId="980" xr:uid="{00000000-0005-0000-0000-000003050000}"/>
    <cellStyle name="Normal 2 2 3 3" xfId="537" xr:uid="{00000000-0005-0000-0000-000004050000}"/>
    <cellStyle name="Normal 2 2 3 3 2" xfId="981" xr:uid="{00000000-0005-0000-0000-000005050000}"/>
    <cellStyle name="Normal 2 2 3 4" xfId="982" xr:uid="{00000000-0005-0000-0000-000006050000}"/>
    <cellStyle name="Normal 2 2 3 4 2" xfId="2015" xr:uid="{00000000-0005-0000-0000-000007050000}"/>
    <cellStyle name="Normal 2 2 3 5" xfId="983" xr:uid="{00000000-0005-0000-0000-000008050000}"/>
    <cellStyle name="Normal 2 2 3 5 2" xfId="2016" xr:uid="{00000000-0005-0000-0000-000009050000}"/>
    <cellStyle name="Normal 2 2 3 6" xfId="984" xr:uid="{00000000-0005-0000-0000-00000A050000}"/>
    <cellStyle name="Normal 2 2 3 6 2" xfId="2017" xr:uid="{00000000-0005-0000-0000-00000B050000}"/>
    <cellStyle name="Normal 2 2 3 7" xfId="985" xr:uid="{00000000-0005-0000-0000-00000C050000}"/>
    <cellStyle name="Normal 2 2 3 7 2" xfId="2018" xr:uid="{00000000-0005-0000-0000-00000D050000}"/>
    <cellStyle name="Normal 2 2 3 8" xfId="2019" xr:uid="{00000000-0005-0000-0000-00000E050000}"/>
    <cellStyle name="Normal 2 2 4" xfId="538" xr:uid="{00000000-0005-0000-0000-00000F050000}"/>
    <cellStyle name="Normal 2 2 5" xfId="539" xr:uid="{00000000-0005-0000-0000-000010050000}"/>
    <cellStyle name="Normal 2 2 6" xfId="540" xr:uid="{00000000-0005-0000-0000-000011050000}"/>
    <cellStyle name="Normal 2 2 7" xfId="541" xr:uid="{00000000-0005-0000-0000-000012050000}"/>
    <cellStyle name="Normal 2 2 8" xfId="542" xr:uid="{00000000-0005-0000-0000-000013050000}"/>
    <cellStyle name="Normal 2 2 9" xfId="543" xr:uid="{00000000-0005-0000-0000-000014050000}"/>
    <cellStyle name="Normal 2 20" xfId="1201" xr:uid="{00000000-0005-0000-0000-000015050000}"/>
    <cellStyle name="Normal 2 20 2" xfId="2020" xr:uid="{00000000-0005-0000-0000-000016050000}"/>
    <cellStyle name="Normal 2 3" xfId="16" xr:uid="{00000000-0005-0000-0000-000017050000}"/>
    <cellStyle name="Normal 2 3 2" xfId="29" xr:uid="{00000000-0005-0000-0000-000018050000}"/>
    <cellStyle name="Normal 2 3 2 2" xfId="987" xr:uid="{00000000-0005-0000-0000-000019050000}"/>
    <cellStyle name="Normal 2 3 2 2 2" xfId="2021" xr:uid="{00000000-0005-0000-0000-00001A050000}"/>
    <cellStyle name="Normal 2 3 2 3" xfId="988" xr:uid="{00000000-0005-0000-0000-00001B050000}"/>
    <cellStyle name="Normal 2 3 2 3 2" xfId="2022" xr:uid="{00000000-0005-0000-0000-00001C050000}"/>
    <cellStyle name="Normal 2 3 2 4" xfId="989" xr:uid="{00000000-0005-0000-0000-00001D050000}"/>
    <cellStyle name="Normal 2 3 2 4 2" xfId="2023" xr:uid="{00000000-0005-0000-0000-00001E050000}"/>
    <cellStyle name="Normal 2 3 2 5" xfId="990" xr:uid="{00000000-0005-0000-0000-00001F050000}"/>
    <cellStyle name="Normal 2 3 2 5 2" xfId="2024" xr:uid="{00000000-0005-0000-0000-000020050000}"/>
    <cellStyle name="Normal 2 3 2 6" xfId="991" xr:uid="{00000000-0005-0000-0000-000021050000}"/>
    <cellStyle name="Normal 2 3 2 6 2" xfId="2025" xr:uid="{00000000-0005-0000-0000-000022050000}"/>
    <cellStyle name="Normal 2 3 2 7" xfId="992" xr:uid="{00000000-0005-0000-0000-000023050000}"/>
    <cellStyle name="Normal 2 3 2 7 2" xfId="2026" xr:uid="{00000000-0005-0000-0000-000024050000}"/>
    <cellStyle name="Normal 2 3 2 8" xfId="986" xr:uid="{00000000-0005-0000-0000-000025050000}"/>
    <cellStyle name="Normal 2 3 2 8 2" xfId="2027" xr:uid="{00000000-0005-0000-0000-000026050000}"/>
    <cellStyle name="Normal 2 3 3" xfId="544" xr:uid="{00000000-0005-0000-0000-000027050000}"/>
    <cellStyle name="Normal 2 3 3 2" xfId="2028" xr:uid="{00000000-0005-0000-0000-000028050000}"/>
    <cellStyle name="Normal 2 3 4" xfId="993" xr:uid="{00000000-0005-0000-0000-000029050000}"/>
    <cellStyle name="Normal 2 3 5" xfId="994" xr:uid="{00000000-0005-0000-0000-00002A050000}"/>
    <cellStyle name="Normal 2 3 6" xfId="995" xr:uid="{00000000-0005-0000-0000-00002B050000}"/>
    <cellStyle name="Normal 2 3 7" xfId="996" xr:uid="{00000000-0005-0000-0000-00002C050000}"/>
    <cellStyle name="Normal 2 3 8" xfId="997" xr:uid="{00000000-0005-0000-0000-00002D050000}"/>
    <cellStyle name="Normal 2 4" xfId="545" xr:uid="{00000000-0005-0000-0000-00002E050000}"/>
    <cellStyle name="Normal 2 4 2" xfId="546" xr:uid="{00000000-0005-0000-0000-00002F050000}"/>
    <cellStyle name="Normal 2 4 2 2" xfId="2029" xr:uid="{00000000-0005-0000-0000-000030050000}"/>
    <cellStyle name="Normal 2 4 3" xfId="547" xr:uid="{00000000-0005-0000-0000-000031050000}"/>
    <cellStyle name="Normal 2 4 4" xfId="2030" xr:uid="{00000000-0005-0000-0000-000032050000}"/>
    <cellStyle name="Normal 2 5" xfId="548" xr:uid="{00000000-0005-0000-0000-000033050000}"/>
    <cellStyle name="Normal 2 5 2" xfId="549" xr:uid="{00000000-0005-0000-0000-000034050000}"/>
    <cellStyle name="Normal 2 5 3" xfId="999" xr:uid="{00000000-0005-0000-0000-000035050000}"/>
    <cellStyle name="Normal 2 5 3 2" xfId="1204" xr:uid="{00000000-0005-0000-0000-000036050000}"/>
    <cellStyle name="Normal 2 5 4" xfId="1205" xr:uid="{00000000-0005-0000-0000-000037050000}"/>
    <cellStyle name="Normal 2 5_DGO" xfId="1720" xr:uid="{00000000-0005-0000-0000-000038050000}"/>
    <cellStyle name="Normal 2 6" xfId="550" xr:uid="{00000000-0005-0000-0000-000039050000}"/>
    <cellStyle name="Normal 2 6 2" xfId="551" xr:uid="{00000000-0005-0000-0000-00003A050000}"/>
    <cellStyle name="Normal 2 6 3" xfId="1000" xr:uid="{00000000-0005-0000-0000-00003B050000}"/>
    <cellStyle name="Normal 2 7" xfId="552" xr:uid="{00000000-0005-0000-0000-00003C050000}"/>
    <cellStyle name="Normal 2 7 2" xfId="553" xr:uid="{00000000-0005-0000-0000-00003D050000}"/>
    <cellStyle name="Normal 2 7 3" xfId="1001" xr:uid="{00000000-0005-0000-0000-00003E050000}"/>
    <cellStyle name="Normal 2 7 3 2" xfId="2031" xr:uid="{00000000-0005-0000-0000-00003F050000}"/>
    <cellStyle name="Normal 2 8" xfId="554" xr:uid="{00000000-0005-0000-0000-000040050000}"/>
    <cellStyle name="Normal 2 8 2" xfId="555" xr:uid="{00000000-0005-0000-0000-000041050000}"/>
    <cellStyle name="Normal 2 8 3" xfId="2032" xr:uid="{00000000-0005-0000-0000-000042050000}"/>
    <cellStyle name="Normal 2 9" xfId="556" xr:uid="{00000000-0005-0000-0000-000043050000}"/>
    <cellStyle name="Normal 2 9 2" xfId="557" xr:uid="{00000000-0005-0000-0000-000044050000}"/>
    <cellStyle name="Normal 2 9 3" xfId="2033" xr:uid="{00000000-0005-0000-0000-000045050000}"/>
    <cellStyle name="Normal 2_2012-2016 Prestações Desemprego_6_Março" xfId="1721" xr:uid="{00000000-0005-0000-0000-000046050000}"/>
    <cellStyle name="Normal 20" xfId="558" xr:uid="{00000000-0005-0000-0000-000047050000}"/>
    <cellStyle name="Normal 20 2" xfId="559" xr:uid="{00000000-0005-0000-0000-000048050000}"/>
    <cellStyle name="Normal 20 2 2" xfId="1206" xr:uid="{00000000-0005-0000-0000-000049050000}"/>
    <cellStyle name="Normal 20 2 3" xfId="1207" xr:uid="{00000000-0005-0000-0000-00004A050000}"/>
    <cellStyle name="Normal 20 2 4" xfId="1722" xr:uid="{00000000-0005-0000-0000-00004B050000}"/>
    <cellStyle name="Normal 20 3" xfId="1060" xr:uid="{00000000-0005-0000-0000-00004C050000}"/>
    <cellStyle name="Normal 20 3 2" xfId="1208" xr:uid="{00000000-0005-0000-0000-00004D050000}"/>
    <cellStyle name="Normal 20 4" xfId="1209" xr:uid="{00000000-0005-0000-0000-00004E050000}"/>
    <cellStyle name="Normal 20 5" xfId="1723" xr:uid="{00000000-0005-0000-0000-00004F050000}"/>
    <cellStyle name="Normal 20_DGO" xfId="1724" xr:uid="{00000000-0005-0000-0000-000050050000}"/>
    <cellStyle name="Normal 21" xfId="560" xr:uid="{00000000-0005-0000-0000-000051050000}"/>
    <cellStyle name="Normal 21 2" xfId="1061" xr:uid="{00000000-0005-0000-0000-000052050000}"/>
    <cellStyle name="Normal 21 2 2" xfId="1210" xr:uid="{00000000-0005-0000-0000-000053050000}"/>
    <cellStyle name="Normal 21 3" xfId="1211" xr:uid="{00000000-0005-0000-0000-000054050000}"/>
    <cellStyle name="Normal 21 4" xfId="1725" xr:uid="{00000000-0005-0000-0000-000055050000}"/>
    <cellStyle name="Normal 22" xfId="561" xr:uid="{00000000-0005-0000-0000-000056050000}"/>
    <cellStyle name="Normal 22 2" xfId="1062" xr:uid="{00000000-0005-0000-0000-000057050000}"/>
    <cellStyle name="Normal 22 2 2" xfId="2034" xr:uid="{00000000-0005-0000-0000-000058050000}"/>
    <cellStyle name="Normal 23" xfId="562" xr:uid="{00000000-0005-0000-0000-000059050000}"/>
    <cellStyle name="Normal 23 2" xfId="1063" xr:uid="{00000000-0005-0000-0000-00005A050000}"/>
    <cellStyle name="Normal 24" xfId="563" xr:uid="{00000000-0005-0000-0000-00005B050000}"/>
    <cellStyle name="Normal 24 2" xfId="1079" xr:uid="{00000000-0005-0000-0000-00005C050000}"/>
    <cellStyle name="Normal 24 2 2" xfId="2035" xr:uid="{00000000-0005-0000-0000-00005D050000}"/>
    <cellStyle name="Normal 25" xfId="564" xr:uid="{00000000-0005-0000-0000-00005E050000}"/>
    <cellStyle name="Normal 25 2" xfId="2036" xr:uid="{00000000-0005-0000-0000-00005F050000}"/>
    <cellStyle name="Normal 26" xfId="565" xr:uid="{00000000-0005-0000-0000-000060050000}"/>
    <cellStyle name="Normal 26 2" xfId="2037" xr:uid="{00000000-0005-0000-0000-000061050000}"/>
    <cellStyle name="Normal 27" xfId="566" xr:uid="{00000000-0005-0000-0000-000062050000}"/>
    <cellStyle name="Normal 27 2" xfId="2038" xr:uid="{00000000-0005-0000-0000-000063050000}"/>
    <cellStyle name="Normal 28" xfId="567" xr:uid="{00000000-0005-0000-0000-000064050000}"/>
    <cellStyle name="Normal 28 2" xfId="1003" xr:uid="{00000000-0005-0000-0000-000065050000}"/>
    <cellStyle name="Normal 28 2 2" xfId="1212" xr:uid="{00000000-0005-0000-0000-000066050000}"/>
    <cellStyle name="Normal 28 2 3" xfId="1726" xr:uid="{00000000-0005-0000-0000-000067050000}"/>
    <cellStyle name="Normal 28 3" xfId="1002" xr:uid="{00000000-0005-0000-0000-000068050000}"/>
    <cellStyle name="Normal 28 3 2" xfId="2039" xr:uid="{00000000-0005-0000-0000-000069050000}"/>
    <cellStyle name="Normal 29" xfId="568" xr:uid="{00000000-0005-0000-0000-00006A050000}"/>
    <cellStyle name="Normal 29 2" xfId="2040" xr:uid="{00000000-0005-0000-0000-00006B050000}"/>
    <cellStyle name="Normal 3" xfId="569" xr:uid="{00000000-0005-0000-0000-00006C050000}"/>
    <cellStyle name="Normal 3 10" xfId="570" xr:uid="{00000000-0005-0000-0000-00006D050000}"/>
    <cellStyle name="Normal 3 11" xfId="571" xr:uid="{00000000-0005-0000-0000-00006E050000}"/>
    <cellStyle name="Normal 3 12" xfId="572" xr:uid="{00000000-0005-0000-0000-00006F050000}"/>
    <cellStyle name="Normal 3 13" xfId="573" xr:uid="{00000000-0005-0000-0000-000070050000}"/>
    <cellStyle name="Normal 3 14" xfId="574" xr:uid="{00000000-0005-0000-0000-000071050000}"/>
    <cellStyle name="Normal 3 15" xfId="575" xr:uid="{00000000-0005-0000-0000-000072050000}"/>
    <cellStyle name="Normal 3 15 2" xfId="1213" xr:uid="{00000000-0005-0000-0000-000073050000}"/>
    <cellStyle name="Normal 3 15 3" xfId="1214" xr:uid="{00000000-0005-0000-0000-000074050000}"/>
    <cellStyle name="Normal 3 15 4" xfId="1727" xr:uid="{00000000-0005-0000-0000-000075050000}"/>
    <cellStyle name="Normal 3 16" xfId="2041" xr:uid="{00000000-0005-0000-0000-000076050000}"/>
    <cellStyle name="Normal 3 17" xfId="2320" xr:uid="{00000000-0005-0000-0000-000077050000}"/>
    <cellStyle name="Normal 3 2" xfId="576" xr:uid="{00000000-0005-0000-0000-000078050000}"/>
    <cellStyle name="Normal 3 2 10" xfId="1215" xr:uid="{00000000-0005-0000-0000-000079050000}"/>
    <cellStyle name="Normal 3 2 11" xfId="1216" xr:uid="{00000000-0005-0000-0000-00007A050000}"/>
    <cellStyle name="Normal 3 2 2" xfId="577" xr:uid="{00000000-0005-0000-0000-00007B050000}"/>
    <cellStyle name="Normal 3 2 2 2" xfId="578" xr:uid="{00000000-0005-0000-0000-00007C050000}"/>
    <cellStyle name="Normal 3 2 2 2 2" xfId="579" xr:uid="{00000000-0005-0000-0000-00007D050000}"/>
    <cellStyle name="Normal 3 2 2 2 2 2" xfId="1217" xr:uid="{00000000-0005-0000-0000-00007E050000}"/>
    <cellStyle name="Normal 3 2 2 2 2 3" xfId="1218" xr:uid="{00000000-0005-0000-0000-00007F050000}"/>
    <cellStyle name="Normal 3 2 2 2 2 4" xfId="1728" xr:uid="{00000000-0005-0000-0000-000080050000}"/>
    <cellStyle name="Normal 3 2 2 2 3" xfId="1219" xr:uid="{00000000-0005-0000-0000-000081050000}"/>
    <cellStyle name="Normal 3 2 2 2 4" xfId="1220" xr:uid="{00000000-0005-0000-0000-000082050000}"/>
    <cellStyle name="Normal 3 2 2 2 5" xfId="1729" xr:uid="{00000000-0005-0000-0000-000083050000}"/>
    <cellStyle name="Normal 3 2 2 2_DGO" xfId="1730" xr:uid="{00000000-0005-0000-0000-000084050000}"/>
    <cellStyle name="Normal 3 2 2 3" xfId="580" xr:uid="{00000000-0005-0000-0000-000085050000}"/>
    <cellStyle name="Normal 3 2 2 3 2" xfId="581" xr:uid="{00000000-0005-0000-0000-000086050000}"/>
    <cellStyle name="Normal 3 2 2 3 2 2" xfId="1221" xr:uid="{00000000-0005-0000-0000-000087050000}"/>
    <cellStyle name="Normal 3 2 2 3 2 3" xfId="1222" xr:uid="{00000000-0005-0000-0000-000088050000}"/>
    <cellStyle name="Normal 3 2 2 3 2 4" xfId="1731" xr:uid="{00000000-0005-0000-0000-000089050000}"/>
    <cellStyle name="Normal 3 2 2 3_DGO" xfId="1732" xr:uid="{00000000-0005-0000-0000-00008A050000}"/>
    <cellStyle name="Normal 3 2 2 4" xfId="582" xr:uid="{00000000-0005-0000-0000-00008B050000}"/>
    <cellStyle name="Normal 3 2 2 4 2" xfId="1223" xr:uid="{00000000-0005-0000-0000-00008C050000}"/>
    <cellStyle name="Normal 3 2 2 4 3" xfId="1224" xr:uid="{00000000-0005-0000-0000-00008D050000}"/>
    <cellStyle name="Normal 3 2 2 4 4" xfId="1733" xr:uid="{00000000-0005-0000-0000-00008E050000}"/>
    <cellStyle name="Normal 3 2 2 5" xfId="583" xr:uid="{00000000-0005-0000-0000-00008F050000}"/>
    <cellStyle name="Normal 3 2 2 6" xfId="1225" xr:uid="{00000000-0005-0000-0000-000090050000}"/>
    <cellStyle name="Normal 3 2 2 7" xfId="1226" xr:uid="{00000000-0005-0000-0000-000091050000}"/>
    <cellStyle name="Normal 3 2 2_DGO" xfId="1734" xr:uid="{00000000-0005-0000-0000-000092050000}"/>
    <cellStyle name="Normal 3 2 3" xfId="19" xr:uid="{00000000-0005-0000-0000-000093050000}"/>
    <cellStyle name="Normal 3 2 3 10" xfId="1735" xr:uid="{00000000-0005-0000-0000-000094050000}"/>
    <cellStyle name="Normal 3 2 3 2" xfId="584" xr:uid="{00000000-0005-0000-0000-000095050000}"/>
    <cellStyle name="Normal 3 2 3 2 2" xfId="585" xr:uid="{00000000-0005-0000-0000-000096050000}"/>
    <cellStyle name="Normal 3 2 3 2 2 2" xfId="1227" xr:uid="{00000000-0005-0000-0000-000097050000}"/>
    <cellStyle name="Normal 3 2 3 2 2 3" xfId="1228" xr:uid="{00000000-0005-0000-0000-000098050000}"/>
    <cellStyle name="Normal 3 2 3 2 2 4" xfId="1736" xr:uid="{00000000-0005-0000-0000-000099050000}"/>
    <cellStyle name="Normal 3 2 3 2 3" xfId="1229" xr:uid="{00000000-0005-0000-0000-00009A050000}"/>
    <cellStyle name="Normal 3 2 3 2 3 2" xfId="1230" xr:uid="{00000000-0005-0000-0000-00009B050000}"/>
    <cellStyle name="Normal 3 2 3 2 4" xfId="1231" xr:uid="{00000000-0005-0000-0000-00009C050000}"/>
    <cellStyle name="Normal 3 2 3 2 5" xfId="1737" xr:uid="{00000000-0005-0000-0000-00009D050000}"/>
    <cellStyle name="Normal 3 2 3 2_DGO" xfId="1738" xr:uid="{00000000-0005-0000-0000-00009E050000}"/>
    <cellStyle name="Normal 3 2 3 3" xfId="586" xr:uid="{00000000-0005-0000-0000-00009F050000}"/>
    <cellStyle name="Normal 3 2 3 3 2" xfId="587" xr:uid="{00000000-0005-0000-0000-0000A0050000}"/>
    <cellStyle name="Normal 3 2 3 3 2 2" xfId="1232" xr:uid="{00000000-0005-0000-0000-0000A1050000}"/>
    <cellStyle name="Normal 3 2 3 3 2 3" xfId="1233" xr:uid="{00000000-0005-0000-0000-0000A2050000}"/>
    <cellStyle name="Normal 3 2 3 3 2 4" xfId="1739" xr:uid="{00000000-0005-0000-0000-0000A3050000}"/>
    <cellStyle name="Normal 3 2 3 3 3" xfId="1234" xr:uid="{00000000-0005-0000-0000-0000A4050000}"/>
    <cellStyle name="Normal 3 2 3 3 4" xfId="1235" xr:uid="{00000000-0005-0000-0000-0000A5050000}"/>
    <cellStyle name="Normal 3 2 3 3 5" xfId="1740" xr:uid="{00000000-0005-0000-0000-0000A6050000}"/>
    <cellStyle name="Normal 3 2 3 3_DGO" xfId="1741" xr:uid="{00000000-0005-0000-0000-0000A7050000}"/>
    <cellStyle name="Normal 3 2 3 4" xfId="588" xr:uid="{00000000-0005-0000-0000-0000A8050000}"/>
    <cellStyle name="Normal 3 2 3 4 2" xfId="589" xr:uid="{00000000-0005-0000-0000-0000A9050000}"/>
    <cellStyle name="Normal 3 2 3 4 2 2" xfId="1236" xr:uid="{00000000-0005-0000-0000-0000AA050000}"/>
    <cellStyle name="Normal 3 2 3 4 2 3" xfId="1237" xr:uid="{00000000-0005-0000-0000-0000AB050000}"/>
    <cellStyle name="Normal 3 2 3 4 2 4" xfId="1742" xr:uid="{00000000-0005-0000-0000-0000AC050000}"/>
    <cellStyle name="Normal 3 2 3 4 3" xfId="590" xr:uid="{00000000-0005-0000-0000-0000AD050000}"/>
    <cellStyle name="Normal 3 2 3 4 3 2" xfId="591" xr:uid="{00000000-0005-0000-0000-0000AE050000}"/>
    <cellStyle name="Normal 3 2 3 4 3 2 2" xfId="1238" xr:uid="{00000000-0005-0000-0000-0000AF050000}"/>
    <cellStyle name="Normal 3 2 3 4 3 2 3" xfId="1239" xr:uid="{00000000-0005-0000-0000-0000B0050000}"/>
    <cellStyle name="Normal 3 2 3 4 3 2 4" xfId="1743" xr:uid="{00000000-0005-0000-0000-0000B1050000}"/>
    <cellStyle name="Normal 3 2 3 4 3 3" xfId="1240" xr:uid="{00000000-0005-0000-0000-0000B2050000}"/>
    <cellStyle name="Normal 3 2 3 4 3 4" xfId="1241" xr:uid="{00000000-0005-0000-0000-0000B3050000}"/>
    <cellStyle name="Normal 3 2 3 4 3 5" xfId="1744" xr:uid="{00000000-0005-0000-0000-0000B4050000}"/>
    <cellStyle name="Normal 3 2 3 4 3_DGO" xfId="1745" xr:uid="{00000000-0005-0000-0000-0000B5050000}"/>
    <cellStyle name="Normal 3 2 3 4 4" xfId="1242" xr:uid="{00000000-0005-0000-0000-0000B6050000}"/>
    <cellStyle name="Normal 3 2 3 4 5" xfId="1243" xr:uid="{00000000-0005-0000-0000-0000B7050000}"/>
    <cellStyle name="Normal 3 2 3 4 6" xfId="1746" xr:uid="{00000000-0005-0000-0000-0000B8050000}"/>
    <cellStyle name="Normal 3 2 3 4_DGO" xfId="1747" xr:uid="{00000000-0005-0000-0000-0000B9050000}"/>
    <cellStyle name="Normal 3 2 3 5" xfId="592" xr:uid="{00000000-0005-0000-0000-0000BA050000}"/>
    <cellStyle name="Normal 3 2 3 5 2" xfId="593" xr:uid="{00000000-0005-0000-0000-0000BB050000}"/>
    <cellStyle name="Normal 3 2 3 5 2 2" xfId="1244" xr:uid="{00000000-0005-0000-0000-0000BC050000}"/>
    <cellStyle name="Normal 3 2 3 5 2 3" xfId="1245" xr:uid="{00000000-0005-0000-0000-0000BD050000}"/>
    <cellStyle name="Normal 3 2 3 5 2 4" xfId="1748" xr:uid="{00000000-0005-0000-0000-0000BE050000}"/>
    <cellStyle name="Normal 3 2 3 5 3" xfId="594" xr:uid="{00000000-0005-0000-0000-0000BF050000}"/>
    <cellStyle name="Normal 3 2 3 5 3 2" xfId="1246" xr:uid="{00000000-0005-0000-0000-0000C0050000}"/>
    <cellStyle name="Normal 3 2 3 5 3 3" xfId="1247" xr:uid="{00000000-0005-0000-0000-0000C1050000}"/>
    <cellStyle name="Normal 3 2 3 5 3 4" xfId="1749" xr:uid="{00000000-0005-0000-0000-0000C2050000}"/>
    <cellStyle name="Normal 3 2 3 5 4" xfId="1248" xr:uid="{00000000-0005-0000-0000-0000C3050000}"/>
    <cellStyle name="Normal 3 2 3 5 4 2" xfId="1249" xr:uid="{00000000-0005-0000-0000-0000C4050000}"/>
    <cellStyle name="Normal 3 2 3 5 5" xfId="1250" xr:uid="{00000000-0005-0000-0000-0000C5050000}"/>
    <cellStyle name="Normal 3 2 3 5 6" xfId="1750" xr:uid="{00000000-0005-0000-0000-0000C6050000}"/>
    <cellStyle name="Normal 3 2 3 5_DGO" xfId="1751" xr:uid="{00000000-0005-0000-0000-0000C7050000}"/>
    <cellStyle name="Normal 3 2 3 6" xfId="25" xr:uid="{00000000-0005-0000-0000-0000C8050000}"/>
    <cellStyle name="Normal 3 2 3 6 2" xfId="1251" xr:uid="{00000000-0005-0000-0000-0000C9050000}"/>
    <cellStyle name="Normal 3 2 3 6 2 2" xfId="1752" xr:uid="{00000000-0005-0000-0000-0000CA050000}"/>
    <cellStyle name="Normal 3 2 3 6 3" xfId="1252" xr:uid="{00000000-0005-0000-0000-0000CB050000}"/>
    <cellStyle name="Normal 3 2 3 6 4" xfId="1753" xr:uid="{00000000-0005-0000-0000-0000CC050000}"/>
    <cellStyle name="Normal 3 2 3 6_DGO" xfId="1754" xr:uid="{00000000-0005-0000-0000-0000CD050000}"/>
    <cellStyle name="Normal 3 2 3 7" xfId="20" xr:uid="{00000000-0005-0000-0000-0000CE050000}"/>
    <cellStyle name="Normal 3 2 3 7 2" xfId="1253" xr:uid="{00000000-0005-0000-0000-0000CF050000}"/>
    <cellStyle name="Normal 3 2 3 7 3" xfId="1254" xr:uid="{00000000-0005-0000-0000-0000D0050000}"/>
    <cellStyle name="Normal 3 2 3 7 4" xfId="1443" xr:uid="{00000000-0005-0000-0000-0000D1050000}"/>
    <cellStyle name="Normal 3 2 3 7 5" xfId="1446" xr:uid="{00000000-0005-0000-0000-0000D2050000}"/>
    <cellStyle name="Normal 3 2 3 7 5 2" xfId="1448" xr:uid="{00000000-0005-0000-0000-0000D3050000}"/>
    <cellStyle name="Normal 3 2 3 7 6" xfId="1452" xr:uid="{00000000-0005-0000-0000-0000D4050000}"/>
    <cellStyle name="Normal 3 2 3 7 7" xfId="1455" xr:uid="{00000000-0005-0000-0000-0000D5050000}"/>
    <cellStyle name="Normal 3 2 3 7 8" xfId="1755" xr:uid="{00000000-0005-0000-0000-0000D6050000}"/>
    <cellStyle name="Normal 3 2 3 8" xfId="1255" xr:uid="{00000000-0005-0000-0000-0000D7050000}"/>
    <cellStyle name="Normal 3 2 3 8 2" xfId="1256" xr:uid="{00000000-0005-0000-0000-0000D8050000}"/>
    <cellStyle name="Normal 3 2 3 9" xfId="1257" xr:uid="{00000000-0005-0000-0000-0000D9050000}"/>
    <cellStyle name="Normal 3 2 3_DGO" xfId="1756" xr:uid="{00000000-0005-0000-0000-0000DA050000}"/>
    <cellStyle name="Normal 3 2 4" xfId="595" xr:uid="{00000000-0005-0000-0000-0000DB050000}"/>
    <cellStyle name="Normal 3 2 4 2" xfId="596" xr:uid="{00000000-0005-0000-0000-0000DC050000}"/>
    <cellStyle name="Normal 3 2 4 2 2" xfId="597" xr:uid="{00000000-0005-0000-0000-0000DD050000}"/>
    <cellStyle name="Normal 3 2 4 2 2 2" xfId="1258" xr:uid="{00000000-0005-0000-0000-0000DE050000}"/>
    <cellStyle name="Normal 3 2 4 2 2 3" xfId="1259" xr:uid="{00000000-0005-0000-0000-0000DF050000}"/>
    <cellStyle name="Normal 3 2 4 2 2 4" xfId="1757" xr:uid="{00000000-0005-0000-0000-0000E0050000}"/>
    <cellStyle name="Normal 3 2 4 2 3" xfId="1260" xr:uid="{00000000-0005-0000-0000-0000E1050000}"/>
    <cellStyle name="Normal 3 2 4 2 4" xfId="1261" xr:uid="{00000000-0005-0000-0000-0000E2050000}"/>
    <cellStyle name="Normal 3 2 4 2 5" xfId="1758" xr:uid="{00000000-0005-0000-0000-0000E3050000}"/>
    <cellStyle name="Normal 3 2 4 2_DGO" xfId="1759" xr:uid="{00000000-0005-0000-0000-0000E4050000}"/>
    <cellStyle name="Normal 3 2 4 3" xfId="598" xr:uid="{00000000-0005-0000-0000-0000E5050000}"/>
    <cellStyle name="Normal 3 2 4 3 2" xfId="599" xr:uid="{00000000-0005-0000-0000-0000E6050000}"/>
    <cellStyle name="Normal 3 2 4 3 2 2" xfId="1262" xr:uid="{00000000-0005-0000-0000-0000E7050000}"/>
    <cellStyle name="Normal 3 2 4 3 2 3" xfId="1263" xr:uid="{00000000-0005-0000-0000-0000E8050000}"/>
    <cellStyle name="Normal 3 2 4 3 2 4" xfId="1760" xr:uid="{00000000-0005-0000-0000-0000E9050000}"/>
    <cellStyle name="Normal 3 2 4 3 3" xfId="1264" xr:uid="{00000000-0005-0000-0000-0000EA050000}"/>
    <cellStyle name="Normal 3 2 4 3 4" xfId="1265" xr:uid="{00000000-0005-0000-0000-0000EB050000}"/>
    <cellStyle name="Normal 3 2 4 3 5" xfId="1761" xr:uid="{00000000-0005-0000-0000-0000EC050000}"/>
    <cellStyle name="Normal 3 2 4 3_DGO" xfId="1762" xr:uid="{00000000-0005-0000-0000-0000ED050000}"/>
    <cellStyle name="Normal 3 2 4 4" xfId="600" xr:uid="{00000000-0005-0000-0000-0000EE050000}"/>
    <cellStyle name="Normal 3 2 4 4 2" xfId="1266" xr:uid="{00000000-0005-0000-0000-0000EF050000}"/>
    <cellStyle name="Normal 3 2 4 4 3" xfId="1267" xr:uid="{00000000-0005-0000-0000-0000F0050000}"/>
    <cellStyle name="Normal 3 2 4 4 4" xfId="1763" xr:uid="{00000000-0005-0000-0000-0000F1050000}"/>
    <cellStyle name="Normal 3 2 4 5" xfId="1268" xr:uid="{00000000-0005-0000-0000-0000F2050000}"/>
    <cellStyle name="Normal 3 2 4 5 2" xfId="1269" xr:uid="{00000000-0005-0000-0000-0000F3050000}"/>
    <cellStyle name="Normal 3 2 4 6" xfId="1270" xr:uid="{00000000-0005-0000-0000-0000F4050000}"/>
    <cellStyle name="Normal 3 2 4 7" xfId="1764" xr:uid="{00000000-0005-0000-0000-0000F5050000}"/>
    <cellStyle name="Normal 3 2 4_DGO" xfId="1765" xr:uid="{00000000-0005-0000-0000-0000F6050000}"/>
    <cellStyle name="Normal 3 2 5" xfId="601" xr:uid="{00000000-0005-0000-0000-0000F7050000}"/>
    <cellStyle name="Normal 3 2 5 2" xfId="602" xr:uid="{00000000-0005-0000-0000-0000F8050000}"/>
    <cellStyle name="Normal 3 2 5 2 2" xfId="1271" xr:uid="{00000000-0005-0000-0000-0000F9050000}"/>
    <cellStyle name="Normal 3 2 5 2 3" xfId="1272" xr:uid="{00000000-0005-0000-0000-0000FA050000}"/>
    <cellStyle name="Normal 3 2 5 2 4" xfId="1766" xr:uid="{00000000-0005-0000-0000-0000FB050000}"/>
    <cellStyle name="Normal 3 2 5 3" xfId="603" xr:uid="{00000000-0005-0000-0000-0000FC050000}"/>
    <cellStyle name="Normal 3 2 5 4" xfId="1273" xr:uid="{00000000-0005-0000-0000-0000FD050000}"/>
    <cellStyle name="Normal 3 2 5 4 2" xfId="1274" xr:uid="{00000000-0005-0000-0000-0000FE050000}"/>
    <cellStyle name="Normal 3 2 5 5" xfId="1275" xr:uid="{00000000-0005-0000-0000-0000FF050000}"/>
    <cellStyle name="Normal 3 2 5_DGO" xfId="1767" xr:uid="{00000000-0005-0000-0000-000000060000}"/>
    <cellStyle name="Normal 3 2 6" xfId="604" xr:uid="{00000000-0005-0000-0000-000001060000}"/>
    <cellStyle name="Normal 3 2 6 2" xfId="605" xr:uid="{00000000-0005-0000-0000-000002060000}"/>
    <cellStyle name="Normal 3 2 6 2 2" xfId="1276" xr:uid="{00000000-0005-0000-0000-000003060000}"/>
    <cellStyle name="Normal 3 2 6 2 3" xfId="1277" xr:uid="{00000000-0005-0000-0000-000004060000}"/>
    <cellStyle name="Normal 3 2 6 2 4" xfId="1768" xr:uid="{00000000-0005-0000-0000-000005060000}"/>
    <cellStyle name="Normal 3 2 6 3" xfId="1278" xr:uid="{00000000-0005-0000-0000-000006060000}"/>
    <cellStyle name="Normal 3 2 6 4" xfId="1279" xr:uid="{00000000-0005-0000-0000-000007060000}"/>
    <cellStyle name="Normal 3 2 6 5" xfId="1769" xr:uid="{00000000-0005-0000-0000-000008060000}"/>
    <cellStyle name="Normal 3 2 6_DGO" xfId="1770" xr:uid="{00000000-0005-0000-0000-000009060000}"/>
    <cellStyle name="Normal 3 2 7" xfId="606" xr:uid="{00000000-0005-0000-0000-00000A060000}"/>
    <cellStyle name="Normal 3 2 7 2" xfId="1280" xr:uid="{00000000-0005-0000-0000-00000B060000}"/>
    <cellStyle name="Normal 3 2 7 3" xfId="1281" xr:uid="{00000000-0005-0000-0000-00000C060000}"/>
    <cellStyle name="Normal 3 2 7 4" xfId="1771" xr:uid="{00000000-0005-0000-0000-00000D060000}"/>
    <cellStyle name="Normal 3 2 8" xfId="607" xr:uid="{00000000-0005-0000-0000-00000E060000}"/>
    <cellStyle name="Normal 3 2 8 2" xfId="608" xr:uid="{00000000-0005-0000-0000-00000F060000}"/>
    <cellStyle name="Normal 3 2 8 2 2" xfId="1282" xr:uid="{00000000-0005-0000-0000-000010060000}"/>
    <cellStyle name="Normal 3 2 8 2 3" xfId="1283" xr:uid="{00000000-0005-0000-0000-000011060000}"/>
    <cellStyle name="Normal 3 2 8 2 4" xfId="1772" xr:uid="{00000000-0005-0000-0000-000012060000}"/>
    <cellStyle name="Normal 3 2 8 3" xfId="1284" xr:uid="{00000000-0005-0000-0000-000013060000}"/>
    <cellStyle name="Normal 3 2 8 4" xfId="1285" xr:uid="{00000000-0005-0000-0000-000014060000}"/>
    <cellStyle name="Normal 3 2 8 5" xfId="1773" xr:uid="{00000000-0005-0000-0000-000015060000}"/>
    <cellStyle name="Normal 3 2 8_DGO" xfId="1774" xr:uid="{00000000-0005-0000-0000-000016060000}"/>
    <cellStyle name="Normal 3 2 9" xfId="609" xr:uid="{00000000-0005-0000-0000-000017060000}"/>
    <cellStyle name="Normal 3 2 9 2" xfId="1286" xr:uid="{00000000-0005-0000-0000-000018060000}"/>
    <cellStyle name="Normal 3 2 9 3" xfId="1287" xr:uid="{00000000-0005-0000-0000-000019060000}"/>
    <cellStyle name="Normal 3 2 9 4" xfId="1775" xr:uid="{00000000-0005-0000-0000-00001A060000}"/>
    <cellStyle name="Normal 3 2_DGO" xfId="1776" xr:uid="{00000000-0005-0000-0000-00001B060000}"/>
    <cellStyle name="Normal 3 3" xfId="14" xr:uid="{00000000-0005-0000-0000-00001C060000}"/>
    <cellStyle name="Normal 3 3 2" xfId="1004" xr:uid="{00000000-0005-0000-0000-00001D060000}"/>
    <cellStyle name="Normal 3 4" xfId="610" xr:uid="{00000000-0005-0000-0000-00001E060000}"/>
    <cellStyle name="Normal 3 5" xfId="611" xr:uid="{00000000-0005-0000-0000-00001F060000}"/>
    <cellStyle name="Normal 3 6" xfId="612" xr:uid="{00000000-0005-0000-0000-000020060000}"/>
    <cellStyle name="Normal 3 6 2" xfId="1073" xr:uid="{00000000-0005-0000-0000-000021060000}"/>
    <cellStyle name="Normal 3 6 2 2" xfId="2042" xr:uid="{00000000-0005-0000-0000-000022060000}"/>
    <cellStyle name="Normal 3 7" xfId="613" xr:uid="{00000000-0005-0000-0000-000023060000}"/>
    <cellStyle name="Normal 3 8" xfId="614" xr:uid="{00000000-0005-0000-0000-000024060000}"/>
    <cellStyle name="Normal 3 9" xfId="615" xr:uid="{00000000-0005-0000-0000-000025060000}"/>
    <cellStyle name="Normal 3_Xl0000003" xfId="616" xr:uid="{00000000-0005-0000-0000-000026060000}"/>
    <cellStyle name="Normal 30" xfId="617" xr:uid="{00000000-0005-0000-0000-000027060000}"/>
    <cellStyle name="Normal 30 2" xfId="2043" xr:uid="{00000000-0005-0000-0000-000028060000}"/>
    <cellStyle name="Normal 31" xfId="618" xr:uid="{00000000-0005-0000-0000-000029060000}"/>
    <cellStyle name="Normal 31 2" xfId="2044" xr:uid="{00000000-0005-0000-0000-00002A060000}"/>
    <cellStyle name="Normal 32" xfId="619" xr:uid="{00000000-0005-0000-0000-00002B060000}"/>
    <cellStyle name="Normal 32 2" xfId="2045" xr:uid="{00000000-0005-0000-0000-00002C060000}"/>
    <cellStyle name="Normal 33" xfId="620" xr:uid="{00000000-0005-0000-0000-00002D060000}"/>
    <cellStyle name="Normal 33 2" xfId="2046" xr:uid="{00000000-0005-0000-0000-00002E060000}"/>
    <cellStyle name="Normal 34" xfId="621" xr:uid="{00000000-0005-0000-0000-00002F060000}"/>
    <cellStyle name="Normal 34 2" xfId="2047" xr:uid="{00000000-0005-0000-0000-000030060000}"/>
    <cellStyle name="Normal 35" xfId="622" xr:uid="{00000000-0005-0000-0000-000031060000}"/>
    <cellStyle name="Normal 35 2" xfId="2048" xr:uid="{00000000-0005-0000-0000-000032060000}"/>
    <cellStyle name="Normal 36" xfId="623" xr:uid="{00000000-0005-0000-0000-000033060000}"/>
    <cellStyle name="Normal 36 2" xfId="2049" xr:uid="{00000000-0005-0000-0000-000034060000}"/>
    <cellStyle name="Normal 37" xfId="624" xr:uid="{00000000-0005-0000-0000-000035060000}"/>
    <cellStyle name="Normal 37 2" xfId="2050" xr:uid="{00000000-0005-0000-0000-000036060000}"/>
    <cellStyle name="Normal 38" xfId="625" xr:uid="{00000000-0005-0000-0000-000037060000}"/>
    <cellStyle name="Normal 38 2" xfId="2051" xr:uid="{00000000-0005-0000-0000-000038060000}"/>
    <cellStyle name="Normal 39" xfId="626" xr:uid="{00000000-0005-0000-0000-000039060000}"/>
    <cellStyle name="Normal 39 2" xfId="2052" xr:uid="{00000000-0005-0000-0000-00003A060000}"/>
    <cellStyle name="Normal 4" xfId="627" xr:uid="{00000000-0005-0000-0000-00003B060000}"/>
    <cellStyle name="Normal 4 10" xfId="628" xr:uid="{00000000-0005-0000-0000-00003C060000}"/>
    <cellStyle name="Normal 4 10 2" xfId="2053" xr:uid="{00000000-0005-0000-0000-00003D060000}"/>
    <cellStyle name="Normal 4 2" xfId="10" xr:uid="{00000000-0005-0000-0000-00003E060000}"/>
    <cellStyle name="Normal 4 2 2" xfId="1007" xr:uid="{00000000-0005-0000-0000-00003F060000}"/>
    <cellStyle name="Normal 4 3" xfId="629" xr:uid="{00000000-0005-0000-0000-000040060000}"/>
    <cellStyle name="Normal 4 3 2" xfId="1008" xr:uid="{00000000-0005-0000-0000-000041060000}"/>
    <cellStyle name="Normal 4 3 2 2" xfId="1288" xr:uid="{00000000-0005-0000-0000-000042060000}"/>
    <cellStyle name="Normal 4 3 3" xfId="1289" xr:uid="{00000000-0005-0000-0000-000043060000}"/>
    <cellStyle name="Normal 4 3 4" xfId="1777" xr:uid="{00000000-0005-0000-0000-000044060000}"/>
    <cellStyle name="Normal 4 4" xfId="630" xr:uid="{00000000-0005-0000-0000-000045060000}"/>
    <cellStyle name="Normal 4 4 2" xfId="2054" xr:uid="{00000000-0005-0000-0000-000046060000}"/>
    <cellStyle name="Normal 4 5" xfId="631" xr:uid="{00000000-0005-0000-0000-000047060000}"/>
    <cellStyle name="Normal 4 5 2" xfId="2055" xr:uid="{00000000-0005-0000-0000-000048060000}"/>
    <cellStyle name="Normal 4 6" xfId="632" xr:uid="{00000000-0005-0000-0000-000049060000}"/>
    <cellStyle name="Normal 4 6 2" xfId="2056" xr:uid="{00000000-0005-0000-0000-00004A060000}"/>
    <cellStyle name="Normal 4 7" xfId="633" xr:uid="{00000000-0005-0000-0000-00004B060000}"/>
    <cellStyle name="Normal 4 7 2" xfId="2057" xr:uid="{00000000-0005-0000-0000-00004C060000}"/>
    <cellStyle name="Normal 4 8" xfId="634" xr:uid="{00000000-0005-0000-0000-00004D060000}"/>
    <cellStyle name="Normal 4 8 2" xfId="2058" xr:uid="{00000000-0005-0000-0000-00004E060000}"/>
    <cellStyle name="Normal 4 9" xfId="635" xr:uid="{00000000-0005-0000-0000-00004F060000}"/>
    <cellStyle name="Normal 4 9 2" xfId="2059" xr:uid="{00000000-0005-0000-0000-000050060000}"/>
    <cellStyle name="Normal 40" xfId="636" xr:uid="{00000000-0005-0000-0000-000051060000}"/>
    <cellStyle name="Normal 40 2" xfId="1065" xr:uid="{00000000-0005-0000-0000-000052060000}"/>
    <cellStyle name="Normal 40 2 2" xfId="2060" xr:uid="{00000000-0005-0000-0000-000053060000}"/>
    <cellStyle name="Normal 41" xfId="637" xr:uid="{00000000-0005-0000-0000-000054060000}"/>
    <cellStyle name="Normal 41 2" xfId="2061" xr:uid="{00000000-0005-0000-0000-000055060000}"/>
    <cellStyle name="Normal 42" xfId="638" xr:uid="{00000000-0005-0000-0000-000056060000}"/>
    <cellStyle name="Normal 42 2" xfId="2062" xr:uid="{00000000-0005-0000-0000-000057060000}"/>
    <cellStyle name="Normal 43" xfId="639" xr:uid="{00000000-0005-0000-0000-000058060000}"/>
    <cellStyle name="Normal 43 2" xfId="2063" xr:uid="{00000000-0005-0000-0000-000059060000}"/>
    <cellStyle name="Normal 44" xfId="640" xr:uid="{00000000-0005-0000-0000-00005A060000}"/>
    <cellStyle name="Normal 44 2" xfId="1066" xr:uid="{00000000-0005-0000-0000-00005B060000}"/>
    <cellStyle name="Normal 44 2 2" xfId="1290" xr:uid="{00000000-0005-0000-0000-00005C060000}"/>
    <cellStyle name="Normal 44 2 3" xfId="1778" xr:uid="{00000000-0005-0000-0000-00005D060000}"/>
    <cellStyle name="Normal 44 3" xfId="1009" xr:uid="{00000000-0005-0000-0000-00005E060000}"/>
    <cellStyle name="Normal 44 3 2" xfId="2064" xr:uid="{00000000-0005-0000-0000-00005F060000}"/>
    <cellStyle name="Normal 45" xfId="641" xr:uid="{00000000-0005-0000-0000-000060060000}"/>
    <cellStyle name="Normal 45 2" xfId="2065" xr:uid="{00000000-0005-0000-0000-000061060000}"/>
    <cellStyle name="Normal 46" xfId="642" xr:uid="{00000000-0005-0000-0000-000062060000}"/>
    <cellStyle name="Normal 46 2" xfId="2066" xr:uid="{00000000-0005-0000-0000-000063060000}"/>
    <cellStyle name="Normal 47" xfId="643" xr:uid="{00000000-0005-0000-0000-000064060000}"/>
    <cellStyle name="Normal 47 2" xfId="2067" xr:uid="{00000000-0005-0000-0000-000065060000}"/>
    <cellStyle name="Normal 48" xfId="644" xr:uid="{00000000-0005-0000-0000-000066060000}"/>
    <cellStyle name="Normal 48 2" xfId="2068" xr:uid="{00000000-0005-0000-0000-000067060000}"/>
    <cellStyle name="Normal 49" xfId="645" xr:uid="{00000000-0005-0000-0000-000068060000}"/>
    <cellStyle name="Normal 49 2" xfId="2069" xr:uid="{00000000-0005-0000-0000-000069060000}"/>
    <cellStyle name="Normal 5" xfId="646" xr:uid="{00000000-0005-0000-0000-00006A060000}"/>
    <cellStyle name="Normal 5 10" xfId="647" xr:uid="{00000000-0005-0000-0000-00006B060000}"/>
    <cellStyle name="Normal 5 10 2" xfId="648" xr:uid="{00000000-0005-0000-0000-00006C060000}"/>
    <cellStyle name="Normal 5 10 2 10" xfId="649" xr:uid="{00000000-0005-0000-0000-00006D060000}"/>
    <cellStyle name="Normal 5 10 2 10 2" xfId="2070" xr:uid="{00000000-0005-0000-0000-00006E060000}"/>
    <cellStyle name="Normal 5 10 2 11" xfId="650" xr:uid="{00000000-0005-0000-0000-00006F060000}"/>
    <cellStyle name="Normal 5 10 2 11 2" xfId="2071" xr:uid="{00000000-0005-0000-0000-000070060000}"/>
    <cellStyle name="Normal 5 10 2 12" xfId="651" xr:uid="{00000000-0005-0000-0000-000071060000}"/>
    <cellStyle name="Normal 5 10 2 12 2" xfId="2072" xr:uid="{00000000-0005-0000-0000-000072060000}"/>
    <cellStyle name="Normal 5 10 2 13" xfId="2073" xr:uid="{00000000-0005-0000-0000-000073060000}"/>
    <cellStyle name="Normal 5 10 2 2" xfId="652" xr:uid="{00000000-0005-0000-0000-000074060000}"/>
    <cellStyle name="Normal 5 10 2 2 2" xfId="2074" xr:uid="{00000000-0005-0000-0000-000075060000}"/>
    <cellStyle name="Normal 5 10 2 3" xfId="653" xr:uid="{00000000-0005-0000-0000-000076060000}"/>
    <cellStyle name="Normal 5 10 2 3 2" xfId="2075" xr:uid="{00000000-0005-0000-0000-000077060000}"/>
    <cellStyle name="Normal 5 10 2 4" xfId="654" xr:uid="{00000000-0005-0000-0000-000078060000}"/>
    <cellStyle name="Normal 5 10 2 4 2" xfId="2076" xr:uid="{00000000-0005-0000-0000-000079060000}"/>
    <cellStyle name="Normal 5 10 2 5" xfId="655" xr:uid="{00000000-0005-0000-0000-00007A060000}"/>
    <cellStyle name="Normal 5 10 2 5 2" xfId="2077" xr:uid="{00000000-0005-0000-0000-00007B060000}"/>
    <cellStyle name="Normal 5 10 2 6" xfId="656" xr:uid="{00000000-0005-0000-0000-00007C060000}"/>
    <cellStyle name="Normal 5 10 2 6 2" xfId="2078" xr:uid="{00000000-0005-0000-0000-00007D060000}"/>
    <cellStyle name="Normal 5 10 2 7" xfId="657" xr:uid="{00000000-0005-0000-0000-00007E060000}"/>
    <cellStyle name="Normal 5 10 2 7 2" xfId="2079" xr:uid="{00000000-0005-0000-0000-00007F060000}"/>
    <cellStyle name="Normal 5 10 2 8" xfId="658" xr:uid="{00000000-0005-0000-0000-000080060000}"/>
    <cellStyle name="Normal 5 10 2 8 2" xfId="2080" xr:uid="{00000000-0005-0000-0000-000081060000}"/>
    <cellStyle name="Normal 5 10 2 9" xfId="659" xr:uid="{00000000-0005-0000-0000-000082060000}"/>
    <cellStyle name="Normal 5 10 2 9 2" xfId="2081" xr:uid="{00000000-0005-0000-0000-000083060000}"/>
    <cellStyle name="Normal 5 10 3" xfId="2082" xr:uid="{00000000-0005-0000-0000-000084060000}"/>
    <cellStyle name="Normal 5 2" xfId="5" xr:uid="{00000000-0005-0000-0000-000085060000}"/>
    <cellStyle name="Normal 5 2 2" xfId="660" xr:uid="{00000000-0005-0000-0000-000086060000}"/>
    <cellStyle name="Normal 5 3" xfId="661" xr:uid="{00000000-0005-0000-0000-000087060000}"/>
    <cellStyle name="Normal 5 4" xfId="662" xr:uid="{00000000-0005-0000-0000-000088060000}"/>
    <cellStyle name="Normal 5 4 2" xfId="1010" xr:uid="{00000000-0005-0000-0000-000089060000}"/>
    <cellStyle name="Normal 5 4 2 2" xfId="1291" xr:uid="{00000000-0005-0000-0000-00008A060000}"/>
    <cellStyle name="Normal 5 4 3" xfId="1292" xr:uid="{00000000-0005-0000-0000-00008B060000}"/>
    <cellStyle name="Normal 5 4 4" xfId="1779" xr:uid="{00000000-0005-0000-0000-00008C060000}"/>
    <cellStyle name="Normal 5 5" xfId="663" xr:uid="{00000000-0005-0000-0000-00008D060000}"/>
    <cellStyle name="Normal 5 5 2" xfId="664" xr:uid="{00000000-0005-0000-0000-00008E060000}"/>
    <cellStyle name="Normal 5 5 2 2" xfId="1293" xr:uid="{00000000-0005-0000-0000-00008F060000}"/>
    <cellStyle name="Normal 5 5 2 3" xfId="1294" xr:uid="{00000000-0005-0000-0000-000090060000}"/>
    <cellStyle name="Normal 5 5 2 4" xfId="1780" xr:uid="{00000000-0005-0000-0000-000091060000}"/>
    <cellStyle name="Normal 5 5 3" xfId="2083" xr:uid="{00000000-0005-0000-0000-000092060000}"/>
    <cellStyle name="Normal 5 6" xfId="665" xr:uid="{00000000-0005-0000-0000-000093060000}"/>
    <cellStyle name="Normal 5 6 2" xfId="2084" xr:uid="{00000000-0005-0000-0000-000094060000}"/>
    <cellStyle name="Normal 5 7" xfId="666" xr:uid="{00000000-0005-0000-0000-000095060000}"/>
    <cellStyle name="Normal 5 7 2" xfId="2085" xr:uid="{00000000-0005-0000-0000-000096060000}"/>
    <cellStyle name="Normal 5 8" xfId="667" xr:uid="{00000000-0005-0000-0000-000097060000}"/>
    <cellStyle name="Normal 5 8 2" xfId="2086" xr:uid="{00000000-0005-0000-0000-000098060000}"/>
    <cellStyle name="Normal 5 9" xfId="668" xr:uid="{00000000-0005-0000-0000-000099060000}"/>
    <cellStyle name="Normal 5 9 2" xfId="2087" xr:uid="{00000000-0005-0000-0000-00009A060000}"/>
    <cellStyle name="Normal 50" xfId="669" xr:uid="{00000000-0005-0000-0000-00009B060000}"/>
    <cellStyle name="Normal 50 2" xfId="2088" xr:uid="{00000000-0005-0000-0000-00009C060000}"/>
    <cellStyle name="Normal 51" xfId="670" xr:uid="{00000000-0005-0000-0000-00009D060000}"/>
    <cellStyle name="Normal 51 2" xfId="2089" xr:uid="{00000000-0005-0000-0000-00009E060000}"/>
    <cellStyle name="Normal 52" xfId="671" xr:uid="{00000000-0005-0000-0000-00009F060000}"/>
    <cellStyle name="Normal 52 2" xfId="2090" xr:uid="{00000000-0005-0000-0000-0000A0060000}"/>
    <cellStyle name="Normal 53" xfId="672" xr:uid="{00000000-0005-0000-0000-0000A1060000}"/>
    <cellStyle name="Normal 53 2" xfId="2091" xr:uid="{00000000-0005-0000-0000-0000A2060000}"/>
    <cellStyle name="Normal 54" xfId="673" xr:uid="{00000000-0005-0000-0000-0000A3060000}"/>
    <cellStyle name="Normal 54 2" xfId="1295" xr:uid="{00000000-0005-0000-0000-0000A4060000}"/>
    <cellStyle name="Normal 54 3" xfId="1296" xr:uid="{00000000-0005-0000-0000-0000A5060000}"/>
    <cellStyle name="Normal 54 4" xfId="1781" xr:uid="{00000000-0005-0000-0000-0000A6060000}"/>
    <cellStyle name="Normal 55" xfId="674" xr:uid="{00000000-0005-0000-0000-0000A7060000}"/>
    <cellStyle name="Normal 55 2" xfId="2092" xr:uid="{00000000-0005-0000-0000-0000A8060000}"/>
    <cellStyle name="Normal 56" xfId="675" xr:uid="{00000000-0005-0000-0000-0000A9060000}"/>
    <cellStyle name="Normal 57" xfId="676" xr:uid="{00000000-0005-0000-0000-0000AA060000}"/>
    <cellStyle name="Normal 57 2" xfId="1297" xr:uid="{00000000-0005-0000-0000-0000AB060000}"/>
    <cellStyle name="Normal 57 3" xfId="1298" xr:uid="{00000000-0005-0000-0000-0000AC060000}"/>
    <cellStyle name="Normal 57 4" xfId="1782" xr:uid="{00000000-0005-0000-0000-0000AD060000}"/>
    <cellStyle name="Normal 58" xfId="677" xr:uid="{00000000-0005-0000-0000-0000AE060000}"/>
    <cellStyle name="Normal 58 2" xfId="1783" xr:uid="{00000000-0005-0000-0000-0000AF060000}"/>
    <cellStyle name="Normal 59" xfId="30" xr:uid="{00000000-0005-0000-0000-0000B0060000}"/>
    <cellStyle name="Normal 59 2" xfId="1784" xr:uid="{00000000-0005-0000-0000-0000B1060000}"/>
    <cellStyle name="Normal 6" xfId="678" xr:uid="{00000000-0005-0000-0000-0000B2060000}"/>
    <cellStyle name="Normal 6 10" xfId="679" xr:uid="{00000000-0005-0000-0000-0000B3060000}"/>
    <cellStyle name="Normal 6 10 2" xfId="2093" xr:uid="{00000000-0005-0000-0000-0000B4060000}"/>
    <cellStyle name="Normal 6 11" xfId="680" xr:uid="{00000000-0005-0000-0000-0000B5060000}"/>
    <cellStyle name="Normal 6 11 2" xfId="2094" xr:uid="{00000000-0005-0000-0000-0000B6060000}"/>
    <cellStyle name="Normal 6 12" xfId="681" xr:uid="{00000000-0005-0000-0000-0000B7060000}"/>
    <cellStyle name="Normal 6 12 2" xfId="2095" xr:uid="{00000000-0005-0000-0000-0000B8060000}"/>
    <cellStyle name="Normal 6 13" xfId="1299" xr:uid="{00000000-0005-0000-0000-0000B9060000}"/>
    <cellStyle name="Normal 6 14" xfId="1300" xr:uid="{00000000-0005-0000-0000-0000BA060000}"/>
    <cellStyle name="Normal 6 2" xfId="682" xr:uid="{00000000-0005-0000-0000-0000BB060000}"/>
    <cellStyle name="Normal 6 2 2" xfId="683" xr:uid="{00000000-0005-0000-0000-0000BC060000}"/>
    <cellStyle name="Normal 6 2 2 2" xfId="684" xr:uid="{00000000-0005-0000-0000-0000BD060000}"/>
    <cellStyle name="Normal 6 2 2 2 2" xfId="1301" xr:uid="{00000000-0005-0000-0000-0000BE060000}"/>
    <cellStyle name="Normal 6 2 2 2 3" xfId="1302" xr:uid="{00000000-0005-0000-0000-0000BF060000}"/>
    <cellStyle name="Normal 6 2 2 2 4" xfId="1785" xr:uid="{00000000-0005-0000-0000-0000C0060000}"/>
    <cellStyle name="Normal 6 2 2 3" xfId="1074" xr:uid="{00000000-0005-0000-0000-0000C1060000}"/>
    <cellStyle name="Normal 6 2 2 3 2" xfId="1303" xr:uid="{00000000-0005-0000-0000-0000C2060000}"/>
    <cellStyle name="Normal 6 2 2 4" xfId="1304" xr:uid="{00000000-0005-0000-0000-0000C3060000}"/>
    <cellStyle name="Normal 6 2 2 5" xfId="1786" xr:uid="{00000000-0005-0000-0000-0000C4060000}"/>
    <cellStyle name="Normal 6 2 2_DGO" xfId="1787" xr:uid="{00000000-0005-0000-0000-0000C5060000}"/>
    <cellStyle name="Normal 6 2 3" xfId="685" xr:uid="{00000000-0005-0000-0000-0000C6060000}"/>
    <cellStyle name="Normal 6 2 3 2" xfId="686" xr:uid="{00000000-0005-0000-0000-0000C7060000}"/>
    <cellStyle name="Normal 6 2 3 2 2" xfId="1305" xr:uid="{00000000-0005-0000-0000-0000C8060000}"/>
    <cellStyle name="Normal 6 2 3 2 3" xfId="1306" xr:uid="{00000000-0005-0000-0000-0000C9060000}"/>
    <cellStyle name="Normal 6 2 3 2 4" xfId="1788" xr:uid="{00000000-0005-0000-0000-0000CA060000}"/>
    <cellStyle name="Normal 6 2 3_DGO" xfId="1789" xr:uid="{00000000-0005-0000-0000-0000CB060000}"/>
    <cellStyle name="Normal 6 2 4" xfId="687" xr:uid="{00000000-0005-0000-0000-0000CC060000}"/>
    <cellStyle name="Normal 6 2 4 2" xfId="1307" xr:uid="{00000000-0005-0000-0000-0000CD060000}"/>
    <cellStyle name="Normal 6 2 4 3" xfId="1308" xr:uid="{00000000-0005-0000-0000-0000CE060000}"/>
    <cellStyle name="Normal 6 2 4 4" xfId="1790" xr:uid="{00000000-0005-0000-0000-0000CF060000}"/>
    <cellStyle name="Normal 6 2 5" xfId="688" xr:uid="{00000000-0005-0000-0000-0000D0060000}"/>
    <cellStyle name="Normal 6 2 6" xfId="1309" xr:uid="{00000000-0005-0000-0000-0000D1060000}"/>
    <cellStyle name="Normal 6 2 7" xfId="1310" xr:uid="{00000000-0005-0000-0000-0000D2060000}"/>
    <cellStyle name="Normal 6 2_DGO" xfId="1791" xr:uid="{00000000-0005-0000-0000-0000D3060000}"/>
    <cellStyle name="Normal 6 3" xfId="689" xr:uid="{00000000-0005-0000-0000-0000D4060000}"/>
    <cellStyle name="Normal 6 3 2" xfId="690" xr:uid="{00000000-0005-0000-0000-0000D5060000}"/>
    <cellStyle name="Normal 6 3 2 2" xfId="2096" xr:uid="{00000000-0005-0000-0000-0000D6060000}"/>
    <cellStyle name="Normal 6 3 3" xfId="1311" xr:uid="{00000000-0005-0000-0000-0000D7060000}"/>
    <cellStyle name="Normal 6 3 4" xfId="1312" xr:uid="{00000000-0005-0000-0000-0000D8060000}"/>
    <cellStyle name="Normal 6 3 5" xfId="1792" xr:uid="{00000000-0005-0000-0000-0000D9060000}"/>
    <cellStyle name="Normal 6 3_DGO" xfId="1793" xr:uid="{00000000-0005-0000-0000-0000DA060000}"/>
    <cellStyle name="Normal 6 4" xfId="691" xr:uid="{00000000-0005-0000-0000-0000DB060000}"/>
    <cellStyle name="Normal 6 4 2" xfId="692" xr:uid="{00000000-0005-0000-0000-0000DC060000}"/>
    <cellStyle name="Normal 6 4 2 2" xfId="1313" xr:uid="{00000000-0005-0000-0000-0000DD060000}"/>
    <cellStyle name="Normal 6 4 2 3" xfId="1314" xr:uid="{00000000-0005-0000-0000-0000DE060000}"/>
    <cellStyle name="Normal 6 4 2 4" xfId="1794" xr:uid="{00000000-0005-0000-0000-0000DF060000}"/>
    <cellStyle name="Normal 6 4_DGO" xfId="1795" xr:uid="{00000000-0005-0000-0000-0000E0060000}"/>
    <cellStyle name="Normal 6 5" xfId="693" xr:uid="{00000000-0005-0000-0000-0000E1060000}"/>
    <cellStyle name="Normal 6 5 2" xfId="1315" xr:uid="{00000000-0005-0000-0000-0000E2060000}"/>
    <cellStyle name="Normal 6 5 3" xfId="1316" xr:uid="{00000000-0005-0000-0000-0000E3060000}"/>
    <cellStyle name="Normal 6 5 4" xfId="1796" xr:uid="{00000000-0005-0000-0000-0000E4060000}"/>
    <cellStyle name="Normal 6 6" xfId="694" xr:uid="{00000000-0005-0000-0000-0000E5060000}"/>
    <cellStyle name="Normal 6 7" xfId="695" xr:uid="{00000000-0005-0000-0000-0000E6060000}"/>
    <cellStyle name="Normal 6 7 2" xfId="2097" xr:uid="{00000000-0005-0000-0000-0000E7060000}"/>
    <cellStyle name="Normal 6 8" xfId="696" xr:uid="{00000000-0005-0000-0000-0000E8060000}"/>
    <cellStyle name="Normal 6 8 2" xfId="2098" xr:uid="{00000000-0005-0000-0000-0000E9060000}"/>
    <cellStyle name="Normal 6 9" xfId="697" xr:uid="{00000000-0005-0000-0000-0000EA060000}"/>
    <cellStyle name="Normal 6 9 2" xfId="2099" xr:uid="{00000000-0005-0000-0000-0000EB060000}"/>
    <cellStyle name="Normal 6_DGO" xfId="1797" xr:uid="{00000000-0005-0000-0000-0000EC060000}"/>
    <cellStyle name="Normal 60" xfId="919" xr:uid="{00000000-0005-0000-0000-0000ED060000}"/>
    <cellStyle name="Normal 60 2" xfId="40" xr:uid="{00000000-0005-0000-0000-0000EE060000}"/>
    <cellStyle name="Normal 60_Cópia de INE_DGO_TC_NV" xfId="1798" xr:uid="{00000000-0005-0000-0000-0000EF060000}"/>
    <cellStyle name="Normal 61" xfId="928" xr:uid="{00000000-0005-0000-0000-0000F0060000}"/>
    <cellStyle name="Normal 61 2" xfId="2100" xr:uid="{00000000-0005-0000-0000-0000F1060000}"/>
    <cellStyle name="Normal 61 3" xfId="1317" xr:uid="{00000000-0005-0000-0000-0000F2060000}"/>
    <cellStyle name="Normal 62" xfId="929" xr:uid="{00000000-0005-0000-0000-0000F3060000}"/>
    <cellStyle name="Normal 62 2" xfId="2101" xr:uid="{00000000-0005-0000-0000-0000F4060000}"/>
    <cellStyle name="Normal 62 3" xfId="2102" xr:uid="{00000000-0005-0000-0000-0000F5060000}"/>
    <cellStyle name="Normal 62 4" xfId="1318" xr:uid="{00000000-0005-0000-0000-0000F6060000}"/>
    <cellStyle name="Normal 63" xfId="1466" xr:uid="{00000000-0005-0000-0000-0000F7060000}"/>
    <cellStyle name="Normal 64" xfId="1467" xr:uid="{00000000-0005-0000-0000-0000F8060000}"/>
    <cellStyle name="Normal 65" xfId="1468" xr:uid="{00000000-0005-0000-0000-0000F9060000}"/>
    <cellStyle name="Normal 66" xfId="1799" xr:uid="{00000000-0005-0000-0000-0000FA060000}"/>
    <cellStyle name="Normal 67" xfId="2103" xr:uid="{00000000-0005-0000-0000-0000FB060000}"/>
    <cellStyle name="Normal 68" xfId="2233" xr:uid="{00000000-0005-0000-0000-0000FC060000}"/>
    <cellStyle name="Normal 69" xfId="3" xr:uid="{00000000-0005-0000-0000-0000FD060000}"/>
    <cellStyle name="Normal 69 2" xfId="4" xr:uid="{00000000-0005-0000-0000-0000FE060000}"/>
    <cellStyle name="Normal 7" xfId="698" xr:uid="{00000000-0005-0000-0000-0000FF060000}"/>
    <cellStyle name="Normal 7 2" xfId="32" xr:uid="{00000000-0005-0000-0000-000000070000}"/>
    <cellStyle name="Normal 7 2 2" xfId="699" xr:uid="{00000000-0005-0000-0000-000001070000}"/>
    <cellStyle name="Normal 7 2 2 2" xfId="700" xr:uid="{00000000-0005-0000-0000-000002070000}"/>
    <cellStyle name="Normal 7 2 2 2 2" xfId="1319" xr:uid="{00000000-0005-0000-0000-000003070000}"/>
    <cellStyle name="Normal 7 2 2 2 3" xfId="998" xr:uid="{00000000-0005-0000-0000-000004070000}"/>
    <cellStyle name="Normal 7 2 2 2 3 2" xfId="1439" xr:uid="{00000000-0005-0000-0000-000005070000}"/>
    <cellStyle name="Normal 7 2 2 2 3 2 2" xfId="1442" xr:uid="{00000000-0005-0000-0000-000006070000}"/>
    <cellStyle name="Normal 7 2 2 2 3 2 3" xfId="1445" xr:uid="{00000000-0005-0000-0000-000007070000}"/>
    <cellStyle name="Normal 7 2 2 2 3 2 3 2" xfId="1449" xr:uid="{00000000-0005-0000-0000-000008070000}"/>
    <cellStyle name="Normal 7 2 2 2 3 2 4" xfId="1451" xr:uid="{00000000-0005-0000-0000-000009070000}"/>
    <cellStyle name="Normal 7 2 2 2 3 2 5" xfId="1454" xr:uid="{00000000-0005-0000-0000-00000A070000}"/>
    <cellStyle name="Normal 7 2 2 2 3 2 5 2" xfId="1457" xr:uid="{00000000-0005-0000-0000-00000B070000}"/>
    <cellStyle name="Normal 7 2 2 2 3 2 5 2 2" xfId="1463" xr:uid="{00000000-0005-0000-0000-00000C070000}"/>
    <cellStyle name="Normal 7 2 2 2 3 2 5 2 3" xfId="1469" xr:uid="{00000000-0005-0000-0000-00000D070000}"/>
    <cellStyle name="Normal 7 2 2 2 3 2 5 2 4" xfId="1474" xr:uid="{00000000-0005-0000-0000-00000E070000}"/>
    <cellStyle name="Normal 7 2 2 2 3 2 5 2 4 2" xfId="1480" xr:uid="{00000000-0005-0000-0000-00000F070000}"/>
    <cellStyle name="Normal 7 2 2 2 3 2 5 2 4 2 2" xfId="1485" xr:uid="{00000000-0005-0000-0000-000010070000}"/>
    <cellStyle name="Normal 7 2 2 2 3 2 5 2 4 2 2 2" xfId="1490" xr:uid="{00000000-0005-0000-0000-000011070000}"/>
    <cellStyle name="Normal 7 2 2 2 3 2 5 2 4 2 2 2 2" xfId="1497" xr:uid="{00000000-0005-0000-0000-000012070000}"/>
    <cellStyle name="Normal 7 2 2 2 3 2 5 2 4 2 2 2 2 2" xfId="1501" xr:uid="{00000000-0005-0000-0000-000013070000}"/>
    <cellStyle name="Normal 7 2 2 2 3 2 5 2 4 2 2 2 2 2 10" xfId="35" xr:uid="{00000000-0005-0000-0000-000014070000}"/>
    <cellStyle name="Normal 7 2 2 2 3 2 5 2 4 2 2 2 2 2 2" xfId="1506" xr:uid="{00000000-0005-0000-0000-000015070000}"/>
    <cellStyle name="Normal 7 2 2 2 3 2 5 2 4 2 2 2 2 2 3" xfId="1512" xr:uid="{00000000-0005-0000-0000-000016070000}"/>
    <cellStyle name="Normal 7 2 2 2 3 2 5 2 4 2 2 2 2 2 4" xfId="1518" xr:uid="{00000000-0005-0000-0000-000017070000}"/>
    <cellStyle name="Normal 7 2 2 2 3 2 5 2 4 2 2 2 2 2 5" xfId="1872" xr:uid="{00000000-0005-0000-0000-000018070000}"/>
    <cellStyle name="Normal 7 2 2 2 3 2 5 2 4 2 2 2 2 2 5 2" xfId="2205" xr:uid="{00000000-0005-0000-0000-000019070000}"/>
    <cellStyle name="Normal 7 2 2 2 3 2 5 2 4 2 2 2 2 2 6" xfId="2200" xr:uid="{00000000-0005-0000-0000-00001A070000}"/>
    <cellStyle name="Normal 7 2 2 2 3 2 5 2 4 2 2 2 2 2 7" xfId="2209" xr:uid="{00000000-0005-0000-0000-00001B070000}"/>
    <cellStyle name="Normal 7 2 2 2 3 2 5 2 4 2 2 2 2 2 7 2" xfId="2215" xr:uid="{00000000-0005-0000-0000-00001C070000}"/>
    <cellStyle name="Normal 7 2 2 2 3 2 5 2 4 2 2 2 2 2 8" xfId="2221" xr:uid="{00000000-0005-0000-0000-00001D070000}"/>
    <cellStyle name="Normal 7 2 2 2 3 2 5 2 4 2 2 2 2 2 9" xfId="2227" xr:uid="{00000000-0005-0000-0000-00001E070000}"/>
    <cellStyle name="Normal 7 2 2 2 3 2 5 2 4 3" xfId="1482" xr:uid="{00000000-0005-0000-0000-00001F070000}"/>
    <cellStyle name="Normal 7 2 2 2 3 2 5 2 4 3 2" xfId="1487" xr:uid="{00000000-0005-0000-0000-000020070000}"/>
    <cellStyle name="Normal 7 2 2 2 3 2 5 2 4 3 3" xfId="1492" xr:uid="{00000000-0005-0000-0000-000021070000}"/>
    <cellStyle name="Normal 7 2 2 2 3 2 5 2 4 3 4" xfId="1493" xr:uid="{00000000-0005-0000-0000-000022070000}"/>
    <cellStyle name="Normal 7 2 2 2 3 2 5 2 4 3 5" xfId="1499" xr:uid="{00000000-0005-0000-0000-000023070000}"/>
    <cellStyle name="Normal 7 2 2 2 3 2 5 2 4 3 5 2" xfId="1508" xr:uid="{00000000-0005-0000-0000-000024070000}"/>
    <cellStyle name="Normal 7 2 2 2 3 2 5 2 4 3 5 3" xfId="1514" xr:uid="{00000000-0005-0000-0000-000025070000}"/>
    <cellStyle name="Normal 7 2 2 2 3 2 5 2 4 3 5 4" xfId="1520" xr:uid="{00000000-0005-0000-0000-000026070000}"/>
    <cellStyle name="Normal 7 2 2 2 3 2 5 2 4 3 5 4 2" xfId="37" xr:uid="{00000000-0005-0000-0000-000027070000}"/>
    <cellStyle name="Normal 7 2 2 2 3 2 5 2 4 3 5 4 2 2" xfId="2202" xr:uid="{00000000-0005-0000-0000-000028070000}"/>
    <cellStyle name="Normal 7 2 2 2 3 2 5 2 4 3 5 4 2 3" xfId="2211" xr:uid="{00000000-0005-0000-0000-000029070000}"/>
    <cellStyle name="Normal 7 2 2 2 3 2 5 2 4 3 5 4 2 4" xfId="2223" xr:uid="{00000000-0005-0000-0000-00002A070000}"/>
    <cellStyle name="Normal 7 2 2 2 3 2 5 2 4 3 5 4 2 5" xfId="2229" xr:uid="{00000000-0005-0000-0000-00002B070000}"/>
    <cellStyle name="Normal 7 2 2 2 3 2 5 2 4 3 5 4 2 6" xfId="2232" xr:uid="{00000000-0005-0000-0000-00002C070000}"/>
    <cellStyle name="Normal 7 2 2 2 3 2 5 3" xfId="1462" xr:uid="{00000000-0005-0000-0000-00002D070000}"/>
    <cellStyle name="Normal 7 2 2 2 4" xfId="1800" xr:uid="{00000000-0005-0000-0000-00002E070000}"/>
    <cellStyle name="Normal 7 2 2 3" xfId="1064" xr:uid="{00000000-0005-0000-0000-00002F070000}"/>
    <cellStyle name="Normal 7 2 2 3 2" xfId="1440" xr:uid="{00000000-0005-0000-0000-000030070000}"/>
    <cellStyle name="Normal 7 2 2 3 2 2" xfId="1441" xr:uid="{00000000-0005-0000-0000-000031070000}"/>
    <cellStyle name="Normal 7 2 2 3 2 3" xfId="1444" xr:uid="{00000000-0005-0000-0000-000032070000}"/>
    <cellStyle name="Normal 7 2 2 3 2 3 2" xfId="1447" xr:uid="{00000000-0005-0000-0000-000033070000}"/>
    <cellStyle name="Normal 7 2 2 3 2 4" xfId="1450" xr:uid="{00000000-0005-0000-0000-000034070000}"/>
    <cellStyle name="Normal 7 2 2 3 2 5" xfId="1453" xr:uid="{00000000-0005-0000-0000-000035070000}"/>
    <cellStyle name="Normal 7 2 2 3 2 5 2" xfId="1458" xr:uid="{00000000-0005-0000-0000-000036070000}"/>
    <cellStyle name="Normal 7 2 2 3 2 5 2 2" xfId="1465" xr:uid="{00000000-0005-0000-0000-000037070000}"/>
    <cellStyle name="Normal 7 2 2 3 2 5 2 3" xfId="1473" xr:uid="{00000000-0005-0000-0000-000038070000}"/>
    <cellStyle name="Normal 7 2 2 3 2 5 2 3 2" xfId="1481" xr:uid="{00000000-0005-0000-0000-000039070000}"/>
    <cellStyle name="Normal 7 2 2 3 2 5 2 3 2 2" xfId="1486" xr:uid="{00000000-0005-0000-0000-00003A070000}"/>
    <cellStyle name="Normal 7 2 2 3 2 5 2 3 2 2 2" xfId="1491" xr:uid="{00000000-0005-0000-0000-00003B070000}"/>
    <cellStyle name="Normal 7 2 2 3 2 5 2 3 2 2 2 2" xfId="1498" xr:uid="{00000000-0005-0000-0000-00003C070000}"/>
    <cellStyle name="Normal 7 2 2 3 2 5 2 3 2 2 2 2 2" xfId="1502" xr:uid="{00000000-0005-0000-0000-00003D070000}"/>
    <cellStyle name="Normal 7 2 2 3 2 5 2 3 2 2 2 2 2 10" xfId="36" xr:uid="{00000000-0005-0000-0000-00003E070000}"/>
    <cellStyle name="Normal 7 2 2 3 2 5 2 3 2 2 2 2 2 2" xfId="1507" xr:uid="{00000000-0005-0000-0000-00003F070000}"/>
    <cellStyle name="Normal 7 2 2 3 2 5 2 3 2 2 2 2 2 3" xfId="1513" xr:uid="{00000000-0005-0000-0000-000040070000}"/>
    <cellStyle name="Normal 7 2 2 3 2 5 2 3 2 2 2 2 2 4" xfId="1519" xr:uid="{00000000-0005-0000-0000-000041070000}"/>
    <cellStyle name="Normal 7 2 2 3 2 5 2 3 2 2 2 2 2 5" xfId="1873" xr:uid="{00000000-0005-0000-0000-000042070000}"/>
    <cellStyle name="Normal 7 2 2 3 2 5 2 3 2 2 2 2 2 5 2" xfId="2203" xr:uid="{00000000-0005-0000-0000-000043070000}"/>
    <cellStyle name="Normal 7 2 2 3 2 5 2 3 2 2 2 2 2 6" xfId="2201" xr:uid="{00000000-0005-0000-0000-000044070000}"/>
    <cellStyle name="Normal 7 2 2 3 2 5 2 3 2 2 2 2 2 7" xfId="2210" xr:uid="{00000000-0005-0000-0000-000045070000}"/>
    <cellStyle name="Normal 7 2 2 3 2 5 2 3 2 2 2 2 2 7 2" xfId="2216" xr:uid="{00000000-0005-0000-0000-000046070000}"/>
    <cellStyle name="Normal 7 2 2 3 2 5 2 3 2 2 2 2 2 8" xfId="2222" xr:uid="{00000000-0005-0000-0000-000047070000}"/>
    <cellStyle name="Normal 7 2 2 3 2 5 2 3 2 2 2 2 2 9" xfId="2228" xr:uid="{00000000-0005-0000-0000-000048070000}"/>
    <cellStyle name="Normal 7 2 2 3 2 5 3" xfId="1464" xr:uid="{00000000-0005-0000-0000-000049070000}"/>
    <cellStyle name="Normal 7 2 2 3 2 6" xfId="1456" xr:uid="{00000000-0005-0000-0000-00004A070000}"/>
    <cellStyle name="Normal 7 2 2 3 2 6 2" xfId="1461" xr:uid="{00000000-0005-0000-0000-00004B070000}"/>
    <cellStyle name="Normal 7 2 2 3 2 6 3" xfId="1475" xr:uid="{00000000-0005-0000-0000-00004C070000}"/>
    <cellStyle name="Normal 7 2 2 3 2 6 3 2" xfId="1479" xr:uid="{00000000-0005-0000-0000-00004D070000}"/>
    <cellStyle name="Normal 7 2 2 3 2 6 3 2 2" xfId="1484" xr:uid="{00000000-0005-0000-0000-00004E070000}"/>
    <cellStyle name="Normal 7 2 2 3 2 6 3 2 3" xfId="1489" xr:uid="{00000000-0005-0000-0000-00004F070000}"/>
    <cellStyle name="Normal 7 2 2 3 2 6 3 2 3 2" xfId="1496" xr:uid="{00000000-0005-0000-0000-000050070000}"/>
    <cellStyle name="Normal 7 2 2 3 2 6 3 2 3 2 2" xfId="1500" xr:uid="{00000000-0005-0000-0000-000051070000}"/>
    <cellStyle name="Normal 7 2 2 3 2 6 3 2 3 2 2 10" xfId="34" xr:uid="{00000000-0005-0000-0000-000052070000}"/>
    <cellStyle name="Normal 7 2 2 3 2 6 3 2 3 2 2 2" xfId="1505" xr:uid="{00000000-0005-0000-0000-000053070000}"/>
    <cellStyle name="Normal 7 2 2 3 2 6 3 2 3 2 2 3" xfId="1511" xr:uid="{00000000-0005-0000-0000-000054070000}"/>
    <cellStyle name="Normal 7 2 2 3 2 6 3 2 3 2 2 4" xfId="1517" xr:uid="{00000000-0005-0000-0000-000055070000}"/>
    <cellStyle name="Normal 7 2 2 3 2 6 3 2 3 2 2 5" xfId="1871" xr:uid="{00000000-0005-0000-0000-000056070000}"/>
    <cellStyle name="Normal 7 2 2 3 2 6 3 2 3 2 2 5 2" xfId="2204" xr:uid="{00000000-0005-0000-0000-000057070000}"/>
    <cellStyle name="Normal 7 2 2 3 2 6 3 2 3 2 2 6" xfId="2199" xr:uid="{00000000-0005-0000-0000-000058070000}"/>
    <cellStyle name="Normal 7 2 2 3 2 6 3 2 3 2 2 7" xfId="2208" xr:uid="{00000000-0005-0000-0000-000059070000}"/>
    <cellStyle name="Normal 7 2 2 3 2 6 3 2 3 2 2 7 2" xfId="2214" xr:uid="{00000000-0005-0000-0000-00005A070000}"/>
    <cellStyle name="Normal 7 2 2 3 2 6 3 2 3 2 2 8" xfId="2220" xr:uid="{00000000-0005-0000-0000-00005B070000}"/>
    <cellStyle name="Normal 7 2 2 3 2 6 3 2 3 2 2 9" xfId="2226" xr:uid="{00000000-0005-0000-0000-00005C070000}"/>
    <cellStyle name="Normal 7 2 2 3 2 7" xfId="1460" xr:uid="{00000000-0005-0000-0000-00005D070000}"/>
    <cellStyle name="Normal 7 2 2 3 2 8" xfId="1472" xr:uid="{00000000-0005-0000-0000-00005E070000}"/>
    <cellStyle name="Normal 7 2 2 3 2 8 2" xfId="1478" xr:uid="{00000000-0005-0000-0000-00005F070000}"/>
    <cellStyle name="Normal 7 2 2 3 2 8 2 2" xfId="1483" xr:uid="{00000000-0005-0000-0000-000060070000}"/>
    <cellStyle name="Normal 7 2 2 3 2 8 2 3" xfId="1488" xr:uid="{00000000-0005-0000-0000-000061070000}"/>
    <cellStyle name="Normal 7 2 2 3 2 8 2 3 2" xfId="1495" xr:uid="{00000000-0005-0000-0000-000062070000}"/>
    <cellStyle name="Normal 7 2 2 3 2 8 2 3 2 2" xfId="33" xr:uid="{00000000-0005-0000-0000-000063070000}"/>
    <cellStyle name="Normal 7 2 2 3 2 8 2 3 2 2 10" xfId="2231" xr:uid="{00000000-0005-0000-0000-000064070000}"/>
    <cellStyle name="Normal 7 2 2 3 2 8 2 3 2 2 2" xfId="1504" xr:uid="{00000000-0005-0000-0000-000065070000}"/>
    <cellStyle name="Normal 7 2 2 3 2 8 2 3 2 2 3" xfId="1510" xr:uid="{00000000-0005-0000-0000-000066070000}"/>
    <cellStyle name="Normal 7 2 2 3 2 8 2 3 2 2 4" xfId="1516" xr:uid="{00000000-0005-0000-0000-000067070000}"/>
    <cellStyle name="Normal 7 2 2 3 2 8 2 3 2 2 5" xfId="1870" xr:uid="{00000000-0005-0000-0000-000068070000}"/>
    <cellStyle name="Normal 7 2 2 3 2 8 2 3 2 2 5 2" xfId="39" xr:uid="{00000000-0005-0000-0000-000069070000}"/>
    <cellStyle name="Normal 7 2 2 3 2 8 2 3 2 2 6" xfId="2198" xr:uid="{00000000-0005-0000-0000-00006A070000}"/>
    <cellStyle name="Normal 7 2 2 3 2 8 2 3 2 2 7" xfId="2207" xr:uid="{00000000-0005-0000-0000-00006B070000}"/>
    <cellStyle name="Normal 7 2 2 3 2 8 2 3 2 2 7 2" xfId="2213" xr:uid="{00000000-0005-0000-0000-00006C070000}"/>
    <cellStyle name="Normal 7 2 2 3 2 8 2 3 2 2 8" xfId="2219" xr:uid="{00000000-0005-0000-0000-00006D070000}"/>
    <cellStyle name="Normal 7 2 2 3 2 8 2 3 2 2 9" xfId="2225" xr:uid="{00000000-0005-0000-0000-00006E070000}"/>
    <cellStyle name="Normal 7 2 2 3 2 8 2 4" xfId="1494" xr:uid="{00000000-0005-0000-0000-00006F070000}"/>
    <cellStyle name="Normal 7 2 2 3 2 8 2 4 2" xfId="31" xr:uid="{00000000-0005-0000-0000-000070070000}"/>
    <cellStyle name="Normal 7 2 2 3 2 8 2 4 2 10" xfId="2230" xr:uid="{00000000-0005-0000-0000-000071070000}"/>
    <cellStyle name="Normal 7 2 2 3 2 8 2 4 2 2" xfId="1503" xr:uid="{00000000-0005-0000-0000-000072070000}"/>
    <cellStyle name="Normal 7 2 2 3 2 8 2 4 2 3" xfId="1509" xr:uid="{00000000-0005-0000-0000-000073070000}"/>
    <cellStyle name="Normal 7 2 2 3 2 8 2 4 2 4" xfId="1515" xr:uid="{00000000-0005-0000-0000-000074070000}"/>
    <cellStyle name="Normal 7 2 2 3 2 8 2 4 2 5" xfId="1869" xr:uid="{00000000-0005-0000-0000-000075070000}"/>
    <cellStyle name="Normal 7 2 2 3 2 8 2 4 2 5 2" xfId="38" xr:uid="{00000000-0005-0000-0000-000076070000}"/>
    <cellStyle name="Normal 7 2 2 3 2 8 2 4 2 6" xfId="2197" xr:uid="{00000000-0005-0000-0000-000077070000}"/>
    <cellStyle name="Normal 7 2 2 3 2 8 2 4 2 7" xfId="2206" xr:uid="{00000000-0005-0000-0000-000078070000}"/>
    <cellStyle name="Normal 7 2 2 3 2 8 2 4 2 7 2" xfId="2212" xr:uid="{00000000-0005-0000-0000-000079070000}"/>
    <cellStyle name="Normal 7 2 2 3 2 8 2 4 2 8" xfId="2218" xr:uid="{00000000-0005-0000-0000-00007A070000}"/>
    <cellStyle name="Normal 7 2 2 3 2 8 2 4 2 9" xfId="2224" xr:uid="{00000000-0005-0000-0000-00007B070000}"/>
    <cellStyle name="Normal 7 2 2 4" xfId="1320" xr:uid="{00000000-0005-0000-0000-00007C070000}"/>
    <cellStyle name="Normal 7 2 2 5" xfId="1801" xr:uid="{00000000-0005-0000-0000-00007D070000}"/>
    <cellStyle name="Normal 7 2 2 6" xfId="2217" xr:uid="{00000000-0005-0000-0000-00007E070000}"/>
    <cellStyle name="Normal 7 2 2_DGO" xfId="1802" xr:uid="{00000000-0005-0000-0000-00007F070000}"/>
    <cellStyle name="Normal 7 2 4" xfId="701" xr:uid="{00000000-0005-0000-0000-000080070000}"/>
    <cellStyle name="Normal 7 3" xfId="702" xr:uid="{00000000-0005-0000-0000-000081070000}"/>
    <cellStyle name="Normal 7 3 2" xfId="703" xr:uid="{00000000-0005-0000-0000-000082070000}"/>
    <cellStyle name="Normal 7 3 2 2" xfId="1321" xr:uid="{00000000-0005-0000-0000-000083070000}"/>
    <cellStyle name="Normal 7 3 2 3" xfId="1322" xr:uid="{00000000-0005-0000-0000-000084070000}"/>
    <cellStyle name="Normal 7 3 2 4" xfId="1803" xr:uid="{00000000-0005-0000-0000-000085070000}"/>
    <cellStyle name="Normal 7 3 3" xfId="1323" xr:uid="{00000000-0005-0000-0000-000086070000}"/>
    <cellStyle name="Normal 7 3 4" xfId="1324" xr:uid="{00000000-0005-0000-0000-000087070000}"/>
    <cellStyle name="Normal 7 3 5" xfId="1804" xr:uid="{00000000-0005-0000-0000-000088070000}"/>
    <cellStyle name="Normal 7 3_DGO" xfId="1805" xr:uid="{00000000-0005-0000-0000-000089070000}"/>
    <cellStyle name="Normal 7 4" xfId="704" xr:uid="{00000000-0005-0000-0000-00008A070000}"/>
    <cellStyle name="Normal 7 4 2" xfId="1325" xr:uid="{00000000-0005-0000-0000-00008B070000}"/>
    <cellStyle name="Normal 7 4 3" xfId="1326" xr:uid="{00000000-0005-0000-0000-00008C070000}"/>
    <cellStyle name="Normal 7 4 4" xfId="1806" xr:uid="{00000000-0005-0000-0000-00008D070000}"/>
    <cellStyle name="Normal 7 5" xfId="1011" xr:uid="{00000000-0005-0000-0000-00008E070000}"/>
    <cellStyle name="Normal 7_Livro1" xfId="1807" xr:uid="{00000000-0005-0000-0000-00008F070000}"/>
    <cellStyle name="Normal 70" xfId="1006" xr:uid="{00000000-0005-0000-0000-000090070000}"/>
    <cellStyle name="Normal 71" xfId="1438" xr:uid="{00000000-0005-0000-0000-000091070000}"/>
    <cellStyle name="Normal 72" xfId="2249" xr:uid="{00000000-0005-0000-0000-000092070000}"/>
    <cellStyle name="Normal 72 2" xfId="2321" xr:uid="{00000000-0005-0000-0000-000093070000}"/>
    <cellStyle name="Normal 73" xfId="2257" xr:uid="{00000000-0005-0000-0000-000094070000}"/>
    <cellStyle name="Normal 74" xfId="2258" xr:uid="{00000000-0005-0000-0000-000095070000}"/>
    <cellStyle name="Normal 75" xfId="2259" xr:uid="{00000000-0005-0000-0000-000096070000}"/>
    <cellStyle name="Normal 76" xfId="2260" xr:uid="{00000000-0005-0000-0000-000097070000}"/>
    <cellStyle name="Normal 77" xfId="2261" xr:uid="{00000000-0005-0000-0000-000098070000}"/>
    <cellStyle name="Normal 78" xfId="2262" xr:uid="{00000000-0005-0000-0000-000099070000}"/>
    <cellStyle name="Normal 79" xfId="2270" xr:uid="{00000000-0005-0000-0000-00009A070000}"/>
    <cellStyle name="Normal 8" xfId="705" xr:uid="{00000000-0005-0000-0000-00009B070000}"/>
    <cellStyle name="Normal 8 2" xfId="706" xr:uid="{00000000-0005-0000-0000-00009C070000}"/>
    <cellStyle name="Normal 8 2 2" xfId="707" xr:uid="{00000000-0005-0000-0000-00009D070000}"/>
    <cellStyle name="Normal 8 2 2 2" xfId="1327" xr:uid="{00000000-0005-0000-0000-00009E070000}"/>
    <cellStyle name="Normal 8 2 2 3" xfId="1328" xr:uid="{00000000-0005-0000-0000-00009F070000}"/>
    <cellStyle name="Normal 8 2 2 4" xfId="1808" xr:uid="{00000000-0005-0000-0000-0000A0070000}"/>
    <cellStyle name="Normal 8 2 3" xfId="1067" xr:uid="{00000000-0005-0000-0000-0000A1070000}"/>
    <cellStyle name="Normal 8 2 3 2" xfId="1329" xr:uid="{00000000-0005-0000-0000-0000A2070000}"/>
    <cellStyle name="Normal 8 2 4" xfId="1330" xr:uid="{00000000-0005-0000-0000-0000A3070000}"/>
    <cellStyle name="Normal 8 2 5" xfId="1809" xr:uid="{00000000-0005-0000-0000-0000A4070000}"/>
    <cellStyle name="Normal 8 2_DGO" xfId="1810" xr:uid="{00000000-0005-0000-0000-0000A5070000}"/>
    <cellStyle name="Normal 8 3" xfId="708" xr:uid="{00000000-0005-0000-0000-0000A6070000}"/>
    <cellStyle name="Normal 8 3 2" xfId="1075" xr:uid="{00000000-0005-0000-0000-0000A7070000}"/>
    <cellStyle name="Normal 8 3 2 2" xfId="1331" xr:uid="{00000000-0005-0000-0000-0000A8070000}"/>
    <cellStyle name="Normal 8 3 3" xfId="1332" xr:uid="{00000000-0005-0000-0000-0000A9070000}"/>
    <cellStyle name="Normal 8 3 4" xfId="1811" xr:uid="{00000000-0005-0000-0000-0000AA070000}"/>
    <cellStyle name="Normal 8 4" xfId="709" xr:uid="{00000000-0005-0000-0000-0000AB070000}"/>
    <cellStyle name="Normal 8 4 2" xfId="2104" xr:uid="{00000000-0005-0000-0000-0000AC070000}"/>
    <cellStyle name="Normal 8 5" xfId="1012" xr:uid="{00000000-0005-0000-0000-0000AD070000}"/>
    <cellStyle name="Normal 8 5 2" xfId="1333" xr:uid="{00000000-0005-0000-0000-0000AE070000}"/>
    <cellStyle name="Normal 8 6" xfId="1334" xr:uid="{00000000-0005-0000-0000-0000AF070000}"/>
    <cellStyle name="Normal 8 7" xfId="1812" xr:uid="{00000000-0005-0000-0000-0000B0070000}"/>
    <cellStyle name="Normal 8_DGO" xfId="1813" xr:uid="{00000000-0005-0000-0000-0000B1070000}"/>
    <cellStyle name="Normal 80" xfId="2271" xr:uid="{00000000-0005-0000-0000-0000B2070000}"/>
    <cellStyle name="Normal 81" xfId="2272" xr:uid="{00000000-0005-0000-0000-0000B3070000}"/>
    <cellStyle name="Normal 82" xfId="2273" xr:uid="{00000000-0005-0000-0000-0000B4070000}"/>
    <cellStyle name="Normal 83" xfId="2305" xr:uid="{00000000-0005-0000-0000-0000B5070000}"/>
    <cellStyle name="Normal 84" xfId="2306" xr:uid="{00000000-0005-0000-0000-0000B6070000}"/>
    <cellStyle name="Normal 85" xfId="2307" xr:uid="{00000000-0005-0000-0000-0000B7070000}"/>
    <cellStyle name="Normal 86" xfId="2309" xr:uid="{00000000-0005-0000-0000-0000B8070000}"/>
    <cellStyle name="Normal 87" xfId="2317" xr:uid="{00000000-0005-0000-0000-0000B9070000}"/>
    <cellStyle name="Normal 88" xfId="2318" xr:uid="{00000000-0005-0000-0000-0000BA070000}"/>
    <cellStyle name="Normal 89" xfId="2319" xr:uid="{00000000-0005-0000-0000-0000BB070000}"/>
    <cellStyle name="Normal 9" xfId="710" xr:uid="{00000000-0005-0000-0000-0000BC070000}"/>
    <cellStyle name="Normal 9 2" xfId="711" xr:uid="{00000000-0005-0000-0000-0000BD070000}"/>
    <cellStyle name="Normal 9 3" xfId="712" xr:uid="{00000000-0005-0000-0000-0000BE070000}"/>
    <cellStyle name="Normal 90" xfId="2323" xr:uid="{00000000-0005-0000-0000-0000BF070000}"/>
    <cellStyle name="Normal 91" xfId="2331" xr:uid="{00000000-0005-0000-0000-0000C0070000}"/>
    <cellStyle name="Normal 92" xfId="2332" xr:uid="{00000000-0005-0000-0000-0000C1070000}"/>
    <cellStyle name="Normal 93" xfId="2333" xr:uid="{00000000-0005-0000-0000-0000C2070000}"/>
    <cellStyle name="Normal 94" xfId="2334" xr:uid="{00000000-0005-0000-0000-0000C3070000}"/>
    <cellStyle name="Normal 95" xfId="2335" xr:uid="{00000000-0005-0000-0000-0000C4070000}"/>
    <cellStyle name="Normal 96" xfId="2343" xr:uid="{00000000-0005-0000-0000-0000C5070000}"/>
    <cellStyle name="Normal 97" xfId="2344" xr:uid="{00000000-0005-0000-0000-0000C6070000}"/>
    <cellStyle name="Normal 98" xfId="2345" xr:uid="{00000000-0005-0000-0000-0000C7070000}"/>
    <cellStyle name="Normal 99" xfId="2346" xr:uid="{00000000-0005-0000-0000-0000C8070000}"/>
    <cellStyle name="Normal Bold" xfId="713" xr:uid="{00000000-0005-0000-0000-0000C9070000}"/>
    <cellStyle name="Normal_DGO" xfId="2322" xr:uid="{00000000-0005-0000-0000-0000CA070000}"/>
    <cellStyle name="Normal_Quadro11_142006" xfId="28" xr:uid="{00000000-0005-0000-0000-0000CB070000}"/>
    <cellStyle name="Normalny_koszt" xfId="714" xr:uid="{00000000-0005-0000-0000-0000CC070000}"/>
    <cellStyle name="Nota 10" xfId="715" xr:uid="{00000000-0005-0000-0000-0000CD070000}"/>
    <cellStyle name="Nota 10 2" xfId="1336" xr:uid="{00000000-0005-0000-0000-0000CE070000}"/>
    <cellStyle name="Nota 10 3" xfId="1337" xr:uid="{00000000-0005-0000-0000-0000CF070000}"/>
    <cellStyle name="Nota 10 4" xfId="1814" xr:uid="{00000000-0005-0000-0000-0000D0070000}"/>
    <cellStyle name="Nota 11" xfId="716" xr:uid="{00000000-0005-0000-0000-0000D1070000}"/>
    <cellStyle name="Nota 11 2" xfId="1338" xr:uid="{00000000-0005-0000-0000-0000D2070000}"/>
    <cellStyle name="Nota 11 3" xfId="1339" xr:uid="{00000000-0005-0000-0000-0000D3070000}"/>
    <cellStyle name="Nota 11 4" xfId="1815" xr:uid="{00000000-0005-0000-0000-0000D4070000}"/>
    <cellStyle name="Nota 12" xfId="717" xr:uid="{00000000-0005-0000-0000-0000D5070000}"/>
    <cellStyle name="Nota 12 2" xfId="2105" xr:uid="{00000000-0005-0000-0000-0000D6070000}"/>
    <cellStyle name="Nota 2" xfId="718" xr:uid="{00000000-0005-0000-0000-0000D7070000}"/>
    <cellStyle name="Nota 2 10" xfId="719" xr:uid="{00000000-0005-0000-0000-0000D8070000}"/>
    <cellStyle name="Nota 2 10 2" xfId="2106" xr:uid="{00000000-0005-0000-0000-0000D9070000}"/>
    <cellStyle name="Nota 2 11" xfId="720" xr:uid="{00000000-0005-0000-0000-0000DA070000}"/>
    <cellStyle name="Nota 2 11 2" xfId="2107" xr:uid="{00000000-0005-0000-0000-0000DB070000}"/>
    <cellStyle name="Nota 2 12" xfId="1340" xr:uid="{00000000-0005-0000-0000-0000DC070000}"/>
    <cellStyle name="Nota 2 13" xfId="1341" xr:uid="{00000000-0005-0000-0000-0000DD070000}"/>
    <cellStyle name="Nota 2 2" xfId="721" xr:uid="{00000000-0005-0000-0000-0000DE070000}"/>
    <cellStyle name="Nota 2 2 2" xfId="1013" xr:uid="{00000000-0005-0000-0000-0000DF070000}"/>
    <cellStyle name="Nota 2 2 2 2" xfId="2108" xr:uid="{00000000-0005-0000-0000-0000E0070000}"/>
    <cellStyle name="Nota 2 3" xfId="722" xr:uid="{00000000-0005-0000-0000-0000E1070000}"/>
    <cellStyle name="Nota 2 3 2" xfId="1014" xr:uid="{00000000-0005-0000-0000-0000E2070000}"/>
    <cellStyle name="Nota 2 3 2 2" xfId="2109" xr:uid="{00000000-0005-0000-0000-0000E3070000}"/>
    <cellStyle name="Nota 2 4" xfId="723" xr:uid="{00000000-0005-0000-0000-0000E4070000}"/>
    <cellStyle name="Nota 2 4 2" xfId="1015" xr:uid="{00000000-0005-0000-0000-0000E5070000}"/>
    <cellStyle name="Nota 2 4 2 2" xfId="2110" xr:uid="{00000000-0005-0000-0000-0000E6070000}"/>
    <cellStyle name="Nota 2 5" xfId="724" xr:uid="{00000000-0005-0000-0000-0000E7070000}"/>
    <cellStyle name="Nota 2 5 2" xfId="2111" xr:uid="{00000000-0005-0000-0000-0000E8070000}"/>
    <cellStyle name="Nota 2 6" xfId="725" xr:uid="{00000000-0005-0000-0000-0000E9070000}"/>
    <cellStyle name="Nota 2 6 2" xfId="2112" xr:uid="{00000000-0005-0000-0000-0000EA070000}"/>
    <cellStyle name="Nota 2 7" xfId="726" xr:uid="{00000000-0005-0000-0000-0000EB070000}"/>
    <cellStyle name="Nota 2 7 2" xfId="2113" xr:uid="{00000000-0005-0000-0000-0000EC070000}"/>
    <cellStyle name="Nota 2 8" xfId="727" xr:uid="{00000000-0005-0000-0000-0000ED070000}"/>
    <cellStyle name="Nota 2 8 2" xfId="2114" xr:uid="{00000000-0005-0000-0000-0000EE070000}"/>
    <cellStyle name="Nota 2 9" xfId="728" xr:uid="{00000000-0005-0000-0000-0000EF070000}"/>
    <cellStyle name="Nota 2 9 2" xfId="2115" xr:uid="{00000000-0005-0000-0000-0000F0070000}"/>
    <cellStyle name="Nota 2_INE_DGO_TC" xfId="1816" xr:uid="{00000000-0005-0000-0000-0000F1070000}"/>
    <cellStyle name="Nota 3" xfId="729" xr:uid="{00000000-0005-0000-0000-0000F2070000}"/>
    <cellStyle name="Nota 4" xfId="730" xr:uid="{00000000-0005-0000-0000-0000F3070000}"/>
    <cellStyle name="Nota 5" xfId="731" xr:uid="{00000000-0005-0000-0000-0000F4070000}"/>
    <cellStyle name="Nota 5 2" xfId="1342" xr:uid="{00000000-0005-0000-0000-0000F5070000}"/>
    <cellStyle name="Nota 5 3" xfId="1343" xr:uid="{00000000-0005-0000-0000-0000F6070000}"/>
    <cellStyle name="Nota 5 4" xfId="1817" xr:uid="{00000000-0005-0000-0000-0000F7070000}"/>
    <cellStyle name="Nota 6" xfId="732" xr:uid="{00000000-0005-0000-0000-0000F8070000}"/>
    <cellStyle name="Nota 6 2" xfId="1344" xr:uid="{00000000-0005-0000-0000-0000F9070000}"/>
    <cellStyle name="Nota 6 3" xfId="1345" xr:uid="{00000000-0005-0000-0000-0000FA070000}"/>
    <cellStyle name="Nota 6 4" xfId="1818" xr:uid="{00000000-0005-0000-0000-0000FB070000}"/>
    <cellStyle name="Nota 7" xfId="733" xr:uid="{00000000-0005-0000-0000-0000FC070000}"/>
    <cellStyle name="Nota 7 2" xfId="1346" xr:uid="{00000000-0005-0000-0000-0000FD070000}"/>
    <cellStyle name="Nota 7 3" xfId="1347" xr:uid="{00000000-0005-0000-0000-0000FE070000}"/>
    <cellStyle name="Nota 7 4" xfId="1819" xr:uid="{00000000-0005-0000-0000-0000FF070000}"/>
    <cellStyle name="Nota 8" xfId="734" xr:uid="{00000000-0005-0000-0000-000000080000}"/>
    <cellStyle name="Nota 8 2" xfId="1348" xr:uid="{00000000-0005-0000-0000-000001080000}"/>
    <cellStyle name="Nota 8 3" xfId="1349" xr:uid="{00000000-0005-0000-0000-000002080000}"/>
    <cellStyle name="Nota 8 4" xfId="1820" xr:uid="{00000000-0005-0000-0000-000003080000}"/>
    <cellStyle name="Nota 9" xfId="735" xr:uid="{00000000-0005-0000-0000-000004080000}"/>
    <cellStyle name="Nota 9 2" xfId="1350" xr:uid="{00000000-0005-0000-0000-000005080000}"/>
    <cellStyle name="Nota 9 3" xfId="1351" xr:uid="{00000000-0005-0000-0000-000006080000}"/>
    <cellStyle name="Nota 9 4" xfId="1821" xr:uid="{00000000-0005-0000-0000-000007080000}"/>
    <cellStyle name="Note" xfId="736" xr:uid="{00000000-0005-0000-0000-000008080000}"/>
    <cellStyle name="Note 2" xfId="737" xr:uid="{00000000-0005-0000-0000-000009080000}"/>
    <cellStyle name="Note 2 2" xfId="1017" xr:uid="{00000000-0005-0000-0000-00000A080000}"/>
    <cellStyle name="Note 2 2 2" xfId="1353" xr:uid="{00000000-0005-0000-0000-00000B080000}"/>
    <cellStyle name="Note 2 3" xfId="1354" xr:uid="{00000000-0005-0000-0000-00000C080000}"/>
    <cellStyle name="Note 3" xfId="1018" xr:uid="{00000000-0005-0000-0000-00000D080000}"/>
    <cellStyle name="Note 3 2" xfId="2116" xr:uid="{00000000-0005-0000-0000-00000E080000}"/>
    <cellStyle name="Note 4" xfId="1019" xr:uid="{00000000-0005-0000-0000-00000F080000}"/>
    <cellStyle name="Note 4 2" xfId="2117" xr:uid="{00000000-0005-0000-0000-000010080000}"/>
    <cellStyle name="Note 5" xfId="1016" xr:uid="{00000000-0005-0000-0000-000011080000}"/>
    <cellStyle name="Note 5 2" xfId="1355" xr:uid="{00000000-0005-0000-0000-000012080000}"/>
    <cellStyle name="Note 6" xfId="1356" xr:uid="{00000000-0005-0000-0000-000013080000}"/>
    <cellStyle name="Note_DGO" xfId="1822" xr:uid="{00000000-0005-0000-0000-000014080000}"/>
    <cellStyle name="num s dec" xfId="738" xr:uid="{00000000-0005-0000-0000-000015080000}"/>
    <cellStyle name="num s dec 2" xfId="2118" xr:uid="{00000000-0005-0000-0000-000016080000}"/>
    <cellStyle name="NUMLINHA" xfId="1823" xr:uid="{00000000-0005-0000-0000-000017080000}"/>
    <cellStyle name="NUMLINHA 2" xfId="2119" xr:uid="{00000000-0005-0000-0000-000018080000}"/>
    <cellStyle name="Opis" xfId="739" xr:uid="{00000000-0005-0000-0000-000019080000}"/>
    <cellStyle name="Output" xfId="740" xr:uid="{00000000-0005-0000-0000-00001A080000}"/>
    <cellStyle name="Output 2" xfId="741" xr:uid="{00000000-0005-0000-0000-00001B080000}"/>
    <cellStyle name="Output 2 2" xfId="1357" xr:uid="{00000000-0005-0000-0000-00001C080000}"/>
    <cellStyle name="Output 2 3" xfId="1358" xr:uid="{00000000-0005-0000-0000-00001D080000}"/>
    <cellStyle name="Output 3" xfId="1020" xr:uid="{00000000-0005-0000-0000-00001E080000}"/>
    <cellStyle name="Output 4" xfId="1021" xr:uid="{00000000-0005-0000-0000-00001F080000}"/>
    <cellStyle name="Output 5" xfId="1359" xr:uid="{00000000-0005-0000-0000-000020080000}"/>
    <cellStyle name="Output 6" xfId="1360" xr:uid="{00000000-0005-0000-0000-000021080000}"/>
    <cellStyle name="Output_efeito da reposicao de subsidios em 2013 (2)" xfId="1824" xr:uid="{00000000-0005-0000-0000-000022080000}"/>
    <cellStyle name="pequeno" xfId="742" xr:uid="{00000000-0005-0000-0000-000023080000}"/>
    <cellStyle name="pequeno 2" xfId="2120" xr:uid="{00000000-0005-0000-0000-000024080000}"/>
    <cellStyle name="PERCENT" xfId="743" xr:uid="{00000000-0005-0000-0000-000025080000}"/>
    <cellStyle name="Percent [0]" xfId="1825" xr:uid="{00000000-0005-0000-0000-000026080000}"/>
    <cellStyle name="Percent [0] 2" xfId="2121" xr:uid="{00000000-0005-0000-0000-000027080000}"/>
    <cellStyle name="Percent [00]" xfId="1826" xr:uid="{00000000-0005-0000-0000-000028080000}"/>
    <cellStyle name="Percent [00] 2" xfId="2122" xr:uid="{00000000-0005-0000-0000-000029080000}"/>
    <cellStyle name="Percent [2]" xfId="744" xr:uid="{00000000-0005-0000-0000-00002A080000}"/>
    <cellStyle name="Percent [2] 2" xfId="2123" xr:uid="{00000000-0005-0000-0000-00002B080000}"/>
    <cellStyle name="Percent 2" xfId="745" xr:uid="{00000000-0005-0000-0000-00002C080000}"/>
    <cellStyle name="Percent 2 10" xfId="746" xr:uid="{00000000-0005-0000-0000-00002D080000}"/>
    <cellStyle name="Percent 2 10 2" xfId="2124" xr:uid="{00000000-0005-0000-0000-00002E080000}"/>
    <cellStyle name="Percent 2 11" xfId="747" xr:uid="{00000000-0005-0000-0000-00002F080000}"/>
    <cellStyle name="Percent 2 11 2" xfId="2125" xr:uid="{00000000-0005-0000-0000-000030080000}"/>
    <cellStyle name="Percent 2 12" xfId="748" xr:uid="{00000000-0005-0000-0000-000031080000}"/>
    <cellStyle name="Percent 2 12 2" xfId="2126" xr:uid="{00000000-0005-0000-0000-000032080000}"/>
    <cellStyle name="Percent 2 13" xfId="749" xr:uid="{00000000-0005-0000-0000-000033080000}"/>
    <cellStyle name="Percent 2 13 2" xfId="2127" xr:uid="{00000000-0005-0000-0000-000034080000}"/>
    <cellStyle name="Percent 2 14" xfId="750" xr:uid="{00000000-0005-0000-0000-000035080000}"/>
    <cellStyle name="Percent 2 14 2" xfId="2128" xr:uid="{00000000-0005-0000-0000-000036080000}"/>
    <cellStyle name="Percent 2 15" xfId="751" xr:uid="{00000000-0005-0000-0000-000037080000}"/>
    <cellStyle name="Percent 2 15 2" xfId="2129" xr:uid="{00000000-0005-0000-0000-000038080000}"/>
    <cellStyle name="Percent 2 16" xfId="752" xr:uid="{00000000-0005-0000-0000-000039080000}"/>
    <cellStyle name="Percent 2 16 2" xfId="2130" xr:uid="{00000000-0005-0000-0000-00003A080000}"/>
    <cellStyle name="Percent 2 17" xfId="753" xr:uid="{00000000-0005-0000-0000-00003B080000}"/>
    <cellStyle name="Percent 2 17 2" xfId="2131" xr:uid="{00000000-0005-0000-0000-00003C080000}"/>
    <cellStyle name="Percent 2 18" xfId="754" xr:uid="{00000000-0005-0000-0000-00003D080000}"/>
    <cellStyle name="Percent 2 18 2" xfId="2132" xr:uid="{00000000-0005-0000-0000-00003E080000}"/>
    <cellStyle name="Percent 2 19" xfId="1361" xr:uid="{00000000-0005-0000-0000-00003F080000}"/>
    <cellStyle name="Percent 2 2" xfId="755" xr:uid="{00000000-0005-0000-0000-000040080000}"/>
    <cellStyle name="Percent 2 2 2" xfId="756" xr:uid="{00000000-0005-0000-0000-000041080000}"/>
    <cellStyle name="Percent 2 20" xfId="1363" xr:uid="{00000000-0005-0000-0000-000042080000}"/>
    <cellStyle name="Percent 2 3" xfId="757" xr:uid="{00000000-0005-0000-0000-000043080000}"/>
    <cellStyle name="Percent 2 3 2" xfId="758" xr:uid="{00000000-0005-0000-0000-000044080000}"/>
    <cellStyle name="Percent 2 3 2 2" xfId="1364" xr:uid="{00000000-0005-0000-0000-000045080000}"/>
    <cellStyle name="Percent 2 3 2 3" xfId="1365" xr:uid="{00000000-0005-0000-0000-000046080000}"/>
    <cellStyle name="Percent 2 3 2 4" xfId="1827" xr:uid="{00000000-0005-0000-0000-000047080000}"/>
    <cellStyle name="Percent 2 3 3" xfId="1366" xr:uid="{00000000-0005-0000-0000-000048080000}"/>
    <cellStyle name="Percent 2 3 4" xfId="1367" xr:uid="{00000000-0005-0000-0000-000049080000}"/>
    <cellStyle name="Percent 2 3 5" xfId="1828" xr:uid="{00000000-0005-0000-0000-00004A080000}"/>
    <cellStyle name="Percent 2 4" xfId="759" xr:uid="{00000000-0005-0000-0000-00004B080000}"/>
    <cellStyle name="Percent 2 4 2" xfId="1368" xr:uid="{00000000-0005-0000-0000-00004C080000}"/>
    <cellStyle name="Percent 2 4 3" xfId="1369" xr:uid="{00000000-0005-0000-0000-00004D080000}"/>
    <cellStyle name="Percent 2 4 4" xfId="1829" xr:uid="{00000000-0005-0000-0000-00004E080000}"/>
    <cellStyle name="Percent 2 5" xfId="760" xr:uid="{00000000-0005-0000-0000-00004F080000}"/>
    <cellStyle name="Percent 2 5 2" xfId="1370" xr:uid="{00000000-0005-0000-0000-000050080000}"/>
    <cellStyle name="Percent 2 5 3" xfId="1371" xr:uid="{00000000-0005-0000-0000-000051080000}"/>
    <cellStyle name="Percent 2 5 4" xfId="1830" xr:uid="{00000000-0005-0000-0000-000052080000}"/>
    <cellStyle name="Percent 2 6" xfId="761" xr:uid="{00000000-0005-0000-0000-000053080000}"/>
    <cellStyle name="Percent 2 6 2" xfId="1372" xr:uid="{00000000-0005-0000-0000-000054080000}"/>
    <cellStyle name="Percent 2 6 3" xfId="1373" xr:uid="{00000000-0005-0000-0000-000055080000}"/>
    <cellStyle name="Percent 2 6 4" xfId="1831" xr:uid="{00000000-0005-0000-0000-000056080000}"/>
    <cellStyle name="Percent 2 7" xfId="762" xr:uid="{00000000-0005-0000-0000-000057080000}"/>
    <cellStyle name="Percent 2 7 2" xfId="763" xr:uid="{00000000-0005-0000-0000-000058080000}"/>
    <cellStyle name="Percent 2 7 2 2" xfId="764" xr:uid="{00000000-0005-0000-0000-000059080000}"/>
    <cellStyle name="Percent 2 7 2 2 2" xfId="2133" xr:uid="{00000000-0005-0000-0000-00005A080000}"/>
    <cellStyle name="Percent 2 7 2 3" xfId="765" xr:uid="{00000000-0005-0000-0000-00005B080000}"/>
    <cellStyle name="Percent 2 7 2 3 2" xfId="2134" xr:uid="{00000000-0005-0000-0000-00005C080000}"/>
    <cellStyle name="Percent 2 7 2 4" xfId="766" xr:uid="{00000000-0005-0000-0000-00005D080000}"/>
    <cellStyle name="Percent 2 7 2 4 2" xfId="2135" xr:uid="{00000000-0005-0000-0000-00005E080000}"/>
    <cellStyle name="Percent 2 7 3" xfId="767" xr:uid="{00000000-0005-0000-0000-00005F080000}"/>
    <cellStyle name="Percent 2 7 4" xfId="768" xr:uid="{00000000-0005-0000-0000-000060080000}"/>
    <cellStyle name="Percent 2 7 5" xfId="1374" xr:uid="{00000000-0005-0000-0000-000061080000}"/>
    <cellStyle name="Percent 2 7 6" xfId="1375" xr:uid="{00000000-0005-0000-0000-000062080000}"/>
    <cellStyle name="Percent 2 8" xfId="769" xr:uid="{00000000-0005-0000-0000-000063080000}"/>
    <cellStyle name="Percent 2 8 2" xfId="1376" xr:uid="{00000000-0005-0000-0000-000064080000}"/>
    <cellStyle name="Percent 2 8 3" xfId="1377" xr:uid="{00000000-0005-0000-0000-000065080000}"/>
    <cellStyle name="Percent 2 8 4" xfId="1832" xr:uid="{00000000-0005-0000-0000-000066080000}"/>
    <cellStyle name="Percent 2 9" xfId="770" xr:uid="{00000000-0005-0000-0000-000067080000}"/>
    <cellStyle name="Percent 2 9 2" xfId="2136" xr:uid="{00000000-0005-0000-0000-000068080000}"/>
    <cellStyle name="Percent 3" xfId="771" xr:uid="{00000000-0005-0000-0000-000069080000}"/>
    <cellStyle name="Percent 3 2" xfId="772" xr:uid="{00000000-0005-0000-0000-00006A080000}"/>
    <cellStyle name="Percent 3 3" xfId="2137" xr:uid="{00000000-0005-0000-0000-00006B080000}"/>
    <cellStyle name="Percent 4" xfId="773" xr:uid="{00000000-0005-0000-0000-00006C080000}"/>
    <cellStyle name="Percent 5" xfId="774" xr:uid="{00000000-0005-0000-0000-00006D080000}"/>
    <cellStyle name="Percent 5 2" xfId="2138" xr:uid="{00000000-0005-0000-0000-00006E080000}"/>
    <cellStyle name="Percent 6" xfId="775" xr:uid="{00000000-0005-0000-0000-00006F080000}"/>
    <cellStyle name="Percent 6 2" xfId="2139" xr:uid="{00000000-0005-0000-0000-000070080000}"/>
    <cellStyle name="Percent 7" xfId="776" xr:uid="{00000000-0005-0000-0000-000071080000}"/>
    <cellStyle name="Percent 7 2" xfId="1378" xr:uid="{00000000-0005-0000-0000-000072080000}"/>
    <cellStyle name="Percent 7 3" xfId="1379" xr:uid="{00000000-0005-0000-0000-000073080000}"/>
    <cellStyle name="Percent 7 4" xfId="1833" xr:uid="{00000000-0005-0000-0000-000074080000}"/>
    <cellStyle name="Percent 8" xfId="777" xr:uid="{00000000-0005-0000-0000-000075080000}"/>
    <cellStyle name="Percent 8 2" xfId="1380" xr:uid="{00000000-0005-0000-0000-000076080000}"/>
    <cellStyle name="Percent 8 3" xfId="1381" xr:uid="{00000000-0005-0000-0000-000077080000}"/>
    <cellStyle name="Percent 8 4" xfId="1834" xr:uid="{00000000-0005-0000-0000-000078080000}"/>
    <cellStyle name="PERCENT 9" xfId="2140" xr:uid="{00000000-0005-0000-0000-000079080000}"/>
    <cellStyle name="Percentagem 10" xfId="778" xr:uid="{00000000-0005-0000-0000-00007A080000}"/>
    <cellStyle name="Percentagem 10 2" xfId="1382" xr:uid="{00000000-0005-0000-0000-00007B080000}"/>
    <cellStyle name="Percentagem 10 3" xfId="1383" xr:uid="{00000000-0005-0000-0000-00007C080000}"/>
    <cellStyle name="Percentagem 10 4" xfId="1835" xr:uid="{00000000-0005-0000-0000-00007D080000}"/>
    <cellStyle name="Percentagem 11" xfId="779" xr:uid="{00000000-0005-0000-0000-00007E080000}"/>
    <cellStyle name="Percentagem 11 2" xfId="780" xr:uid="{00000000-0005-0000-0000-00007F080000}"/>
    <cellStyle name="Percentagem 11 2 2" xfId="1384" xr:uid="{00000000-0005-0000-0000-000080080000}"/>
    <cellStyle name="Percentagem 11 2 3" xfId="1385" xr:uid="{00000000-0005-0000-0000-000081080000}"/>
    <cellStyle name="Percentagem 11 2 4" xfId="1836" xr:uid="{00000000-0005-0000-0000-000082080000}"/>
    <cellStyle name="Percentagem 11 3" xfId="1386" xr:uid="{00000000-0005-0000-0000-000083080000}"/>
    <cellStyle name="Percentagem 11 4" xfId="1387" xr:uid="{00000000-0005-0000-0000-000084080000}"/>
    <cellStyle name="Percentagem 11 5" xfId="1837" xr:uid="{00000000-0005-0000-0000-000085080000}"/>
    <cellStyle name="Percentagem 12" xfId="1838" xr:uid="{00000000-0005-0000-0000-000086080000}"/>
    <cellStyle name="Percentagem 13" xfId="781" xr:uid="{00000000-0005-0000-0000-000087080000}"/>
    <cellStyle name="Percentagem 13 2" xfId="2141" xr:uid="{00000000-0005-0000-0000-000088080000}"/>
    <cellStyle name="Percentagem 14" xfId="2142" xr:uid="{00000000-0005-0000-0000-000089080000}"/>
    <cellStyle name="Percentagem 14 2" xfId="2143" xr:uid="{00000000-0005-0000-0000-00008A080000}"/>
    <cellStyle name="Percentagem 14 2 2" xfId="2144" xr:uid="{00000000-0005-0000-0000-00008B080000}"/>
    <cellStyle name="Percentagem 14 3" xfId="2145" xr:uid="{00000000-0005-0000-0000-00008C080000}"/>
    <cellStyle name="Percentagem 2" xfId="13" xr:uid="{00000000-0005-0000-0000-00008D080000}"/>
    <cellStyle name="Percentagem 2 10" xfId="783" xr:uid="{00000000-0005-0000-0000-00008E080000}"/>
    <cellStyle name="Percentagem 2 11" xfId="784" xr:uid="{00000000-0005-0000-0000-00008F080000}"/>
    <cellStyle name="Percentagem 2 12" xfId="782" xr:uid="{00000000-0005-0000-0000-000090080000}"/>
    <cellStyle name="Percentagem 2 12 2" xfId="1388" xr:uid="{00000000-0005-0000-0000-000091080000}"/>
    <cellStyle name="Percentagem 2 2" xfId="785" xr:uid="{00000000-0005-0000-0000-000092080000}"/>
    <cellStyle name="Percentagem 2 2 2" xfId="1022" xr:uid="{00000000-0005-0000-0000-000093080000}"/>
    <cellStyle name="Percentagem 2 2 2 2" xfId="2146" xr:uid="{00000000-0005-0000-0000-000094080000}"/>
    <cellStyle name="Percentagem 2 2 2 3" xfId="1389" xr:uid="{00000000-0005-0000-0000-000095080000}"/>
    <cellStyle name="Percentagem 2 2 3" xfId="1390" xr:uid="{00000000-0005-0000-0000-000096080000}"/>
    <cellStyle name="Percentagem 2 2 3 2" xfId="1391" xr:uid="{00000000-0005-0000-0000-000097080000}"/>
    <cellStyle name="Percentagem 2 2 4" xfId="1392" xr:uid="{00000000-0005-0000-0000-000098080000}"/>
    <cellStyle name="Percentagem 2 2 5" xfId="1839" xr:uid="{00000000-0005-0000-0000-000099080000}"/>
    <cellStyle name="Percentagem 2 3" xfId="786" xr:uid="{00000000-0005-0000-0000-00009A080000}"/>
    <cellStyle name="Percentagem 2 4" xfId="787" xr:uid="{00000000-0005-0000-0000-00009B080000}"/>
    <cellStyle name="Percentagem 2 5" xfId="788" xr:uid="{00000000-0005-0000-0000-00009C080000}"/>
    <cellStyle name="Percentagem 2 6" xfId="789" xr:uid="{00000000-0005-0000-0000-00009D080000}"/>
    <cellStyle name="Percentagem 2 7" xfId="790" xr:uid="{00000000-0005-0000-0000-00009E080000}"/>
    <cellStyle name="Percentagem 2 8" xfId="791" xr:uid="{00000000-0005-0000-0000-00009F080000}"/>
    <cellStyle name="Percentagem 2 9" xfId="792" xr:uid="{00000000-0005-0000-0000-0000A0080000}"/>
    <cellStyle name="Percentagem 3" xfId="793" xr:uid="{00000000-0005-0000-0000-0000A1080000}"/>
    <cellStyle name="Percentagem 3 2" xfId="794" xr:uid="{00000000-0005-0000-0000-0000A2080000}"/>
    <cellStyle name="Percentagem 4" xfId="6" xr:uid="{00000000-0005-0000-0000-0000A3080000}"/>
    <cellStyle name="Percentagem 4 10" xfId="795" xr:uid="{00000000-0005-0000-0000-0000A4080000}"/>
    <cellStyle name="Percentagem 4 10 2" xfId="2147" xr:uid="{00000000-0005-0000-0000-0000A5080000}"/>
    <cellStyle name="Percentagem 4 2" xfId="796" xr:uid="{00000000-0005-0000-0000-0000A6080000}"/>
    <cellStyle name="Percentagem 4 2 2" xfId="1393" xr:uid="{00000000-0005-0000-0000-0000A7080000}"/>
    <cellStyle name="Percentagem 4 2 2 2" xfId="1394" xr:uid="{00000000-0005-0000-0000-0000A8080000}"/>
    <cellStyle name="Percentagem 4 2 2 3" xfId="1840" xr:uid="{00000000-0005-0000-0000-0000A9080000}"/>
    <cellStyle name="Percentagem 4 2 3" xfId="2148" xr:uid="{00000000-0005-0000-0000-0000AA080000}"/>
    <cellStyle name="Percentagem 4 3" xfId="797" xr:uid="{00000000-0005-0000-0000-0000AB080000}"/>
    <cellStyle name="Percentagem 4 3 2" xfId="1023" xr:uid="{00000000-0005-0000-0000-0000AC080000}"/>
    <cellStyle name="Percentagem 4 3 2 2" xfId="2149" xr:uid="{00000000-0005-0000-0000-0000AD080000}"/>
    <cellStyle name="Percentagem 4 4" xfId="798" xr:uid="{00000000-0005-0000-0000-0000AE080000}"/>
    <cellStyle name="Percentagem 4 4 2" xfId="2150" xr:uid="{00000000-0005-0000-0000-0000AF080000}"/>
    <cellStyle name="Percentagem 4 5" xfId="799" xr:uid="{00000000-0005-0000-0000-0000B0080000}"/>
    <cellStyle name="Percentagem 4 5 2" xfId="2151" xr:uid="{00000000-0005-0000-0000-0000B1080000}"/>
    <cellStyle name="Percentagem 4 6" xfId="800" xr:uid="{00000000-0005-0000-0000-0000B2080000}"/>
    <cellStyle name="Percentagem 4 6 2" xfId="2152" xr:uid="{00000000-0005-0000-0000-0000B3080000}"/>
    <cellStyle name="Percentagem 4 7" xfId="801" xr:uid="{00000000-0005-0000-0000-0000B4080000}"/>
    <cellStyle name="Percentagem 4 7 2" xfId="2153" xr:uid="{00000000-0005-0000-0000-0000B5080000}"/>
    <cellStyle name="Percentagem 4 8" xfId="802" xr:uid="{00000000-0005-0000-0000-0000B6080000}"/>
    <cellStyle name="Percentagem 4 8 2" xfId="2154" xr:uid="{00000000-0005-0000-0000-0000B7080000}"/>
    <cellStyle name="Percentagem 4 9" xfId="803" xr:uid="{00000000-0005-0000-0000-0000B8080000}"/>
    <cellStyle name="Percentagem 4 9 2" xfId="2155" xr:uid="{00000000-0005-0000-0000-0000B9080000}"/>
    <cellStyle name="Percentagem 5" xfId="804" xr:uid="{00000000-0005-0000-0000-0000BA080000}"/>
    <cellStyle name="Percentagem 5 10" xfId="805" xr:uid="{00000000-0005-0000-0000-0000BB080000}"/>
    <cellStyle name="Percentagem 5 10 2" xfId="2156" xr:uid="{00000000-0005-0000-0000-0000BC080000}"/>
    <cellStyle name="Percentagem 5 11" xfId="806" xr:uid="{00000000-0005-0000-0000-0000BD080000}"/>
    <cellStyle name="Percentagem 5 11 2" xfId="2157" xr:uid="{00000000-0005-0000-0000-0000BE080000}"/>
    <cellStyle name="Percentagem 5 12" xfId="807" xr:uid="{00000000-0005-0000-0000-0000BF080000}"/>
    <cellStyle name="Percentagem 5 12 2" xfId="2158" xr:uid="{00000000-0005-0000-0000-0000C0080000}"/>
    <cellStyle name="Percentagem 5 13" xfId="2159" xr:uid="{00000000-0005-0000-0000-0000C1080000}"/>
    <cellStyle name="Percentagem 5 2" xfId="808" xr:uid="{00000000-0005-0000-0000-0000C2080000}"/>
    <cellStyle name="Percentagem 5 2 2" xfId="1076" xr:uid="{00000000-0005-0000-0000-0000C3080000}"/>
    <cellStyle name="Percentagem 5 2 2 2" xfId="1395" xr:uid="{00000000-0005-0000-0000-0000C4080000}"/>
    <cellStyle name="Percentagem 5 2 3" xfId="1396" xr:uid="{00000000-0005-0000-0000-0000C5080000}"/>
    <cellStyle name="Percentagem 5 2 4" xfId="1841" xr:uid="{00000000-0005-0000-0000-0000C6080000}"/>
    <cellStyle name="Percentagem 5 3" xfId="809" xr:uid="{00000000-0005-0000-0000-0000C7080000}"/>
    <cellStyle name="Percentagem 5 3 2" xfId="2160" xr:uid="{00000000-0005-0000-0000-0000C8080000}"/>
    <cellStyle name="Percentagem 5 4" xfId="810" xr:uid="{00000000-0005-0000-0000-0000C9080000}"/>
    <cellStyle name="Percentagem 5 4 2" xfId="2161" xr:uid="{00000000-0005-0000-0000-0000CA080000}"/>
    <cellStyle name="Percentagem 5 5" xfId="811" xr:uid="{00000000-0005-0000-0000-0000CB080000}"/>
    <cellStyle name="Percentagem 5 5 2" xfId="2162" xr:uid="{00000000-0005-0000-0000-0000CC080000}"/>
    <cellStyle name="Percentagem 5 6" xfId="812" xr:uid="{00000000-0005-0000-0000-0000CD080000}"/>
    <cellStyle name="Percentagem 5 6 2" xfId="2163" xr:uid="{00000000-0005-0000-0000-0000CE080000}"/>
    <cellStyle name="Percentagem 5 7" xfId="813" xr:uid="{00000000-0005-0000-0000-0000CF080000}"/>
    <cellStyle name="Percentagem 5 7 2" xfId="2164" xr:uid="{00000000-0005-0000-0000-0000D0080000}"/>
    <cellStyle name="Percentagem 5 8" xfId="814" xr:uid="{00000000-0005-0000-0000-0000D1080000}"/>
    <cellStyle name="Percentagem 5 8 2" xfId="2165" xr:uid="{00000000-0005-0000-0000-0000D2080000}"/>
    <cellStyle name="Percentagem 5 9" xfId="815" xr:uid="{00000000-0005-0000-0000-0000D3080000}"/>
    <cellStyle name="Percentagem 5 9 2" xfId="2166" xr:uid="{00000000-0005-0000-0000-0000D4080000}"/>
    <cellStyle name="Percentagem 6" xfId="816" xr:uid="{00000000-0005-0000-0000-0000D5080000}"/>
    <cellStyle name="Percentagem 6 2" xfId="817" xr:uid="{00000000-0005-0000-0000-0000D6080000}"/>
    <cellStyle name="Percentagem 6 3" xfId="1397" xr:uid="{00000000-0005-0000-0000-0000D7080000}"/>
    <cellStyle name="Percentagem 6 3 2" xfId="1398" xr:uid="{00000000-0005-0000-0000-0000D8080000}"/>
    <cellStyle name="Percentagem 6 4" xfId="1399" xr:uid="{00000000-0005-0000-0000-0000D9080000}"/>
    <cellStyle name="Percentagem 6 5" xfId="1842" xr:uid="{00000000-0005-0000-0000-0000DA080000}"/>
    <cellStyle name="Percentagem 7" xfId="818" xr:uid="{00000000-0005-0000-0000-0000DB080000}"/>
    <cellStyle name="Percentagem 7 2" xfId="1077" xr:uid="{00000000-0005-0000-0000-0000DC080000}"/>
    <cellStyle name="Percentagem 7 2 2" xfId="1400" xr:uid="{00000000-0005-0000-0000-0000DD080000}"/>
    <cellStyle name="Percentagem 7 3" xfId="1401" xr:uid="{00000000-0005-0000-0000-0000DE080000}"/>
    <cellStyle name="Percentagem 7 4" xfId="1843" xr:uid="{00000000-0005-0000-0000-0000DF080000}"/>
    <cellStyle name="Percentagem 8" xfId="819" xr:uid="{00000000-0005-0000-0000-0000E0080000}"/>
    <cellStyle name="Percentagem 8 2" xfId="1402" xr:uid="{00000000-0005-0000-0000-0000E1080000}"/>
    <cellStyle name="Percentagem 8 3" xfId="1403" xr:uid="{00000000-0005-0000-0000-0000E2080000}"/>
    <cellStyle name="Percentagem 8 4" xfId="1844" xr:uid="{00000000-0005-0000-0000-0000E3080000}"/>
    <cellStyle name="Percentagem 9" xfId="820" xr:uid="{00000000-0005-0000-0000-0000E4080000}"/>
    <cellStyle name="Percentagem 9 2" xfId="821" xr:uid="{00000000-0005-0000-0000-0000E5080000}"/>
    <cellStyle name="Percentagem 9 2 2" xfId="1404" xr:uid="{00000000-0005-0000-0000-0000E6080000}"/>
    <cellStyle name="Percentagem 9 2 3" xfId="1405" xr:uid="{00000000-0005-0000-0000-0000E7080000}"/>
    <cellStyle name="Percentagem 9 2 4" xfId="1845" xr:uid="{00000000-0005-0000-0000-0000E8080000}"/>
    <cellStyle name="Percentagem 9 3" xfId="1406" xr:uid="{00000000-0005-0000-0000-0000E9080000}"/>
    <cellStyle name="Percentagem 9 4" xfId="1407" xr:uid="{00000000-0005-0000-0000-0000EA080000}"/>
    <cellStyle name="Percentagem 9 5" xfId="1846" xr:uid="{00000000-0005-0000-0000-0000EB080000}"/>
    <cellStyle name="PercentSales" xfId="822" xr:uid="{00000000-0005-0000-0000-0000EC080000}"/>
    <cellStyle name="PercentSales 2" xfId="2167" xr:uid="{00000000-0005-0000-0000-0000ED080000}"/>
    <cellStyle name="PrePop Currency (0)" xfId="1847" xr:uid="{00000000-0005-0000-0000-0000EE080000}"/>
    <cellStyle name="PrePop Currency (2)" xfId="1848" xr:uid="{00000000-0005-0000-0000-0000EF080000}"/>
    <cellStyle name="PrePop Units (0)" xfId="1849" xr:uid="{00000000-0005-0000-0000-0000F0080000}"/>
    <cellStyle name="PrePop Units (1)" xfId="1850" xr:uid="{00000000-0005-0000-0000-0000F1080000}"/>
    <cellStyle name="PrePop Units (2)" xfId="1851" xr:uid="{00000000-0005-0000-0000-0000F2080000}"/>
    <cellStyle name="Ratio" xfId="823" xr:uid="{00000000-0005-0000-0000-0000F3080000}"/>
    <cellStyle name="Red font" xfId="824" xr:uid="{00000000-0005-0000-0000-0000F4080000}"/>
    <cellStyle name="RInfo" xfId="825" xr:uid="{00000000-0005-0000-0000-0000F5080000}"/>
    <cellStyle name="Saída 2" xfId="826" xr:uid="{00000000-0005-0000-0000-0000F6080000}"/>
    <cellStyle name="Saída 2 2" xfId="1024" xr:uid="{00000000-0005-0000-0000-0000F7080000}"/>
    <cellStyle name="Saída 2 3" xfId="1025" xr:uid="{00000000-0005-0000-0000-0000F8080000}"/>
    <cellStyle name="Saída 2 4" xfId="1026" xr:uid="{00000000-0005-0000-0000-0000F9080000}"/>
    <cellStyle name="Saída 2 5" xfId="1408" xr:uid="{00000000-0005-0000-0000-0000FA080000}"/>
    <cellStyle name="Saída 2 6" xfId="1409" xr:uid="{00000000-0005-0000-0000-0000FB080000}"/>
    <cellStyle name="Saída 3" xfId="827" xr:uid="{00000000-0005-0000-0000-0000FC080000}"/>
    <cellStyle name="Saída 4" xfId="828" xr:uid="{00000000-0005-0000-0000-0000FD080000}"/>
    <cellStyle name="Sheet Title" xfId="829" xr:uid="{00000000-0005-0000-0000-0000FE080000}"/>
    <cellStyle name="sombreado" xfId="830" xr:uid="{00000000-0005-0000-0000-0000FF080000}"/>
    <cellStyle name="sombreado 2" xfId="2168" xr:uid="{00000000-0005-0000-0000-000000090000}"/>
    <cellStyle name="Standard_WBBasis" xfId="1027" xr:uid="{00000000-0005-0000-0000-000001090000}"/>
    <cellStyle name="Style 1" xfId="831" xr:uid="{00000000-0005-0000-0000-000002090000}"/>
    <cellStyle name="Style 1 2" xfId="832" xr:uid="{00000000-0005-0000-0000-000003090000}"/>
    <cellStyle name="Style 1 2 2" xfId="833" xr:uid="{00000000-0005-0000-0000-000004090000}"/>
    <cellStyle name="Style 1 2 2 2" xfId="2169" xr:uid="{00000000-0005-0000-0000-000005090000}"/>
    <cellStyle name="Style 1 2 3" xfId="834" xr:uid="{00000000-0005-0000-0000-000006090000}"/>
    <cellStyle name="Style 1 2 3 2" xfId="2170" xr:uid="{00000000-0005-0000-0000-000007090000}"/>
    <cellStyle name="Style 1 2 4" xfId="835" xr:uid="{00000000-0005-0000-0000-000008090000}"/>
    <cellStyle name="Style 1 2 4 2" xfId="2171" xr:uid="{00000000-0005-0000-0000-000009090000}"/>
    <cellStyle name="Style 1 2 5" xfId="2172" xr:uid="{00000000-0005-0000-0000-00000A090000}"/>
    <cellStyle name="Style 1 3" xfId="836" xr:uid="{00000000-0005-0000-0000-00000B090000}"/>
    <cellStyle name="Style 1 3 2" xfId="2173" xr:uid="{00000000-0005-0000-0000-00000C090000}"/>
    <cellStyle name="Style 1 4" xfId="837" xr:uid="{00000000-0005-0000-0000-00000D090000}"/>
    <cellStyle name="Style 1 4 2" xfId="2174" xr:uid="{00000000-0005-0000-0000-00000E090000}"/>
    <cellStyle name="Style 1 5" xfId="2175" xr:uid="{00000000-0005-0000-0000-00000F090000}"/>
    <cellStyle name="Text Indent A" xfId="1852" xr:uid="{00000000-0005-0000-0000-000010090000}"/>
    <cellStyle name="Text Indent B" xfId="1853" xr:uid="{00000000-0005-0000-0000-000011090000}"/>
    <cellStyle name="Text Indent C" xfId="1854" xr:uid="{00000000-0005-0000-0000-000012090000}"/>
    <cellStyle name="Texto de Aviso 10" xfId="838" xr:uid="{00000000-0005-0000-0000-000013090000}"/>
    <cellStyle name="Texto de Aviso 10 2" xfId="1855" xr:uid="{00000000-0005-0000-0000-000014090000}"/>
    <cellStyle name="Texto de Aviso 11" xfId="839" xr:uid="{00000000-0005-0000-0000-000015090000}"/>
    <cellStyle name="Texto de Aviso 11 2" xfId="1856" xr:uid="{00000000-0005-0000-0000-000016090000}"/>
    <cellStyle name="Texto de Aviso 2" xfId="840" xr:uid="{00000000-0005-0000-0000-000017090000}"/>
    <cellStyle name="Texto de Aviso 2 10" xfId="841" xr:uid="{00000000-0005-0000-0000-000018090000}"/>
    <cellStyle name="Texto de Aviso 2 11" xfId="842" xr:uid="{00000000-0005-0000-0000-000019090000}"/>
    <cellStyle name="Texto de Aviso 2 2" xfId="843" xr:uid="{00000000-0005-0000-0000-00001A090000}"/>
    <cellStyle name="Texto de Aviso 2 3" xfId="844" xr:uid="{00000000-0005-0000-0000-00001B090000}"/>
    <cellStyle name="Texto de Aviso 2 4" xfId="845" xr:uid="{00000000-0005-0000-0000-00001C090000}"/>
    <cellStyle name="Texto de Aviso 2 5" xfId="846" xr:uid="{00000000-0005-0000-0000-00001D090000}"/>
    <cellStyle name="Texto de Aviso 2 6" xfId="847" xr:uid="{00000000-0005-0000-0000-00001E090000}"/>
    <cellStyle name="Texto de Aviso 2 7" xfId="848" xr:uid="{00000000-0005-0000-0000-00001F090000}"/>
    <cellStyle name="Texto de Aviso 2 8" xfId="849" xr:uid="{00000000-0005-0000-0000-000020090000}"/>
    <cellStyle name="Texto de Aviso 2 9" xfId="850" xr:uid="{00000000-0005-0000-0000-000021090000}"/>
    <cellStyle name="Texto de Aviso 2_DGO" xfId="1857" xr:uid="{00000000-0005-0000-0000-000022090000}"/>
    <cellStyle name="Texto de Aviso 3" xfId="851" xr:uid="{00000000-0005-0000-0000-000023090000}"/>
    <cellStyle name="Texto de Aviso 4" xfId="852" xr:uid="{00000000-0005-0000-0000-000024090000}"/>
    <cellStyle name="Texto de Aviso 5" xfId="853" xr:uid="{00000000-0005-0000-0000-000025090000}"/>
    <cellStyle name="Texto de Aviso 5 2" xfId="1858" xr:uid="{00000000-0005-0000-0000-000026090000}"/>
    <cellStyle name="Texto de Aviso 6" xfId="854" xr:uid="{00000000-0005-0000-0000-000027090000}"/>
    <cellStyle name="Texto de Aviso 6 2" xfId="1859" xr:uid="{00000000-0005-0000-0000-000028090000}"/>
    <cellStyle name="Texto de Aviso 7" xfId="855" xr:uid="{00000000-0005-0000-0000-000029090000}"/>
    <cellStyle name="Texto de Aviso 7 2" xfId="1860" xr:uid="{00000000-0005-0000-0000-00002A090000}"/>
    <cellStyle name="Texto de Aviso 8" xfId="856" xr:uid="{00000000-0005-0000-0000-00002B090000}"/>
    <cellStyle name="Texto de Aviso 8 2" xfId="1861" xr:uid="{00000000-0005-0000-0000-00002C090000}"/>
    <cellStyle name="Texto de Aviso 9" xfId="857" xr:uid="{00000000-0005-0000-0000-00002D090000}"/>
    <cellStyle name="Texto de Aviso 9 2" xfId="1862" xr:uid="{00000000-0005-0000-0000-00002E090000}"/>
    <cellStyle name="Texto Explicativo 2" xfId="858" xr:uid="{00000000-0005-0000-0000-00002F090000}"/>
    <cellStyle name="Texto Explicativo 3" xfId="859" xr:uid="{00000000-0005-0000-0000-000030090000}"/>
    <cellStyle name="Texto Explicativo 4" xfId="860" xr:uid="{00000000-0005-0000-0000-000031090000}"/>
    <cellStyle name="Title" xfId="861" xr:uid="{00000000-0005-0000-0000-000032090000}"/>
    <cellStyle name="Title 1" xfId="862" xr:uid="{00000000-0005-0000-0000-000033090000}"/>
    <cellStyle name="Title 3" xfId="863" xr:uid="{00000000-0005-0000-0000-000034090000}"/>
    <cellStyle name="Title 4" xfId="864" xr:uid="{00000000-0005-0000-0000-000035090000}"/>
    <cellStyle name="Title_Saldos" xfId="1863" xr:uid="{00000000-0005-0000-0000-000036090000}"/>
    <cellStyle name="Titulo" xfId="865" xr:uid="{00000000-0005-0000-0000-000037090000}"/>
    <cellStyle name="Título 1" xfId="1864" xr:uid="{00000000-0005-0000-0000-000038090000}"/>
    <cellStyle name="Título 2" xfId="866" xr:uid="{00000000-0005-0000-0000-000039090000}"/>
    <cellStyle name="Título 3" xfId="867" xr:uid="{00000000-0005-0000-0000-00003A090000}"/>
    <cellStyle name="Título 4" xfId="868" xr:uid="{00000000-0005-0000-0000-00003B090000}"/>
    <cellStyle name="Total 10" xfId="869" xr:uid="{00000000-0005-0000-0000-00003C090000}"/>
    <cellStyle name="Total 11" xfId="870" xr:uid="{00000000-0005-0000-0000-00003D090000}"/>
    <cellStyle name="Total 12" xfId="871" xr:uid="{00000000-0005-0000-0000-00003E090000}"/>
    <cellStyle name="Total 13" xfId="872" xr:uid="{00000000-0005-0000-0000-00003F090000}"/>
    <cellStyle name="Total 14" xfId="873" xr:uid="{00000000-0005-0000-0000-000040090000}"/>
    <cellStyle name="Total 15" xfId="874" xr:uid="{00000000-0005-0000-0000-000041090000}"/>
    <cellStyle name="Total 16" xfId="875" xr:uid="{00000000-0005-0000-0000-000042090000}"/>
    <cellStyle name="Total 17" xfId="876" xr:uid="{00000000-0005-0000-0000-000043090000}"/>
    <cellStyle name="Total 18" xfId="877" xr:uid="{00000000-0005-0000-0000-000044090000}"/>
    <cellStyle name="Total 2" xfId="878" xr:uid="{00000000-0005-0000-0000-000045090000}"/>
    <cellStyle name="Total 2 10" xfId="879" xr:uid="{00000000-0005-0000-0000-000046090000}"/>
    <cellStyle name="Total 2 11" xfId="880" xr:uid="{00000000-0005-0000-0000-000047090000}"/>
    <cellStyle name="Total 2 12" xfId="1410" xr:uid="{00000000-0005-0000-0000-000048090000}"/>
    <cellStyle name="Total 2 13" xfId="1411" xr:uid="{00000000-0005-0000-0000-000049090000}"/>
    <cellStyle name="Total 2 2" xfId="881" xr:uid="{00000000-0005-0000-0000-00004A090000}"/>
    <cellStyle name="Total 2 2 2" xfId="882" xr:uid="{00000000-0005-0000-0000-00004B090000}"/>
    <cellStyle name="Total 2 2 3" xfId="883" xr:uid="{00000000-0005-0000-0000-00004C090000}"/>
    <cellStyle name="Total 2 2 4" xfId="1028" xr:uid="{00000000-0005-0000-0000-00004D090000}"/>
    <cellStyle name="Total 2 3" xfId="884" xr:uid="{00000000-0005-0000-0000-00004E090000}"/>
    <cellStyle name="Total 2 3 2" xfId="1029" xr:uid="{00000000-0005-0000-0000-00004F090000}"/>
    <cellStyle name="Total 2 4" xfId="885" xr:uid="{00000000-0005-0000-0000-000050090000}"/>
    <cellStyle name="Total 2 4 2" xfId="1030" xr:uid="{00000000-0005-0000-0000-000051090000}"/>
    <cellStyle name="Total 2 5" xfId="886" xr:uid="{00000000-0005-0000-0000-000052090000}"/>
    <cellStyle name="Total 2 6" xfId="887" xr:uid="{00000000-0005-0000-0000-000053090000}"/>
    <cellStyle name="Total 2 7" xfId="888" xr:uid="{00000000-0005-0000-0000-000054090000}"/>
    <cellStyle name="Total 2 8" xfId="889" xr:uid="{00000000-0005-0000-0000-000055090000}"/>
    <cellStyle name="Total 2 9" xfId="890" xr:uid="{00000000-0005-0000-0000-000056090000}"/>
    <cellStyle name="Total 2_DGO" xfId="1865" xr:uid="{00000000-0005-0000-0000-000057090000}"/>
    <cellStyle name="Total 3" xfId="891" xr:uid="{00000000-0005-0000-0000-000058090000}"/>
    <cellStyle name="Total 4" xfId="892" xr:uid="{00000000-0005-0000-0000-000059090000}"/>
    <cellStyle name="Total 5" xfId="893" xr:uid="{00000000-0005-0000-0000-00005A090000}"/>
    <cellStyle name="Total 6" xfId="894" xr:uid="{00000000-0005-0000-0000-00005B090000}"/>
    <cellStyle name="Total 7" xfId="895" xr:uid="{00000000-0005-0000-0000-00005C090000}"/>
    <cellStyle name="Total 8" xfId="896" xr:uid="{00000000-0005-0000-0000-00005D090000}"/>
    <cellStyle name="Total 9" xfId="897" xr:uid="{00000000-0005-0000-0000-00005E090000}"/>
    <cellStyle name="Verificar Célula 2" xfId="898" xr:uid="{00000000-0005-0000-0000-00005F090000}"/>
    <cellStyle name="Verificar Célula 3" xfId="899" xr:uid="{00000000-0005-0000-0000-000060090000}"/>
    <cellStyle name="Verificar Célula 4" xfId="900" xr:uid="{00000000-0005-0000-0000-000061090000}"/>
    <cellStyle name="Vírgula" xfId="42" builtinId="3"/>
    <cellStyle name="Vírgula 10" xfId="901" xr:uid="{00000000-0005-0000-0000-000063090000}"/>
    <cellStyle name="Vírgula 10 10" xfId="2594" xr:uid="{00000000-0005-0000-0000-000064090000}"/>
    <cellStyle name="Vírgula 10 11" xfId="2630" xr:uid="{00000000-0005-0000-0000-000065090000}"/>
    <cellStyle name="Vírgula 10 12" xfId="2665" xr:uid="{00000000-0005-0000-0000-000074030000}"/>
    <cellStyle name="Vírgula 10 13" xfId="2700" xr:uid="{00000000-0005-0000-0000-000074030000}"/>
    <cellStyle name="Vírgula 10 2" xfId="1412" xr:uid="{00000000-0005-0000-0000-000066090000}"/>
    <cellStyle name="Vírgula 10 3" xfId="2290" xr:uid="{00000000-0005-0000-0000-000067090000}"/>
    <cellStyle name="Vírgula 10 4" xfId="2385" xr:uid="{00000000-0005-0000-0000-000068090000}"/>
    <cellStyle name="Vírgula 10 5" xfId="2420" xr:uid="{00000000-0005-0000-0000-000069090000}"/>
    <cellStyle name="Vírgula 10 6" xfId="2455" xr:uid="{00000000-0005-0000-0000-00006A090000}"/>
    <cellStyle name="Vírgula 10 7" xfId="2490" xr:uid="{00000000-0005-0000-0000-00006B090000}"/>
    <cellStyle name="Vírgula 10 8" xfId="2525" xr:uid="{00000000-0005-0000-0000-00006C090000}"/>
    <cellStyle name="Vírgula 10 9" xfId="2559" xr:uid="{00000000-0005-0000-0000-00006D090000}"/>
    <cellStyle name="Vírgula 11" xfId="902" xr:uid="{00000000-0005-0000-0000-00006E090000}"/>
    <cellStyle name="Vírgula 11 10" xfId="2595" xr:uid="{00000000-0005-0000-0000-00006F090000}"/>
    <cellStyle name="Vírgula 11 11" xfId="2631" xr:uid="{00000000-0005-0000-0000-000070090000}"/>
    <cellStyle name="Vírgula 11 12" xfId="2666" xr:uid="{00000000-0005-0000-0000-000075030000}"/>
    <cellStyle name="Vírgula 11 13" xfId="2701" xr:uid="{00000000-0005-0000-0000-000075030000}"/>
    <cellStyle name="Vírgula 11 2" xfId="1413" xr:uid="{00000000-0005-0000-0000-000071090000}"/>
    <cellStyle name="Vírgula 11 3" xfId="2291" xr:uid="{00000000-0005-0000-0000-000072090000}"/>
    <cellStyle name="Vírgula 11 4" xfId="2386" xr:uid="{00000000-0005-0000-0000-000073090000}"/>
    <cellStyle name="Vírgula 11 5" xfId="2421" xr:uid="{00000000-0005-0000-0000-000074090000}"/>
    <cellStyle name="Vírgula 11 6" xfId="2456" xr:uid="{00000000-0005-0000-0000-000075090000}"/>
    <cellStyle name="Vírgula 11 7" xfId="2491" xr:uid="{00000000-0005-0000-0000-000076090000}"/>
    <cellStyle name="Vírgula 11 8" xfId="2526" xr:uid="{00000000-0005-0000-0000-000077090000}"/>
    <cellStyle name="Vírgula 11 9" xfId="2560" xr:uid="{00000000-0005-0000-0000-000078090000}"/>
    <cellStyle name="Vírgula 12" xfId="903" xr:uid="{00000000-0005-0000-0000-000079090000}"/>
    <cellStyle name="Vírgula 12 10" xfId="2492" xr:uid="{00000000-0005-0000-0000-00007A090000}"/>
    <cellStyle name="Vírgula 12 11" xfId="2527" xr:uid="{00000000-0005-0000-0000-00007B090000}"/>
    <cellStyle name="Vírgula 12 12" xfId="2561" xr:uid="{00000000-0005-0000-0000-00007C090000}"/>
    <cellStyle name="Vírgula 12 13" xfId="2596" xr:uid="{00000000-0005-0000-0000-00007D090000}"/>
    <cellStyle name="Vírgula 12 14" xfId="2632" xr:uid="{00000000-0005-0000-0000-00007E090000}"/>
    <cellStyle name="Vírgula 12 15" xfId="2667" xr:uid="{00000000-0005-0000-0000-000076030000}"/>
    <cellStyle name="Vírgula 12 16" xfId="2702" xr:uid="{00000000-0005-0000-0000-000076030000}"/>
    <cellStyle name="Vírgula 12 2" xfId="1415" xr:uid="{00000000-0005-0000-0000-00007F090000}"/>
    <cellStyle name="Vírgula 12 3" xfId="1416" xr:uid="{00000000-0005-0000-0000-000080090000}"/>
    <cellStyle name="Vírgula 12 4" xfId="1866" xr:uid="{00000000-0005-0000-0000-000081090000}"/>
    <cellStyle name="Vírgula 12 5" xfId="1414" xr:uid="{00000000-0005-0000-0000-000082090000}"/>
    <cellStyle name="Vírgula 12 6" xfId="2292" xr:uid="{00000000-0005-0000-0000-000083090000}"/>
    <cellStyle name="Vírgula 12 7" xfId="2387" xr:uid="{00000000-0005-0000-0000-000084090000}"/>
    <cellStyle name="Vírgula 12 8" xfId="2422" xr:uid="{00000000-0005-0000-0000-000085090000}"/>
    <cellStyle name="Vírgula 12 9" xfId="2457" xr:uid="{00000000-0005-0000-0000-000086090000}"/>
    <cellStyle name="Vírgula 13" xfId="904" xr:uid="{00000000-0005-0000-0000-000087090000}"/>
    <cellStyle name="Vírgula 13 10" xfId="2562" xr:uid="{00000000-0005-0000-0000-000088090000}"/>
    <cellStyle name="Vírgula 13 11" xfId="2597" xr:uid="{00000000-0005-0000-0000-000089090000}"/>
    <cellStyle name="Vírgula 13 12" xfId="2633" xr:uid="{00000000-0005-0000-0000-00008A090000}"/>
    <cellStyle name="Vírgula 13 13" xfId="2668" xr:uid="{00000000-0005-0000-0000-000077030000}"/>
    <cellStyle name="Vírgula 13 14" xfId="2703" xr:uid="{00000000-0005-0000-0000-000077030000}"/>
    <cellStyle name="Vírgula 13 2" xfId="2176" xr:uid="{00000000-0005-0000-0000-00008B090000}"/>
    <cellStyle name="Vírgula 13 3" xfId="1417" xr:uid="{00000000-0005-0000-0000-00008C090000}"/>
    <cellStyle name="Vírgula 13 4" xfId="2293" xr:uid="{00000000-0005-0000-0000-00008D090000}"/>
    <cellStyle name="Vírgula 13 5" xfId="2388" xr:uid="{00000000-0005-0000-0000-00008E090000}"/>
    <cellStyle name="Vírgula 13 6" xfId="2423" xr:uid="{00000000-0005-0000-0000-00008F090000}"/>
    <cellStyle name="Vírgula 13 7" xfId="2458" xr:uid="{00000000-0005-0000-0000-000090090000}"/>
    <cellStyle name="Vírgula 13 8" xfId="2493" xr:uid="{00000000-0005-0000-0000-000091090000}"/>
    <cellStyle name="Vírgula 13 9" xfId="2528" xr:uid="{00000000-0005-0000-0000-000092090000}"/>
    <cellStyle name="Vírgula 14" xfId="1081" xr:uid="{00000000-0005-0000-0000-000093090000}"/>
    <cellStyle name="Vírgula 14 2" xfId="2177" xr:uid="{00000000-0005-0000-0000-000094090000}"/>
    <cellStyle name="Vírgula 14 3" xfId="2178" xr:uid="{00000000-0005-0000-0000-000095090000}"/>
    <cellStyle name="Vírgula 15" xfId="1005" xr:uid="{00000000-0005-0000-0000-000096090000}"/>
    <cellStyle name="Vírgula 16" xfId="2612" xr:uid="{00000000-0005-0000-0000-000097090000}"/>
    <cellStyle name="Vírgula 2" xfId="11" xr:uid="{00000000-0005-0000-0000-000098090000}"/>
    <cellStyle name="Vírgula 2 10" xfId="906" xr:uid="{00000000-0005-0000-0000-000099090000}"/>
    <cellStyle name="Vírgula 2 10 2" xfId="2179" xr:uid="{00000000-0005-0000-0000-00009A090000}"/>
    <cellStyle name="Vírgula 2 11" xfId="907" xr:uid="{00000000-0005-0000-0000-00009B090000}"/>
    <cellStyle name="Vírgula 2 11 2" xfId="2180" xr:uid="{00000000-0005-0000-0000-00009C090000}"/>
    <cellStyle name="Vírgula 2 12" xfId="905" xr:uid="{00000000-0005-0000-0000-00009D090000}"/>
    <cellStyle name="Vírgula 2 12 2" xfId="2181" xr:uid="{00000000-0005-0000-0000-00009E090000}"/>
    <cellStyle name="Vírgula 2 13" xfId="1083" xr:uid="{00000000-0005-0000-0000-00009F090000}"/>
    <cellStyle name="Vírgula 2 13 2" xfId="2182" xr:uid="{00000000-0005-0000-0000-0000A0090000}"/>
    <cellStyle name="Vírgula 2 2" xfId="908" xr:uid="{00000000-0005-0000-0000-0000A1090000}"/>
    <cellStyle name="Vírgula 2 2 2" xfId="1032" xr:uid="{00000000-0005-0000-0000-0000A2090000}"/>
    <cellStyle name="Vírgula 2 2 2 2" xfId="1419" xr:uid="{00000000-0005-0000-0000-0000A3090000}"/>
    <cellStyle name="Vírgula 2 2 3" xfId="1033" xr:uid="{00000000-0005-0000-0000-0000A4090000}"/>
    <cellStyle name="Vírgula 2 2 3 2" xfId="2183" xr:uid="{00000000-0005-0000-0000-0000A5090000}"/>
    <cellStyle name="Vírgula 2 2 4" xfId="1034" xr:uid="{00000000-0005-0000-0000-0000A6090000}"/>
    <cellStyle name="Vírgula 2 2 4 2" xfId="2184" xr:uid="{00000000-0005-0000-0000-0000A7090000}"/>
    <cellStyle name="Vírgula 2 2 5" xfId="1035" xr:uid="{00000000-0005-0000-0000-0000A8090000}"/>
    <cellStyle name="Vírgula 2 2 5 2" xfId="2185" xr:uid="{00000000-0005-0000-0000-0000A9090000}"/>
    <cellStyle name="Vírgula 2 2 6" xfId="1036" xr:uid="{00000000-0005-0000-0000-0000AA090000}"/>
    <cellStyle name="Vírgula 2 2 6 2" xfId="2186" xr:uid="{00000000-0005-0000-0000-0000AB090000}"/>
    <cellStyle name="Vírgula 2 2 7" xfId="1037" xr:uid="{00000000-0005-0000-0000-0000AC090000}"/>
    <cellStyle name="Vírgula 2 2 7 2" xfId="2187" xr:uid="{00000000-0005-0000-0000-0000AD090000}"/>
    <cellStyle name="Vírgula 2 2 8" xfId="1031" xr:uid="{00000000-0005-0000-0000-0000AE090000}"/>
    <cellStyle name="Vírgula 2 2 8 2" xfId="1420" xr:uid="{00000000-0005-0000-0000-0000AF090000}"/>
    <cellStyle name="Vírgula 2 2 9" xfId="1418" xr:uid="{00000000-0005-0000-0000-0000B0090000}"/>
    <cellStyle name="Vírgula 2 3" xfId="909" xr:uid="{00000000-0005-0000-0000-0000B1090000}"/>
    <cellStyle name="Vírgula 2 3 2" xfId="1038" xr:uid="{00000000-0005-0000-0000-0000B2090000}"/>
    <cellStyle name="Vírgula 2 3 2 2" xfId="1421" xr:uid="{00000000-0005-0000-0000-0000B3090000}"/>
    <cellStyle name="Vírgula 2 4" xfId="910" xr:uid="{00000000-0005-0000-0000-0000B4090000}"/>
    <cellStyle name="Vírgula 2 4 2" xfId="1039" xr:uid="{00000000-0005-0000-0000-0000B5090000}"/>
    <cellStyle name="Vírgula 2 4 2 2" xfId="1423" xr:uid="{00000000-0005-0000-0000-0000B6090000}"/>
    <cellStyle name="Vírgula 2 4 2 3" xfId="1867" xr:uid="{00000000-0005-0000-0000-0000B7090000}"/>
    <cellStyle name="Vírgula 2 4 2 4" xfId="1422" xr:uid="{00000000-0005-0000-0000-0000B8090000}"/>
    <cellStyle name="Vírgula 2 4 3" xfId="2188" xr:uid="{00000000-0005-0000-0000-0000B9090000}"/>
    <cellStyle name="Vírgula 2 5" xfId="911" xr:uid="{00000000-0005-0000-0000-0000BA090000}"/>
    <cellStyle name="Vírgula 2 5 2" xfId="1040" xr:uid="{00000000-0005-0000-0000-0000BB090000}"/>
    <cellStyle name="Vírgula 2 5 2 2" xfId="2189" xr:uid="{00000000-0005-0000-0000-0000BC090000}"/>
    <cellStyle name="Vírgula 2 6" xfId="912" xr:uid="{00000000-0005-0000-0000-0000BD090000}"/>
    <cellStyle name="Vírgula 2 6 2" xfId="1041" xr:uid="{00000000-0005-0000-0000-0000BE090000}"/>
    <cellStyle name="Vírgula 2 6 2 2" xfId="2190" xr:uid="{00000000-0005-0000-0000-0000BF090000}"/>
    <cellStyle name="Vírgula 2 7" xfId="913" xr:uid="{00000000-0005-0000-0000-0000C0090000}"/>
    <cellStyle name="Vírgula 2 7 2" xfId="1042" xr:uid="{00000000-0005-0000-0000-0000C1090000}"/>
    <cellStyle name="Vírgula 2 7 2 2" xfId="2191" xr:uid="{00000000-0005-0000-0000-0000C2090000}"/>
    <cellStyle name="Vírgula 2 8" xfId="914" xr:uid="{00000000-0005-0000-0000-0000C3090000}"/>
    <cellStyle name="Vírgula 2 8 2" xfId="2192" xr:uid="{00000000-0005-0000-0000-0000C4090000}"/>
    <cellStyle name="Vírgula 2 9" xfId="915" xr:uid="{00000000-0005-0000-0000-0000C5090000}"/>
    <cellStyle name="Vírgula 2 9 2" xfId="2193" xr:uid="{00000000-0005-0000-0000-0000C6090000}"/>
    <cellStyle name="Vírgula 3" xfId="916" xr:uid="{00000000-0005-0000-0000-0000C7090000}"/>
    <cellStyle name="Vírgula 3 10" xfId="2494" xr:uid="{00000000-0005-0000-0000-0000C8090000}"/>
    <cellStyle name="Vírgula 3 11" xfId="2529" xr:uid="{00000000-0005-0000-0000-0000C9090000}"/>
    <cellStyle name="Vírgula 3 12" xfId="2563" xr:uid="{00000000-0005-0000-0000-0000CA090000}"/>
    <cellStyle name="Vírgula 3 13" xfId="2598" xr:uid="{00000000-0005-0000-0000-0000CB090000}"/>
    <cellStyle name="Vírgula 3 14" xfId="2634" xr:uid="{00000000-0005-0000-0000-0000CC090000}"/>
    <cellStyle name="Vírgula 3 15" xfId="2669" xr:uid="{00000000-0005-0000-0000-000083030000}"/>
    <cellStyle name="Vírgula 3 16" xfId="2704" xr:uid="{00000000-0005-0000-0000-000083030000}"/>
    <cellStyle name="Vírgula 3 2" xfId="917" xr:uid="{00000000-0005-0000-0000-0000CD090000}"/>
    <cellStyle name="Vírgula 3 2 10" xfId="2599" xr:uid="{00000000-0005-0000-0000-0000CE090000}"/>
    <cellStyle name="Vírgula 3 2 11" xfId="2635" xr:uid="{00000000-0005-0000-0000-0000CF090000}"/>
    <cellStyle name="Vírgula 3 2 12" xfId="2670" xr:uid="{00000000-0005-0000-0000-000084030000}"/>
    <cellStyle name="Vírgula 3 2 13" xfId="2705" xr:uid="{00000000-0005-0000-0000-000084030000}"/>
    <cellStyle name="Vírgula 3 2 2" xfId="1044" xr:uid="{00000000-0005-0000-0000-0000D0090000}"/>
    <cellStyle name="Vírgula 3 2 2 2" xfId="1425" xr:uid="{00000000-0005-0000-0000-0000D1090000}"/>
    <cellStyle name="Vírgula 3 2 2 3" xfId="1424" xr:uid="{00000000-0005-0000-0000-0000D2090000}"/>
    <cellStyle name="Vírgula 3 2 3" xfId="2295" xr:uid="{00000000-0005-0000-0000-0000D3090000}"/>
    <cellStyle name="Vírgula 3 2 4" xfId="2390" xr:uid="{00000000-0005-0000-0000-0000D4090000}"/>
    <cellStyle name="Vírgula 3 2 5" xfId="2425" xr:uid="{00000000-0005-0000-0000-0000D5090000}"/>
    <cellStyle name="Vírgula 3 2 6" xfId="2460" xr:uid="{00000000-0005-0000-0000-0000D6090000}"/>
    <cellStyle name="Vírgula 3 2 7" xfId="2495" xr:uid="{00000000-0005-0000-0000-0000D7090000}"/>
    <cellStyle name="Vírgula 3 2 8" xfId="2530" xr:uid="{00000000-0005-0000-0000-0000D8090000}"/>
    <cellStyle name="Vírgula 3 2 9" xfId="2564" xr:uid="{00000000-0005-0000-0000-0000D9090000}"/>
    <cellStyle name="Vírgula 3 3" xfId="1045" xr:uid="{00000000-0005-0000-0000-0000DA090000}"/>
    <cellStyle name="Vírgula 3 4" xfId="1046" xr:uid="{00000000-0005-0000-0000-0000DB090000}"/>
    <cellStyle name="Vírgula 3 5" xfId="1043" xr:uid="{00000000-0005-0000-0000-0000DC090000}"/>
    <cellStyle name="Vírgula 3 6" xfId="2294" xr:uid="{00000000-0005-0000-0000-0000DD090000}"/>
    <cellStyle name="Vírgula 3 7" xfId="2389" xr:uid="{00000000-0005-0000-0000-0000DE090000}"/>
    <cellStyle name="Vírgula 3 8" xfId="2424" xr:uid="{00000000-0005-0000-0000-0000DF090000}"/>
    <cellStyle name="Vírgula 3 9" xfId="2459" xr:uid="{00000000-0005-0000-0000-0000E0090000}"/>
    <cellStyle name="Vírgula 4" xfId="17" xr:uid="{00000000-0005-0000-0000-0000E1090000}"/>
    <cellStyle name="Vírgula 4 10" xfId="2531" xr:uid="{00000000-0005-0000-0000-0000E2090000}"/>
    <cellStyle name="Vírgula 4 11" xfId="2565" xr:uid="{00000000-0005-0000-0000-0000E3090000}"/>
    <cellStyle name="Vírgula 4 12" xfId="2600" xr:uid="{00000000-0005-0000-0000-0000E4090000}"/>
    <cellStyle name="Vírgula 4 13" xfId="2636" xr:uid="{00000000-0005-0000-0000-0000E5090000}"/>
    <cellStyle name="Vírgula 4 14" xfId="2671" xr:uid="{00000000-0005-0000-0000-000085030000}"/>
    <cellStyle name="Vírgula 4 15" xfId="2706" xr:uid="{00000000-0005-0000-0000-000085030000}"/>
    <cellStyle name="Vírgula 4 2" xfId="1048" xr:uid="{00000000-0005-0000-0000-0000E6090000}"/>
    <cellStyle name="Vírgula 4 3" xfId="1049" xr:uid="{00000000-0005-0000-0000-0000E7090000}"/>
    <cellStyle name="Vírgula 4 4" xfId="1047" xr:uid="{00000000-0005-0000-0000-0000E8090000}"/>
    <cellStyle name="Vírgula 4 5" xfId="2296" xr:uid="{00000000-0005-0000-0000-0000E9090000}"/>
    <cellStyle name="Vírgula 4 6" xfId="2391" xr:uid="{00000000-0005-0000-0000-0000EA090000}"/>
    <cellStyle name="Vírgula 4 7" xfId="2426" xr:uid="{00000000-0005-0000-0000-0000EB090000}"/>
    <cellStyle name="Vírgula 4 8" xfId="2461" xr:uid="{00000000-0005-0000-0000-0000EC090000}"/>
    <cellStyle name="Vírgula 4 9" xfId="2496" xr:uid="{00000000-0005-0000-0000-0000ED090000}"/>
    <cellStyle name="Vírgula 5" xfId="23" xr:uid="{00000000-0005-0000-0000-0000EE090000}"/>
    <cellStyle name="Vírgula 5 10" xfId="2532" xr:uid="{00000000-0005-0000-0000-0000EF090000}"/>
    <cellStyle name="Vírgula 5 11" xfId="2566" xr:uid="{00000000-0005-0000-0000-0000F0090000}"/>
    <cellStyle name="Vírgula 5 12" xfId="2601" xr:uid="{00000000-0005-0000-0000-0000F1090000}"/>
    <cellStyle name="Vírgula 5 13" xfId="2637" xr:uid="{00000000-0005-0000-0000-0000F2090000}"/>
    <cellStyle name="Vírgula 5 14" xfId="2672" xr:uid="{00000000-0005-0000-0000-000086030000}"/>
    <cellStyle name="Vírgula 5 15" xfId="2707" xr:uid="{00000000-0005-0000-0000-000086030000}"/>
    <cellStyle name="Vírgula 5 2" xfId="918" xr:uid="{00000000-0005-0000-0000-0000F3090000}"/>
    <cellStyle name="Vírgula 5 2 10" xfId="2567" xr:uid="{00000000-0005-0000-0000-0000F4090000}"/>
    <cellStyle name="Vírgula 5 2 11" xfId="2602" xr:uid="{00000000-0005-0000-0000-0000F5090000}"/>
    <cellStyle name="Vírgula 5 2 12" xfId="2638" xr:uid="{00000000-0005-0000-0000-0000F6090000}"/>
    <cellStyle name="Vírgula 5 2 13" xfId="2673" xr:uid="{00000000-0005-0000-0000-000087030000}"/>
    <cellStyle name="Vírgula 5 2 14" xfId="2708" xr:uid="{00000000-0005-0000-0000-000087030000}"/>
    <cellStyle name="Vírgula 5 2 2" xfId="1078" xr:uid="{00000000-0005-0000-0000-0000F7090000}"/>
    <cellStyle name="Vírgula 5 2 3" xfId="1427" xr:uid="{00000000-0005-0000-0000-0000F8090000}"/>
    <cellStyle name="Vírgula 5 2 4" xfId="2298" xr:uid="{00000000-0005-0000-0000-0000F9090000}"/>
    <cellStyle name="Vírgula 5 2 5" xfId="2393" xr:uid="{00000000-0005-0000-0000-0000FA090000}"/>
    <cellStyle name="Vírgula 5 2 6" xfId="2428" xr:uid="{00000000-0005-0000-0000-0000FB090000}"/>
    <cellStyle name="Vírgula 5 2 7" xfId="2463" xr:uid="{00000000-0005-0000-0000-0000FC090000}"/>
    <cellStyle name="Vírgula 5 2 8" xfId="2498" xr:uid="{00000000-0005-0000-0000-0000FD090000}"/>
    <cellStyle name="Vírgula 5 2 9" xfId="2533" xr:uid="{00000000-0005-0000-0000-0000FE090000}"/>
    <cellStyle name="Vírgula 5 3" xfId="1050" xr:uid="{00000000-0005-0000-0000-0000FF090000}"/>
    <cellStyle name="Vírgula 5 3 2" xfId="2194" xr:uid="{00000000-0005-0000-0000-0000000A0000}"/>
    <cellStyle name="Vírgula 5 4" xfId="1426" xr:uid="{00000000-0005-0000-0000-0000010A0000}"/>
    <cellStyle name="Vírgula 5 5" xfId="2297" xr:uid="{00000000-0005-0000-0000-0000020A0000}"/>
    <cellStyle name="Vírgula 5 6" xfId="2392" xr:uid="{00000000-0005-0000-0000-0000030A0000}"/>
    <cellStyle name="Vírgula 5 7" xfId="2427" xr:uid="{00000000-0005-0000-0000-0000040A0000}"/>
    <cellStyle name="Vírgula 5 8" xfId="2462" xr:uid="{00000000-0005-0000-0000-0000050A0000}"/>
    <cellStyle name="Vírgula 5 9" xfId="2497" xr:uid="{00000000-0005-0000-0000-0000060A0000}"/>
    <cellStyle name="Vírgula 6" xfId="21" xr:uid="{00000000-0005-0000-0000-0000070A0000}"/>
    <cellStyle name="Vírgula 6 10" xfId="2429" xr:uid="{00000000-0005-0000-0000-0000080A0000}"/>
    <cellStyle name="Vírgula 6 11" xfId="2464" xr:uid="{00000000-0005-0000-0000-0000090A0000}"/>
    <cellStyle name="Vírgula 6 12" xfId="2499" xr:uid="{00000000-0005-0000-0000-00000A0A0000}"/>
    <cellStyle name="Vírgula 6 13" xfId="2534" xr:uid="{00000000-0005-0000-0000-00000B0A0000}"/>
    <cellStyle name="Vírgula 6 14" xfId="2568" xr:uid="{00000000-0005-0000-0000-00000C0A0000}"/>
    <cellStyle name="Vírgula 6 15" xfId="2603" xr:uid="{00000000-0005-0000-0000-00000D0A0000}"/>
    <cellStyle name="Vírgula 6 16" xfId="2639" xr:uid="{00000000-0005-0000-0000-00000E0A0000}"/>
    <cellStyle name="Vírgula 6 17" xfId="2674" xr:uid="{00000000-0005-0000-0000-000088030000}"/>
    <cellStyle name="Vírgula 6 18" xfId="2709" xr:uid="{00000000-0005-0000-0000-000088030000}"/>
    <cellStyle name="Vírgula 6 2" xfId="920" xr:uid="{00000000-0005-0000-0000-00000F0A0000}"/>
    <cellStyle name="Vírgula 6 2 10" xfId="2604" xr:uid="{00000000-0005-0000-0000-0000100A0000}"/>
    <cellStyle name="Vírgula 6 2 11" xfId="2640" xr:uid="{00000000-0005-0000-0000-0000110A0000}"/>
    <cellStyle name="Vírgula 6 2 12" xfId="2675" xr:uid="{00000000-0005-0000-0000-000089030000}"/>
    <cellStyle name="Vírgula 6 2 13" xfId="2710" xr:uid="{00000000-0005-0000-0000-000089030000}"/>
    <cellStyle name="Vírgula 6 2 2" xfId="1429" xr:uid="{00000000-0005-0000-0000-0000120A0000}"/>
    <cellStyle name="Vírgula 6 2 3" xfId="2300" xr:uid="{00000000-0005-0000-0000-0000130A0000}"/>
    <cellStyle name="Vírgula 6 2 4" xfId="2395" xr:uid="{00000000-0005-0000-0000-0000140A0000}"/>
    <cellStyle name="Vírgula 6 2 5" xfId="2430" xr:uid="{00000000-0005-0000-0000-0000150A0000}"/>
    <cellStyle name="Vírgula 6 2 6" xfId="2465" xr:uid="{00000000-0005-0000-0000-0000160A0000}"/>
    <cellStyle name="Vírgula 6 2 7" xfId="2500" xr:uid="{00000000-0005-0000-0000-0000170A0000}"/>
    <cellStyle name="Vírgula 6 2 8" xfId="2535" xr:uid="{00000000-0005-0000-0000-0000180A0000}"/>
    <cellStyle name="Vírgula 6 2 9" xfId="2569" xr:uid="{00000000-0005-0000-0000-0000190A0000}"/>
    <cellStyle name="Vírgula 6 3" xfId="921" xr:uid="{00000000-0005-0000-0000-00001A0A0000}"/>
    <cellStyle name="Vírgula 6 3 10" xfId="2605" xr:uid="{00000000-0005-0000-0000-00001B0A0000}"/>
    <cellStyle name="Vírgula 6 3 11" xfId="2641" xr:uid="{00000000-0005-0000-0000-00001C0A0000}"/>
    <cellStyle name="Vírgula 6 3 12" xfId="2676" xr:uid="{00000000-0005-0000-0000-00008A030000}"/>
    <cellStyle name="Vírgula 6 3 13" xfId="2711" xr:uid="{00000000-0005-0000-0000-00008A030000}"/>
    <cellStyle name="Vírgula 6 3 2" xfId="1430" xr:uid="{00000000-0005-0000-0000-00001D0A0000}"/>
    <cellStyle name="Vírgula 6 3 3" xfId="2301" xr:uid="{00000000-0005-0000-0000-00001E0A0000}"/>
    <cellStyle name="Vírgula 6 3 4" xfId="2396" xr:uid="{00000000-0005-0000-0000-00001F0A0000}"/>
    <cellStyle name="Vírgula 6 3 5" xfId="2431" xr:uid="{00000000-0005-0000-0000-0000200A0000}"/>
    <cellStyle name="Vírgula 6 3 6" xfId="2466" xr:uid="{00000000-0005-0000-0000-0000210A0000}"/>
    <cellStyle name="Vírgula 6 3 7" xfId="2501" xr:uid="{00000000-0005-0000-0000-0000220A0000}"/>
    <cellStyle name="Vírgula 6 3 8" xfId="2536" xr:uid="{00000000-0005-0000-0000-0000230A0000}"/>
    <cellStyle name="Vírgula 6 3 9" xfId="2570" xr:uid="{00000000-0005-0000-0000-0000240A0000}"/>
    <cellStyle name="Vírgula 6 4" xfId="1068" xr:uid="{00000000-0005-0000-0000-0000250A0000}"/>
    <cellStyle name="Vírgula 6 4 2" xfId="26" xr:uid="{00000000-0005-0000-0000-0000260A0000}"/>
    <cellStyle name="Vírgula 6 4 2 2" xfId="1432" xr:uid="{00000000-0005-0000-0000-0000270A0000}"/>
    <cellStyle name="Vírgula 6 4 3" xfId="1868" xr:uid="{00000000-0005-0000-0000-0000280A0000}"/>
    <cellStyle name="Vírgula 6 4 4" xfId="1431" xr:uid="{00000000-0005-0000-0000-0000290A0000}"/>
    <cellStyle name="Vírgula 6 5" xfId="1433" xr:uid="{00000000-0005-0000-0000-00002A0A0000}"/>
    <cellStyle name="Vírgula 6 6" xfId="1434" xr:uid="{00000000-0005-0000-0000-00002B0A0000}"/>
    <cellStyle name="Vírgula 6 7" xfId="1428" xr:uid="{00000000-0005-0000-0000-00002C0A0000}"/>
    <cellStyle name="Vírgula 6 8" xfId="2299" xr:uid="{00000000-0005-0000-0000-00002D0A0000}"/>
    <cellStyle name="Vírgula 6 9" xfId="2394" xr:uid="{00000000-0005-0000-0000-00002E0A0000}"/>
    <cellStyle name="Vírgula 7" xfId="922" xr:uid="{00000000-0005-0000-0000-00002F0A0000}"/>
    <cellStyle name="Vírgula 7 10" xfId="2571" xr:uid="{00000000-0005-0000-0000-0000300A0000}"/>
    <cellStyle name="Vírgula 7 11" xfId="2606" xr:uid="{00000000-0005-0000-0000-0000310A0000}"/>
    <cellStyle name="Vírgula 7 12" xfId="2642" xr:uid="{00000000-0005-0000-0000-0000320A0000}"/>
    <cellStyle name="Vírgula 7 13" xfId="2677" xr:uid="{00000000-0005-0000-0000-00008B030000}"/>
    <cellStyle name="Vírgula 7 14" xfId="2712" xr:uid="{00000000-0005-0000-0000-00008B030000}"/>
    <cellStyle name="Vírgula 7 2" xfId="1080" xr:uid="{00000000-0005-0000-0000-0000330A0000}"/>
    <cellStyle name="Vírgula 7 3" xfId="1435" xr:uid="{00000000-0005-0000-0000-0000340A0000}"/>
    <cellStyle name="Vírgula 7 4" xfId="2302" xr:uid="{00000000-0005-0000-0000-0000350A0000}"/>
    <cellStyle name="Vírgula 7 5" xfId="2397" xr:uid="{00000000-0005-0000-0000-0000360A0000}"/>
    <cellStyle name="Vírgula 7 6" xfId="2432" xr:uid="{00000000-0005-0000-0000-0000370A0000}"/>
    <cellStyle name="Vírgula 7 7" xfId="2467" xr:uid="{00000000-0005-0000-0000-0000380A0000}"/>
    <cellStyle name="Vírgula 7 8" xfId="2502" xr:uid="{00000000-0005-0000-0000-0000390A0000}"/>
    <cellStyle name="Vírgula 7 9" xfId="2537" xr:uid="{00000000-0005-0000-0000-00003A0A0000}"/>
    <cellStyle name="Vírgula 8" xfId="923" xr:uid="{00000000-0005-0000-0000-00003B0A0000}"/>
    <cellStyle name="Vírgula 8 10" xfId="2538" xr:uid="{00000000-0005-0000-0000-00003C0A0000}"/>
    <cellStyle name="Vírgula 8 11" xfId="2572" xr:uid="{00000000-0005-0000-0000-00003D0A0000}"/>
    <cellStyle name="Vírgula 8 12" xfId="2607" xr:uid="{00000000-0005-0000-0000-00003E0A0000}"/>
    <cellStyle name="Vírgula 8 13" xfId="2643" xr:uid="{00000000-0005-0000-0000-00003F0A0000}"/>
    <cellStyle name="Vírgula 8 14" xfId="2678" xr:uid="{00000000-0005-0000-0000-00008C030000}"/>
    <cellStyle name="Vírgula 8 15" xfId="2713" xr:uid="{00000000-0005-0000-0000-00008C030000}"/>
    <cellStyle name="Vírgula 8 2" xfId="924" xr:uid="{00000000-0005-0000-0000-0000400A0000}"/>
    <cellStyle name="Vírgula 8 2 10" xfId="2608" xr:uid="{00000000-0005-0000-0000-0000410A0000}"/>
    <cellStyle name="Vírgula 8 2 11" xfId="2644" xr:uid="{00000000-0005-0000-0000-0000420A0000}"/>
    <cellStyle name="Vírgula 8 2 12" xfId="2679" xr:uid="{00000000-0005-0000-0000-00008D030000}"/>
    <cellStyle name="Vírgula 8 2 13" xfId="2714" xr:uid="{00000000-0005-0000-0000-00008D030000}"/>
    <cellStyle name="Vírgula 8 2 2" xfId="1437" xr:uid="{00000000-0005-0000-0000-0000430A0000}"/>
    <cellStyle name="Vírgula 8 2 3" xfId="2304" xr:uid="{00000000-0005-0000-0000-0000440A0000}"/>
    <cellStyle name="Vírgula 8 2 4" xfId="2399" xr:uid="{00000000-0005-0000-0000-0000450A0000}"/>
    <cellStyle name="Vírgula 8 2 5" xfId="2434" xr:uid="{00000000-0005-0000-0000-0000460A0000}"/>
    <cellStyle name="Vírgula 8 2 6" xfId="2469" xr:uid="{00000000-0005-0000-0000-0000470A0000}"/>
    <cellStyle name="Vírgula 8 2 7" xfId="2504" xr:uid="{00000000-0005-0000-0000-0000480A0000}"/>
    <cellStyle name="Vírgula 8 2 8" xfId="2539" xr:uid="{00000000-0005-0000-0000-0000490A0000}"/>
    <cellStyle name="Vírgula 8 2 9" xfId="2573" xr:uid="{00000000-0005-0000-0000-00004A0A0000}"/>
    <cellStyle name="Vírgula 8 3" xfId="1082" xr:uid="{00000000-0005-0000-0000-00004B0A0000}"/>
    <cellStyle name="Vírgula 8 4" xfId="1436" xr:uid="{00000000-0005-0000-0000-00004C0A0000}"/>
    <cellStyle name="Vírgula 8 5" xfId="2303" xr:uid="{00000000-0005-0000-0000-00004D0A0000}"/>
    <cellStyle name="Vírgula 8 6" xfId="2398" xr:uid="{00000000-0005-0000-0000-00004E0A0000}"/>
    <cellStyle name="Vírgula 8 7" xfId="2433" xr:uid="{00000000-0005-0000-0000-00004F0A0000}"/>
    <cellStyle name="Vírgula 8 8" xfId="2468" xr:uid="{00000000-0005-0000-0000-0000500A0000}"/>
    <cellStyle name="Vírgula 8 9" xfId="2503" xr:uid="{00000000-0005-0000-0000-0000510A0000}"/>
    <cellStyle name="Vírgula 9" xfId="925" xr:uid="{00000000-0005-0000-0000-0000520A0000}"/>
    <cellStyle name="Vírgula 9 2" xfId="926" xr:uid="{00000000-0005-0000-0000-0000530A0000}"/>
    <cellStyle name="Vírgula 9 2 2" xfId="2195" xr:uid="{00000000-0005-0000-0000-0000540A0000}"/>
    <cellStyle name="Vírgula 9 3" xfId="2196" xr:uid="{00000000-0005-0000-0000-0000550A0000}"/>
    <cellStyle name="Warning Text" xfId="927" xr:uid="{00000000-0005-0000-0000-0000560A0000}"/>
    <cellStyle name="Warning Text 2" xfId="1051" xr:uid="{00000000-0005-0000-0000-0000570A0000}"/>
  </cellStyles>
  <dxfs count="125">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FF0000"/>
      </font>
    </dxf>
    <dxf>
      <font>
        <color rgb="FFFF0000"/>
      </font>
    </dxf>
    <dxf>
      <font>
        <color rgb="FFFF0000"/>
      </font>
    </dxf>
    <dxf>
      <font>
        <color rgb="FFFF0000"/>
      </font>
    </dxf>
    <dxf>
      <font>
        <color rgb="FFFF0000"/>
      </font>
    </dxf>
    <dxf>
      <font>
        <color rgb="FFFF000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colors>
    <mruColors>
      <color rgb="FF334945"/>
      <color rgb="FF0000FF"/>
      <color rgb="FF3015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ctrlProps/ctrlProp1.xml><?xml version="1.0" encoding="utf-8"?>
<formControlPr xmlns="http://schemas.microsoft.com/office/spreadsheetml/2009/9/main" objectType="Drop" dropLines="5" dropStyle="combo" dx="16" fmlaLink="$Z$1" fmlaRange="$Y$1:$Y$2" sel="1"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Indice_index!A1"/></Relationships>
</file>

<file path=xl/drawings/_rels/drawing11.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Indice_index!A1"/></Relationships>
</file>

<file path=xl/drawings/_rels/drawing1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Indice_index!A1"/></Relationships>
</file>

<file path=xl/drawings/_rels/drawing1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Indice_index!A1"/></Relationships>
</file>

<file path=xl/drawings/_rels/drawing1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Indice_index!A1"/></Relationships>
</file>

<file path=xl/drawings/_rels/drawing1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Indice_index!A1"/></Relationships>
</file>

<file path=xl/drawings/_rels/drawing16.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Indice_index!A1"/></Relationships>
</file>

<file path=xl/drawings/_rels/drawing1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Indice_index!A1"/></Relationships>
</file>

<file path=xl/drawings/_rels/drawing18.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Indice_index!A1"/></Relationships>
</file>

<file path=xl/drawings/_rels/drawing19.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Indice_index!A1"/></Relationships>
</file>

<file path=xl/drawings/_rels/drawing20.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Indice_index!A1"/></Relationships>
</file>

<file path=xl/drawings/_rels/drawing21.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Indice_index!A1"/></Relationships>
</file>

<file path=xl/drawings/_rels/drawing2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Indice_index!A1"/></Relationships>
</file>

<file path=xl/drawings/_rels/drawing2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Indice_index!A1"/></Relationships>
</file>

<file path=xl/drawings/_rels/drawing2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Indice_index!A1"/></Relationships>
</file>

<file path=xl/drawings/_rels/drawing2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Indice_index!A1"/></Relationships>
</file>

<file path=xl/drawings/_rels/drawing26.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Indice_index!A1"/></Relationships>
</file>

<file path=xl/drawings/_rels/drawing2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Indice_index!A1"/></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Indice_index!A1"/></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Indice_index!A1"/></Relationships>
</file>

<file path=xl/drawings/_rels/drawing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Indice_index!A1"/></Relationships>
</file>

<file path=xl/drawings/_rels/drawing6.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Indice_index!A1"/></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Indice_index!A1"/></Relationships>
</file>

<file path=xl/drawings/_rels/drawing8.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Indice_index!A1"/></Relationships>
</file>

<file path=xl/drawings/_rels/drawing9.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Indice_index!A1"/></Relationships>
</file>

<file path=xl/drawings/_rels/vmlDrawing10.v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_rels/vmlDrawing11.v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_rels/vmlDrawing12.v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_rels/vmlDrawing13.v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_rels/vmlDrawing14.v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_rels/vmlDrawing15.v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_rels/vmlDrawing16.v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_rels/vmlDrawing17.v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_rels/vmlDrawing18.v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_rels/vmlDrawing19.v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20.v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_rels/vmlDrawing21.v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_rels/vmlDrawing22.v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_rels/vmlDrawing23.v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_rels/vmlDrawing24.v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vmlDrawing25.v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vmlDrawing26.v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vmlDrawing27.v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12.png"/><Relationship Id="rId4" Type="http://schemas.openxmlformats.org/officeDocument/2006/relationships/image" Target="../media/image10.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vmlDrawing4.v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_rels/vmlDrawing5.v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11.png"/><Relationship Id="rId4" Type="http://schemas.openxmlformats.org/officeDocument/2006/relationships/image" Target="../media/image10.png"/></Relationships>
</file>

<file path=xl/drawings/_rels/vmlDrawing6.v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11.png"/><Relationship Id="rId4" Type="http://schemas.openxmlformats.org/officeDocument/2006/relationships/image" Target="../media/image10.png"/></Relationships>
</file>

<file path=xl/drawings/_rels/vmlDrawing7.v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vmlDrawing8.v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vmlDrawing9.v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15240</xdr:rowOff>
    </xdr:from>
    <xdr:to>
      <xdr:col>11</xdr:col>
      <xdr:colOff>674155</xdr:colOff>
      <xdr:row>55</xdr:row>
      <xdr:rowOff>16643</xdr:rowOff>
    </xdr:to>
    <xdr:pic>
      <xdr:nvPicPr>
        <xdr:cNvPr id="2" name="Imagem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5240"/>
          <a:ext cx="7379755" cy="10345553"/>
        </a:xfrm>
        <a:prstGeom prst="rect">
          <a:avLst/>
        </a:prstGeom>
      </xdr:spPr>
    </xdr:pic>
    <xdr:clientData/>
  </xdr:twoCellAnchor>
  <xdr:twoCellAnchor>
    <xdr:from>
      <xdr:col>8</xdr:col>
      <xdr:colOff>374650</xdr:colOff>
      <xdr:row>14</xdr:row>
      <xdr:rowOff>174625</xdr:rowOff>
    </xdr:from>
    <xdr:to>
      <xdr:col>11</xdr:col>
      <xdr:colOff>403225</xdr:colOff>
      <xdr:row>16</xdr:row>
      <xdr:rowOff>174625</xdr:rowOff>
    </xdr:to>
    <xdr:sp macro="" textlink="">
      <xdr:nvSpPr>
        <xdr:cNvPr id="3" name="CaixaDeTexto 2">
          <a:extLst>
            <a:ext uri="{FF2B5EF4-FFF2-40B4-BE49-F238E27FC236}">
              <a16:creationId xmlns:a16="http://schemas.microsoft.com/office/drawing/2014/main" id="{00000000-0008-0000-0000-000003000000}"/>
            </a:ext>
          </a:extLst>
        </xdr:cNvPr>
        <xdr:cNvSpPr txBox="1"/>
      </xdr:nvSpPr>
      <xdr:spPr>
        <a:xfrm>
          <a:off x="5251450" y="2841625"/>
          <a:ext cx="185737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PT" sz="2000" i="1">
              <a:solidFill>
                <a:schemeClr val="bg1"/>
              </a:solidFill>
            </a:rPr>
            <a:t>julho 2022</a:t>
          </a:r>
        </a:p>
      </xdr:txBody>
    </xdr:sp>
    <xdr:clientData/>
  </xdr:twoCellAnchor>
  <xdr:twoCellAnchor>
    <xdr:from>
      <xdr:col>1</xdr:col>
      <xdr:colOff>269875</xdr:colOff>
      <xdr:row>5</xdr:row>
      <xdr:rowOff>158750</xdr:rowOff>
    </xdr:from>
    <xdr:to>
      <xdr:col>9</xdr:col>
      <xdr:colOff>269875</xdr:colOff>
      <xdr:row>11</xdr:row>
      <xdr:rowOff>174625</xdr:rowOff>
    </xdr:to>
    <xdr:sp macro="" textlink="">
      <xdr:nvSpPr>
        <xdr:cNvPr id="4" name="CaixaDeTexto 3">
          <a:extLst>
            <a:ext uri="{FF2B5EF4-FFF2-40B4-BE49-F238E27FC236}">
              <a16:creationId xmlns:a16="http://schemas.microsoft.com/office/drawing/2014/main" id="{00000000-0008-0000-0000-000004000000}"/>
            </a:ext>
          </a:extLst>
        </xdr:cNvPr>
        <xdr:cNvSpPr txBox="1"/>
      </xdr:nvSpPr>
      <xdr:spPr>
        <a:xfrm>
          <a:off x="879475" y="1111250"/>
          <a:ext cx="4876800" cy="1158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eaLnBrk="1" fontAlgn="auto" latinLnBrk="0" hangingPunct="1"/>
          <a:r>
            <a:rPr lang="pt-PT" sz="3200" b="1" i="1">
              <a:solidFill>
                <a:srgbClr val="002060"/>
              </a:solidFill>
              <a:effectLst/>
              <a:latin typeface="+mn-lt"/>
              <a:ea typeface="+mn-ea"/>
              <a:cs typeface="+mn-cs"/>
            </a:rPr>
            <a:t>Informação Estatística</a:t>
          </a:r>
          <a:endParaRPr lang="pt-PT" sz="3200" b="1">
            <a:solidFill>
              <a:srgbClr val="002060"/>
            </a:solidFill>
            <a:effectLst/>
          </a:endParaRPr>
        </a:p>
        <a:p>
          <a:pPr marL="0" marR="0" indent="0" algn="l" defTabSz="914400" eaLnBrk="1" fontAlgn="auto" latinLnBrk="0" hangingPunct="1">
            <a:lnSpc>
              <a:spcPct val="100000"/>
            </a:lnSpc>
            <a:spcBef>
              <a:spcPts val="600"/>
            </a:spcBef>
            <a:spcAft>
              <a:spcPts val="0"/>
            </a:spcAft>
            <a:buClrTx/>
            <a:buSzTx/>
            <a:buFontTx/>
            <a:buNone/>
            <a:tabLst/>
            <a:defRPr/>
          </a:pPr>
          <a:r>
            <a:rPr lang="pt-PT" sz="2400" b="0" i="1" spc="20" baseline="0">
              <a:solidFill>
                <a:srgbClr val="002060"/>
              </a:solidFill>
              <a:effectLst/>
              <a:latin typeface="+mn-lt"/>
              <a:ea typeface="+mn-ea"/>
              <a:cs typeface="+mn-cs"/>
            </a:rPr>
            <a:t>Síntese Execução Orçamental</a:t>
          </a:r>
        </a:p>
        <a:p>
          <a:pPr algn="l" eaLnBrk="1" fontAlgn="auto" latinLnBrk="0" hangingPunct="1"/>
          <a:endParaRPr lang="pt-PT" sz="3200" b="1">
            <a:solidFill>
              <a:srgbClr val="002060"/>
            </a:solidFill>
            <a:effectLst/>
          </a:endParaRP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11</xdr:col>
      <xdr:colOff>76200</xdr:colOff>
      <xdr:row>0</xdr:row>
      <xdr:rowOff>142875</xdr:rowOff>
    </xdr:from>
    <xdr:to>
      <xdr:col>11</xdr:col>
      <xdr:colOff>377075</xdr:colOff>
      <xdr:row>1</xdr:row>
      <xdr:rowOff>262255</xdr:rowOff>
    </xdr:to>
    <xdr:pic>
      <xdr:nvPicPr>
        <xdr:cNvPr id="2" name="Imagem 1" descr="flecha054.gif">
          <a:hlinkClick xmlns:r="http://schemas.openxmlformats.org/officeDocument/2006/relationships" r:id="rId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2" cstate="print"/>
        <a:srcRect/>
        <a:stretch>
          <a:fillRect/>
        </a:stretch>
      </xdr:blipFill>
      <xdr:spPr bwMode="auto">
        <a:xfrm>
          <a:off x="6724650" y="142875"/>
          <a:ext cx="300875" cy="309880"/>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11</xdr:col>
      <xdr:colOff>123825</xdr:colOff>
      <xdr:row>0</xdr:row>
      <xdr:rowOff>152400</xdr:rowOff>
    </xdr:from>
    <xdr:to>
      <xdr:col>11</xdr:col>
      <xdr:colOff>428625</xdr:colOff>
      <xdr:row>1</xdr:row>
      <xdr:rowOff>272415</xdr:rowOff>
    </xdr:to>
    <xdr:pic>
      <xdr:nvPicPr>
        <xdr:cNvPr id="2" name="Imagem 1" descr="flecha054.gif">
          <a:hlinkClick xmlns:r="http://schemas.openxmlformats.org/officeDocument/2006/relationships" r:id="rId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2" cstate="print"/>
        <a:srcRect/>
        <a:stretch>
          <a:fillRect/>
        </a:stretch>
      </xdr:blipFill>
      <xdr:spPr bwMode="auto">
        <a:xfrm>
          <a:off x="7229475" y="152400"/>
          <a:ext cx="304800" cy="310515"/>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11</xdr:col>
      <xdr:colOff>76200</xdr:colOff>
      <xdr:row>1</xdr:row>
      <xdr:rowOff>47625</xdr:rowOff>
    </xdr:from>
    <xdr:to>
      <xdr:col>11</xdr:col>
      <xdr:colOff>377075</xdr:colOff>
      <xdr:row>1</xdr:row>
      <xdr:rowOff>354965</xdr:rowOff>
    </xdr:to>
    <xdr:pic>
      <xdr:nvPicPr>
        <xdr:cNvPr id="2" name="Imagem 1" descr="flecha054.gif">
          <a:hlinkClick xmlns:r="http://schemas.openxmlformats.org/officeDocument/2006/relationships" r:id="rId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2" cstate="print"/>
        <a:srcRect/>
        <a:stretch>
          <a:fillRect/>
        </a:stretch>
      </xdr:blipFill>
      <xdr:spPr bwMode="auto">
        <a:xfrm>
          <a:off x="8677275" y="200025"/>
          <a:ext cx="300875" cy="307340"/>
        </a:xfrm>
        <a:prstGeom prst="rect">
          <a:avLst/>
        </a:prstGeom>
        <a:noFill/>
        <a:ln w="9525">
          <a:noFill/>
          <a:miter lim="800000"/>
          <a:headEnd/>
          <a:tailEnd/>
        </a:ln>
      </xdr:spPr>
    </xdr:pic>
    <xdr:clientData/>
  </xdr:twoCellAnchor>
</xdr:wsDr>
</file>

<file path=xl/drawings/drawing13.xml><?xml version="1.0" encoding="utf-8"?>
<xdr:wsDr xmlns:xdr="http://schemas.openxmlformats.org/drawingml/2006/spreadsheetDrawing" xmlns:a="http://schemas.openxmlformats.org/drawingml/2006/main">
  <xdr:oneCellAnchor>
    <xdr:from>
      <xdr:col>11</xdr:col>
      <xdr:colOff>200025</xdr:colOff>
      <xdr:row>1</xdr:row>
      <xdr:rowOff>19050</xdr:rowOff>
    </xdr:from>
    <xdr:ext cx="300875" cy="301625"/>
    <xdr:pic>
      <xdr:nvPicPr>
        <xdr:cNvPr id="2" name="Imagem 1" descr="flecha054.gif">
          <a:hlinkClick xmlns:r="http://schemas.openxmlformats.org/officeDocument/2006/relationships" r:id="rId1"/>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2" cstate="print"/>
        <a:srcRect/>
        <a:stretch>
          <a:fillRect/>
        </a:stretch>
      </xdr:blipFill>
      <xdr:spPr bwMode="auto">
        <a:xfrm>
          <a:off x="7543800" y="209550"/>
          <a:ext cx="300875" cy="301625"/>
        </a:xfrm>
        <a:prstGeom prst="rect">
          <a:avLst/>
        </a:prstGeom>
        <a:noFill/>
        <a:ln w="9525">
          <a:noFill/>
          <a:miter lim="800000"/>
          <a:headEnd/>
          <a:tailEnd/>
        </a:ln>
      </xdr:spPr>
    </xdr:pic>
    <xdr:clientData/>
  </xdr:oneCellAnchor>
</xdr:wsDr>
</file>

<file path=xl/drawings/drawing14.xml><?xml version="1.0" encoding="utf-8"?>
<xdr:wsDr xmlns:xdr="http://schemas.openxmlformats.org/drawingml/2006/spreadsheetDrawing" xmlns:a="http://schemas.openxmlformats.org/drawingml/2006/main">
  <xdr:twoCellAnchor editAs="oneCell">
    <xdr:from>
      <xdr:col>11</xdr:col>
      <xdr:colOff>133350</xdr:colOff>
      <xdr:row>1</xdr:row>
      <xdr:rowOff>28575</xdr:rowOff>
    </xdr:from>
    <xdr:to>
      <xdr:col>11</xdr:col>
      <xdr:colOff>438149</xdr:colOff>
      <xdr:row>2</xdr:row>
      <xdr:rowOff>28575</xdr:rowOff>
    </xdr:to>
    <xdr:pic>
      <xdr:nvPicPr>
        <xdr:cNvPr id="2" name="Imagem 1" descr="flecha054.gif">
          <a:hlinkClick xmlns:r="http://schemas.openxmlformats.org/officeDocument/2006/relationships" r:id="rId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2" cstate="print"/>
        <a:srcRect/>
        <a:stretch>
          <a:fillRect/>
        </a:stretch>
      </xdr:blipFill>
      <xdr:spPr bwMode="auto">
        <a:xfrm>
          <a:off x="8810625" y="180975"/>
          <a:ext cx="304799" cy="304800"/>
        </a:xfrm>
        <a:prstGeom prst="rect">
          <a:avLst/>
        </a:prstGeom>
        <a:noFill/>
        <a:ln w="9525">
          <a:noFill/>
          <a:miter lim="800000"/>
          <a:headEnd/>
          <a:tailEnd/>
        </a:ln>
      </xdr:spPr>
    </xdr:pic>
    <xdr:clientData/>
  </xdr:twoCellAnchor>
</xdr:wsDr>
</file>

<file path=xl/drawings/drawing15.xml><?xml version="1.0" encoding="utf-8"?>
<xdr:wsDr xmlns:xdr="http://schemas.openxmlformats.org/drawingml/2006/spreadsheetDrawing" xmlns:a="http://schemas.openxmlformats.org/drawingml/2006/main">
  <xdr:oneCellAnchor>
    <xdr:from>
      <xdr:col>10</xdr:col>
      <xdr:colOff>76200</xdr:colOff>
      <xdr:row>0</xdr:row>
      <xdr:rowOff>152400</xdr:rowOff>
    </xdr:from>
    <xdr:ext cx="305786" cy="304800"/>
    <xdr:pic>
      <xdr:nvPicPr>
        <xdr:cNvPr id="2" name="Imagem 1" descr="flecha054.gif">
          <a:hlinkClick xmlns:r="http://schemas.openxmlformats.org/officeDocument/2006/relationships" r:id="rId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2" cstate="print"/>
        <a:srcRect/>
        <a:stretch>
          <a:fillRect/>
        </a:stretch>
      </xdr:blipFill>
      <xdr:spPr bwMode="auto">
        <a:xfrm>
          <a:off x="8458200" y="152400"/>
          <a:ext cx="305786" cy="304800"/>
        </a:xfrm>
        <a:prstGeom prst="rect">
          <a:avLst/>
        </a:prstGeom>
        <a:noFill/>
        <a:ln w="9525">
          <a:noFill/>
          <a:miter lim="800000"/>
          <a:headEnd/>
          <a:tailEnd/>
        </a:ln>
      </xdr:spPr>
    </xdr:pic>
    <xdr:clientData/>
  </xdr:oneCellAnchor>
</xdr:wsDr>
</file>

<file path=xl/drawings/drawing16.xml><?xml version="1.0" encoding="utf-8"?>
<xdr:wsDr xmlns:xdr="http://schemas.openxmlformats.org/drawingml/2006/spreadsheetDrawing" xmlns:a="http://schemas.openxmlformats.org/drawingml/2006/main">
  <xdr:oneCellAnchor>
    <xdr:from>
      <xdr:col>10</xdr:col>
      <xdr:colOff>85725</xdr:colOff>
      <xdr:row>0</xdr:row>
      <xdr:rowOff>104775</xdr:rowOff>
    </xdr:from>
    <xdr:ext cx="305786" cy="304800"/>
    <xdr:pic>
      <xdr:nvPicPr>
        <xdr:cNvPr id="2" name="Imagem 1" descr="flecha054.gif">
          <a:hlinkClick xmlns:r="http://schemas.openxmlformats.org/officeDocument/2006/relationships" r:id="rId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2" cstate="print"/>
        <a:srcRect/>
        <a:stretch>
          <a:fillRect/>
        </a:stretch>
      </xdr:blipFill>
      <xdr:spPr bwMode="auto">
        <a:xfrm>
          <a:off x="7677150" y="104775"/>
          <a:ext cx="305786" cy="304800"/>
        </a:xfrm>
        <a:prstGeom prst="rect">
          <a:avLst/>
        </a:prstGeom>
        <a:noFill/>
        <a:ln w="9525">
          <a:noFill/>
          <a:miter lim="800000"/>
          <a:headEnd/>
          <a:tailEnd/>
        </a:ln>
      </xdr:spPr>
    </xdr:pic>
    <xdr:clientData/>
  </xdr:oneCellAnchor>
</xdr:wsDr>
</file>

<file path=xl/drawings/drawing17.xml><?xml version="1.0" encoding="utf-8"?>
<xdr:wsDr xmlns:xdr="http://schemas.openxmlformats.org/drawingml/2006/spreadsheetDrawing" xmlns:a="http://schemas.openxmlformats.org/drawingml/2006/main">
  <xdr:twoCellAnchor editAs="oneCell">
    <xdr:from>
      <xdr:col>14</xdr:col>
      <xdr:colOff>171450</xdr:colOff>
      <xdr:row>0</xdr:row>
      <xdr:rowOff>104775</xdr:rowOff>
    </xdr:from>
    <xdr:to>
      <xdr:col>14</xdr:col>
      <xdr:colOff>476250</xdr:colOff>
      <xdr:row>1</xdr:row>
      <xdr:rowOff>228600</xdr:rowOff>
    </xdr:to>
    <xdr:pic>
      <xdr:nvPicPr>
        <xdr:cNvPr id="2" name="Imagem 1" descr="flecha054.gif">
          <a:hlinkClick xmlns:r="http://schemas.openxmlformats.org/officeDocument/2006/relationships" r:id="rId1"/>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2" cstate="print"/>
        <a:srcRect/>
        <a:stretch>
          <a:fillRect/>
        </a:stretch>
      </xdr:blipFill>
      <xdr:spPr bwMode="auto">
        <a:xfrm>
          <a:off x="9267825" y="104775"/>
          <a:ext cx="304800" cy="314325"/>
        </a:xfrm>
        <a:prstGeom prst="rect">
          <a:avLst/>
        </a:prstGeom>
        <a:noFill/>
        <a:ln w="9525">
          <a:noFill/>
          <a:miter lim="800000"/>
          <a:headEnd/>
          <a:tailEnd/>
        </a:ln>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8</xdr:col>
      <xdr:colOff>155575</xdr:colOff>
      <xdr:row>0</xdr:row>
      <xdr:rowOff>135466</xdr:rowOff>
    </xdr:from>
    <xdr:to>
      <xdr:col>8</xdr:col>
      <xdr:colOff>456141</xdr:colOff>
      <xdr:row>1</xdr:row>
      <xdr:rowOff>250189</xdr:rowOff>
    </xdr:to>
    <xdr:pic>
      <xdr:nvPicPr>
        <xdr:cNvPr id="2" name="Imagem 1" descr="flecha054.gif">
          <a:hlinkClick xmlns:r="http://schemas.openxmlformats.org/officeDocument/2006/relationships" r:id="rId1"/>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2" cstate="print"/>
        <a:srcRect/>
        <a:stretch>
          <a:fillRect/>
        </a:stretch>
      </xdr:blipFill>
      <xdr:spPr bwMode="auto">
        <a:xfrm>
          <a:off x="6508750" y="135466"/>
          <a:ext cx="300566" cy="305223"/>
        </a:xfrm>
        <a:prstGeom prst="rect">
          <a:avLst/>
        </a:prstGeom>
        <a:noFill/>
        <a:ln w="9525">
          <a:noFill/>
          <a:miter lim="800000"/>
          <a:headEnd/>
          <a:tailEnd/>
        </a:ln>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12</xdr:col>
      <xdr:colOff>158750</xdr:colOff>
      <xdr:row>0</xdr:row>
      <xdr:rowOff>161925</xdr:rowOff>
    </xdr:from>
    <xdr:to>
      <xdr:col>12</xdr:col>
      <xdr:colOff>477096</xdr:colOff>
      <xdr:row>1</xdr:row>
      <xdr:rowOff>249978</xdr:rowOff>
    </xdr:to>
    <xdr:pic>
      <xdr:nvPicPr>
        <xdr:cNvPr id="2" name="Imagem 1" descr="flecha054.gif">
          <a:hlinkClick xmlns:r="http://schemas.openxmlformats.org/officeDocument/2006/relationships" r:id="rId1"/>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2" cstate="print"/>
        <a:srcRect/>
        <a:stretch>
          <a:fillRect/>
        </a:stretch>
      </xdr:blipFill>
      <xdr:spPr bwMode="auto">
        <a:xfrm>
          <a:off x="6769100" y="161925"/>
          <a:ext cx="306916" cy="284268"/>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2809875</xdr:colOff>
          <xdr:row>0</xdr:row>
          <xdr:rowOff>295275</xdr:rowOff>
        </xdr:from>
        <xdr:to>
          <xdr:col>2</xdr:col>
          <xdr:colOff>5410200</xdr:colOff>
          <xdr:row>1</xdr:row>
          <xdr:rowOff>28575</xdr:rowOff>
        </xdr:to>
        <xdr:sp macro="" textlink="">
          <xdr:nvSpPr>
            <xdr:cNvPr id="3073" name="Drop Down 1" hidden="1">
              <a:extLst>
                <a:ext uri="{63B3BB69-23CF-44E3-9099-C40C66FF867C}">
                  <a14:compatExt spid="_x0000_s3073"/>
                </a:ext>
                <a:ext uri="{FF2B5EF4-FFF2-40B4-BE49-F238E27FC236}">
                  <a16:creationId xmlns:a16="http://schemas.microsoft.com/office/drawing/2014/main" id="{00000000-0008-0000-0200-000001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oneCellAnchor>
    <xdr:from>
      <xdr:col>10</xdr:col>
      <xdr:colOff>142875</xdr:colOff>
      <xdr:row>0</xdr:row>
      <xdr:rowOff>171450</xdr:rowOff>
    </xdr:from>
    <xdr:ext cx="304800" cy="287020"/>
    <xdr:pic>
      <xdr:nvPicPr>
        <xdr:cNvPr id="2" name="Imagem 1" descr="flecha054.gif">
          <a:hlinkClick xmlns:r="http://schemas.openxmlformats.org/officeDocument/2006/relationships" r:id="rId1"/>
          <a:extLst>
            <a:ext uri="{FF2B5EF4-FFF2-40B4-BE49-F238E27FC236}">
              <a16:creationId xmlns:a16="http://schemas.microsoft.com/office/drawing/2014/main" id="{00000000-0008-0000-15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01000" y="171450"/>
          <a:ext cx="304800" cy="2870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1.xml><?xml version="1.0" encoding="utf-8"?>
<xdr:wsDr xmlns:xdr="http://schemas.openxmlformats.org/drawingml/2006/spreadsheetDrawing" xmlns:a="http://schemas.openxmlformats.org/drawingml/2006/main">
  <xdr:oneCellAnchor>
    <xdr:from>
      <xdr:col>19</xdr:col>
      <xdr:colOff>180975</xdr:colOff>
      <xdr:row>0</xdr:row>
      <xdr:rowOff>114300</xdr:rowOff>
    </xdr:from>
    <xdr:ext cx="304800" cy="304800"/>
    <xdr:pic>
      <xdr:nvPicPr>
        <xdr:cNvPr id="2" name="Imagem 1" descr="flecha054.gif">
          <a:hlinkClick xmlns:r="http://schemas.openxmlformats.org/officeDocument/2006/relationships" r:id="rId1"/>
          <a:extLst>
            <a:ext uri="{FF2B5EF4-FFF2-40B4-BE49-F238E27FC236}">
              <a16:creationId xmlns:a16="http://schemas.microsoft.com/office/drawing/2014/main" id="{00000000-0008-0000-16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601325" y="11430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2.xml><?xml version="1.0" encoding="utf-8"?>
<xdr:wsDr xmlns:xdr="http://schemas.openxmlformats.org/drawingml/2006/spreadsheetDrawing" xmlns:a="http://schemas.openxmlformats.org/drawingml/2006/main">
  <xdr:twoCellAnchor editAs="oneCell">
    <xdr:from>
      <xdr:col>18</xdr:col>
      <xdr:colOff>0</xdr:colOff>
      <xdr:row>1</xdr:row>
      <xdr:rowOff>0</xdr:rowOff>
    </xdr:from>
    <xdr:to>
      <xdr:col>18</xdr:col>
      <xdr:colOff>304800</xdr:colOff>
      <xdr:row>2</xdr:row>
      <xdr:rowOff>7620</xdr:rowOff>
    </xdr:to>
    <xdr:pic>
      <xdr:nvPicPr>
        <xdr:cNvPr id="2" name="Imagem 1" descr="flecha054.gif">
          <a:hlinkClick xmlns:r="http://schemas.openxmlformats.org/officeDocument/2006/relationships" r:id="rId1"/>
          <a:extLst>
            <a:ext uri="{FF2B5EF4-FFF2-40B4-BE49-F238E27FC236}">
              <a16:creationId xmlns:a16="http://schemas.microsoft.com/office/drawing/2014/main" id="{00000000-0008-0000-1700-000002000000}"/>
            </a:ext>
          </a:extLst>
        </xdr:cNvPr>
        <xdr:cNvPicPr>
          <a:picLocks noChangeAspect="1"/>
        </xdr:cNvPicPr>
      </xdr:nvPicPr>
      <xdr:blipFill>
        <a:blip xmlns:r="http://schemas.openxmlformats.org/officeDocument/2006/relationships" r:embed="rId2" cstate="print"/>
        <a:srcRect/>
        <a:stretch>
          <a:fillRect/>
        </a:stretch>
      </xdr:blipFill>
      <xdr:spPr bwMode="auto">
        <a:xfrm>
          <a:off x="10915650" y="314325"/>
          <a:ext cx="304800" cy="312420"/>
        </a:xfrm>
        <a:prstGeom prst="rect">
          <a:avLst/>
        </a:prstGeom>
        <a:noFill/>
        <a:ln w="9525">
          <a:noFill/>
          <a:miter lim="800000"/>
          <a:headEnd/>
          <a:tailEnd/>
        </a:ln>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35</xdr:col>
      <xdr:colOff>466724</xdr:colOff>
      <xdr:row>0</xdr:row>
      <xdr:rowOff>123825</xdr:rowOff>
    </xdr:from>
    <xdr:to>
      <xdr:col>35</xdr:col>
      <xdr:colOff>785195</xdr:colOff>
      <xdr:row>1</xdr:row>
      <xdr:rowOff>216362</xdr:rowOff>
    </xdr:to>
    <xdr:pic>
      <xdr:nvPicPr>
        <xdr:cNvPr id="2" name="Imagem 1" descr="flecha054.gif">
          <a:hlinkClick xmlns:r="http://schemas.openxmlformats.org/officeDocument/2006/relationships" r:id="rId1"/>
          <a:extLst>
            <a:ext uri="{FF2B5EF4-FFF2-40B4-BE49-F238E27FC236}">
              <a16:creationId xmlns:a16="http://schemas.microsoft.com/office/drawing/2014/main" id="{00000000-0008-0000-1800-000002000000}"/>
            </a:ext>
          </a:extLst>
        </xdr:cNvPr>
        <xdr:cNvPicPr>
          <a:picLocks noChangeAspect="1"/>
        </xdr:cNvPicPr>
      </xdr:nvPicPr>
      <xdr:blipFill>
        <a:blip xmlns:r="http://schemas.openxmlformats.org/officeDocument/2006/relationships" r:embed="rId2" cstate="print"/>
        <a:srcRect/>
        <a:stretch>
          <a:fillRect/>
        </a:stretch>
      </xdr:blipFill>
      <xdr:spPr bwMode="auto">
        <a:xfrm>
          <a:off x="14487524" y="123825"/>
          <a:ext cx="318471" cy="283037"/>
        </a:xfrm>
        <a:prstGeom prst="rect">
          <a:avLst/>
        </a:prstGeom>
        <a:noFill/>
        <a:ln w="9525">
          <a:noFill/>
          <a:miter lim="800000"/>
          <a:headEnd/>
          <a:tailEnd/>
        </a:ln>
      </xdr:spPr>
    </xdr:pic>
    <xdr:clientData/>
  </xdr:twoCellAnchor>
</xdr:wsDr>
</file>

<file path=xl/drawings/drawing24.xml><?xml version="1.0" encoding="utf-8"?>
<xdr:wsDr xmlns:xdr="http://schemas.openxmlformats.org/drawingml/2006/spreadsheetDrawing" xmlns:a="http://schemas.openxmlformats.org/drawingml/2006/main">
  <xdr:oneCellAnchor>
    <xdr:from>
      <xdr:col>11</xdr:col>
      <xdr:colOff>192689</xdr:colOff>
      <xdr:row>0</xdr:row>
      <xdr:rowOff>66675</xdr:rowOff>
    </xdr:from>
    <xdr:ext cx="304800" cy="287020"/>
    <xdr:pic>
      <xdr:nvPicPr>
        <xdr:cNvPr id="2" name="Imagem 1" descr="flecha054.gif">
          <a:hlinkClick xmlns:r="http://schemas.openxmlformats.org/officeDocument/2006/relationships" r:id="rId1"/>
          <a:extLst>
            <a:ext uri="{FF2B5EF4-FFF2-40B4-BE49-F238E27FC236}">
              <a16:creationId xmlns:a16="http://schemas.microsoft.com/office/drawing/2014/main" id="{00000000-0008-0000-19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93789" y="66675"/>
          <a:ext cx="304800" cy="2870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5.xml><?xml version="1.0" encoding="utf-8"?>
<xdr:wsDr xmlns:xdr="http://schemas.openxmlformats.org/drawingml/2006/spreadsheetDrawing" xmlns:a="http://schemas.openxmlformats.org/drawingml/2006/main">
  <xdr:oneCellAnchor>
    <xdr:from>
      <xdr:col>7</xdr:col>
      <xdr:colOff>87914</xdr:colOff>
      <xdr:row>1</xdr:row>
      <xdr:rowOff>12700</xdr:rowOff>
    </xdr:from>
    <xdr:ext cx="304800" cy="287020"/>
    <xdr:pic>
      <xdr:nvPicPr>
        <xdr:cNvPr id="2" name="Imagem 1" descr="flecha054.gif">
          <a:hlinkClick xmlns:r="http://schemas.openxmlformats.org/officeDocument/2006/relationships" r:id="rId1"/>
          <a:extLst>
            <a:ext uri="{FF2B5EF4-FFF2-40B4-BE49-F238E27FC236}">
              <a16:creationId xmlns:a16="http://schemas.microsoft.com/office/drawing/2014/main" id="{00000000-0008-0000-1A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105039" y="155575"/>
          <a:ext cx="304800" cy="2870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6.xml><?xml version="1.0" encoding="utf-8"?>
<xdr:wsDr xmlns:xdr="http://schemas.openxmlformats.org/drawingml/2006/spreadsheetDrawing" xmlns:a="http://schemas.openxmlformats.org/drawingml/2006/main">
  <xdr:oneCellAnchor>
    <xdr:from>
      <xdr:col>6</xdr:col>
      <xdr:colOff>87914</xdr:colOff>
      <xdr:row>1</xdr:row>
      <xdr:rowOff>12700</xdr:rowOff>
    </xdr:from>
    <xdr:ext cx="304800" cy="287020"/>
    <xdr:pic>
      <xdr:nvPicPr>
        <xdr:cNvPr id="2" name="Imagem 1" descr="flecha054.gif">
          <a:hlinkClick xmlns:r="http://schemas.openxmlformats.org/officeDocument/2006/relationships" r:id="rId1"/>
          <a:extLst>
            <a:ext uri="{FF2B5EF4-FFF2-40B4-BE49-F238E27FC236}">
              <a16:creationId xmlns:a16="http://schemas.microsoft.com/office/drawing/2014/main" id="{00000000-0008-0000-1B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21624" y="207010"/>
          <a:ext cx="304800" cy="2870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7.xml><?xml version="1.0" encoding="utf-8"?>
<xdr:wsDr xmlns:xdr="http://schemas.openxmlformats.org/drawingml/2006/spreadsheetDrawing" xmlns:a="http://schemas.openxmlformats.org/drawingml/2006/main">
  <xdr:oneCellAnchor>
    <xdr:from>
      <xdr:col>4</xdr:col>
      <xdr:colOff>87914</xdr:colOff>
      <xdr:row>1</xdr:row>
      <xdr:rowOff>12700</xdr:rowOff>
    </xdr:from>
    <xdr:ext cx="304800" cy="287020"/>
    <xdr:pic>
      <xdr:nvPicPr>
        <xdr:cNvPr id="2" name="Imagem 1" descr="flecha054.gif">
          <a:hlinkClick xmlns:r="http://schemas.openxmlformats.org/officeDocument/2006/relationships" r:id="rId1"/>
          <a:extLst>
            <a:ext uri="{FF2B5EF4-FFF2-40B4-BE49-F238E27FC236}">
              <a16:creationId xmlns:a16="http://schemas.microsoft.com/office/drawing/2014/main" id="{00000000-0008-0000-1C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22539" y="203200"/>
          <a:ext cx="304800" cy="2870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16</xdr:col>
      <xdr:colOff>139700</xdr:colOff>
      <xdr:row>0</xdr:row>
      <xdr:rowOff>146050</xdr:rowOff>
    </xdr:from>
    <xdr:ext cx="304800" cy="308610"/>
    <xdr:pic>
      <xdr:nvPicPr>
        <xdr:cNvPr id="2" name="Imagem 1" descr="flecha054.gif">
          <a:hlinkClick xmlns:r="http://schemas.openxmlformats.org/officeDocument/2006/relationships" r:id="rId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cstate="print"/>
        <a:srcRect/>
        <a:stretch>
          <a:fillRect/>
        </a:stretch>
      </xdr:blipFill>
      <xdr:spPr bwMode="auto">
        <a:xfrm>
          <a:off x="9293225" y="146050"/>
          <a:ext cx="304800" cy="308610"/>
        </a:xfrm>
        <a:prstGeom prst="rect">
          <a:avLst/>
        </a:prstGeom>
        <a:noFill/>
        <a:ln w="9525">
          <a:noFill/>
          <a:miter lim="800000"/>
          <a:headEnd/>
          <a:tailEnd/>
        </a:ln>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19</xdr:col>
      <xdr:colOff>495300</xdr:colOff>
      <xdr:row>0</xdr:row>
      <xdr:rowOff>123825</xdr:rowOff>
    </xdr:from>
    <xdr:to>
      <xdr:col>20</xdr:col>
      <xdr:colOff>190500</xdr:colOff>
      <xdr:row>1</xdr:row>
      <xdr:rowOff>243840</xdr:rowOff>
    </xdr:to>
    <xdr:pic>
      <xdr:nvPicPr>
        <xdr:cNvPr id="2" name="Imagem 1" descr="flecha054.gif">
          <a:hlinkClick xmlns:r="http://schemas.openxmlformats.org/officeDocument/2006/relationships" r:id="rId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 cstate="print"/>
        <a:srcRect/>
        <a:stretch>
          <a:fillRect/>
        </a:stretch>
      </xdr:blipFill>
      <xdr:spPr bwMode="auto">
        <a:xfrm>
          <a:off x="11134725" y="123825"/>
          <a:ext cx="304800" cy="30480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oneCellAnchor>
    <xdr:from>
      <xdr:col>15</xdr:col>
      <xdr:colOff>95250</xdr:colOff>
      <xdr:row>0</xdr:row>
      <xdr:rowOff>495300</xdr:rowOff>
    </xdr:from>
    <xdr:ext cx="281940" cy="304800"/>
    <xdr:pic>
      <xdr:nvPicPr>
        <xdr:cNvPr id="2" name="Imagem 1" descr="flecha054.gif">
          <a:hlinkClick xmlns:r="http://schemas.openxmlformats.org/officeDocument/2006/relationships" r:id="rId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2" cstate="print"/>
        <a:srcRect/>
        <a:stretch>
          <a:fillRect/>
        </a:stretch>
      </xdr:blipFill>
      <xdr:spPr bwMode="auto">
        <a:xfrm>
          <a:off x="9239250" y="161925"/>
          <a:ext cx="281940" cy="304800"/>
        </a:xfrm>
        <a:prstGeom prst="rect">
          <a:avLst/>
        </a:prstGeom>
        <a:noFill/>
        <a:ln w="9525">
          <a:noFill/>
          <a:miter lim="800000"/>
          <a:headEnd/>
          <a:tailEnd/>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6</xdr:col>
      <xdr:colOff>95250</xdr:colOff>
      <xdr:row>0</xdr:row>
      <xdr:rowOff>174624</xdr:rowOff>
    </xdr:from>
    <xdr:ext cx="377190" cy="407773"/>
    <xdr:pic>
      <xdr:nvPicPr>
        <xdr:cNvPr id="2" name="Imagem 1" descr="flecha054.gif">
          <a:hlinkClick xmlns:r="http://schemas.openxmlformats.org/officeDocument/2006/relationships" r:id="rId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2" cstate="print"/>
        <a:srcRect/>
        <a:stretch>
          <a:fillRect/>
        </a:stretch>
      </xdr:blipFill>
      <xdr:spPr bwMode="auto">
        <a:xfrm>
          <a:off x="7429500" y="174624"/>
          <a:ext cx="377190" cy="407773"/>
        </a:xfrm>
        <a:prstGeom prst="rect">
          <a:avLst/>
        </a:prstGeom>
        <a:noFill/>
        <a:ln w="9525">
          <a:noFill/>
          <a:miter lim="800000"/>
          <a:headEnd/>
          <a:tailEnd/>
        </a:ln>
      </xdr:spPr>
    </xdr:pic>
    <xdr:clientData/>
  </xdr:oneCellAnchor>
</xdr:wsDr>
</file>

<file path=xl/drawings/drawing7.xml><?xml version="1.0" encoding="utf-8"?>
<xdr:wsDr xmlns:xdr="http://schemas.openxmlformats.org/drawingml/2006/spreadsheetDrawing" xmlns:a="http://schemas.openxmlformats.org/drawingml/2006/main">
  <xdr:oneCellAnchor>
    <xdr:from>
      <xdr:col>10</xdr:col>
      <xdr:colOff>127000</xdr:colOff>
      <xdr:row>1</xdr:row>
      <xdr:rowOff>0</xdr:rowOff>
    </xdr:from>
    <xdr:ext cx="281940" cy="304800"/>
    <xdr:pic>
      <xdr:nvPicPr>
        <xdr:cNvPr id="4" name="Imagem 3" descr="flecha054.gif">
          <a:hlinkClick xmlns:r="http://schemas.openxmlformats.org/officeDocument/2006/relationships" r:id="rId1"/>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2" cstate="print"/>
        <a:srcRect/>
        <a:stretch>
          <a:fillRect/>
        </a:stretch>
      </xdr:blipFill>
      <xdr:spPr bwMode="auto">
        <a:xfrm>
          <a:off x="8604250" y="158750"/>
          <a:ext cx="281940" cy="304800"/>
        </a:xfrm>
        <a:prstGeom prst="rect">
          <a:avLst/>
        </a:prstGeom>
        <a:noFill/>
        <a:ln w="9525">
          <a:noFill/>
          <a:miter lim="800000"/>
          <a:headEnd/>
          <a:tailEnd/>
        </a:ln>
      </xdr:spPr>
    </xdr:pic>
    <xdr:clientData/>
  </xdr:oneCellAnchor>
</xdr:wsDr>
</file>

<file path=xl/drawings/drawing8.xml><?xml version="1.0" encoding="utf-8"?>
<xdr:wsDr xmlns:xdr="http://schemas.openxmlformats.org/drawingml/2006/spreadsheetDrawing" xmlns:a="http://schemas.openxmlformats.org/drawingml/2006/main">
  <xdr:twoCellAnchor editAs="oneCell">
    <xdr:from>
      <xdr:col>11</xdr:col>
      <xdr:colOff>76200</xdr:colOff>
      <xdr:row>1</xdr:row>
      <xdr:rowOff>6927</xdr:rowOff>
    </xdr:from>
    <xdr:to>
      <xdr:col>11</xdr:col>
      <xdr:colOff>381001</xdr:colOff>
      <xdr:row>2</xdr:row>
      <xdr:rowOff>6927</xdr:rowOff>
    </xdr:to>
    <xdr:pic>
      <xdr:nvPicPr>
        <xdr:cNvPr id="2" name="Imagem 1" descr="flecha054.gif">
          <a:hlinkClick xmlns:r="http://schemas.openxmlformats.org/officeDocument/2006/relationships" r:id="rId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2" cstate="print"/>
        <a:srcRect/>
        <a:stretch>
          <a:fillRect/>
        </a:stretch>
      </xdr:blipFill>
      <xdr:spPr bwMode="auto">
        <a:xfrm>
          <a:off x="8343900" y="149802"/>
          <a:ext cx="304801" cy="304800"/>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11</xdr:col>
      <xdr:colOff>88323</xdr:colOff>
      <xdr:row>1</xdr:row>
      <xdr:rowOff>52820</xdr:rowOff>
    </xdr:from>
    <xdr:to>
      <xdr:col>11</xdr:col>
      <xdr:colOff>393124</xdr:colOff>
      <xdr:row>2</xdr:row>
      <xdr:rowOff>48490</xdr:rowOff>
    </xdr:to>
    <xdr:pic>
      <xdr:nvPicPr>
        <xdr:cNvPr id="2" name="Imagem 1" descr="flecha054.gif">
          <a:hlinkClick xmlns:r="http://schemas.openxmlformats.org/officeDocument/2006/relationships" r:id="rId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2" cstate="print"/>
        <a:srcRect/>
        <a:stretch>
          <a:fillRect/>
        </a:stretch>
      </xdr:blipFill>
      <xdr:spPr bwMode="auto">
        <a:xfrm>
          <a:off x="8489373" y="252845"/>
          <a:ext cx="304801" cy="300470"/>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gfserv02\dados\Users\igf3242\AppData\Local\Microsoft\Windows\INetCache\Content.Outlook\B2C8SFCH\An&#225;liseDesvios_2008%20(Mar09)%20-%20SAMUE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nário_Macro"/>
      <sheetName val="Cenários_Despesa"/>
      <sheetName val="Cenários_Orç"/>
      <sheetName val="Pensões"/>
      <sheetName val="Desemprego"/>
      <sheetName val="Social_Desemp"/>
      <sheetName val="Abono_Fam"/>
      <sheetName val="MapaSub_2008"/>
      <sheetName val="Mapa IX_2008"/>
      <sheetName val="2008"/>
    </sheetNames>
    <sheetDataSet>
      <sheetData sheetId="0"/>
      <sheetData sheetId="1"/>
      <sheetData sheetId="2"/>
      <sheetData sheetId="3"/>
      <sheetData sheetId="4"/>
      <sheetData sheetId="5"/>
      <sheetData sheetId="6"/>
      <sheetData sheetId="7">
        <row r="36">
          <cell r="B36">
            <v>9680204.2100000009</v>
          </cell>
        </row>
      </sheetData>
      <sheetData sheetId="8"/>
      <sheetData sheetId="9"/>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trlProp" Target="../ctrlProps/ctrlProp1.xml"/><Relationship Id="rId4"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23.vml"/><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24.vml"/><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25.vml"/><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26.vml"/><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27.vml"/><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olha2">
    <pageSetUpPr fitToPage="1"/>
  </sheetPr>
  <dimension ref="A54:A55"/>
  <sheetViews>
    <sheetView showGridLines="0" tabSelected="1" zoomScaleNormal="100" zoomScalePageLayoutView="50" workbookViewId="0">
      <selection activeCell="D3" sqref="D3"/>
    </sheetView>
  </sheetViews>
  <sheetFormatPr defaultColWidth="9.140625" defaultRowHeight="15"/>
  <cols>
    <col min="1" max="1" width="9.140625" style="1" customWidth="1"/>
    <col min="2" max="10" width="9.140625" style="1"/>
    <col min="11" max="11" width="9.140625" style="1" customWidth="1"/>
    <col min="12" max="12" width="10.85546875" style="1" customWidth="1"/>
    <col min="13" max="13" width="9.140625" style="1" customWidth="1"/>
    <col min="14" max="16384" width="9.140625" style="1"/>
  </cols>
  <sheetData>
    <row r="54" ht="17.25" customHeight="1"/>
    <row r="55" ht="2.25" customHeight="1"/>
  </sheetData>
  <printOptions horizontalCentered="1"/>
  <pageMargins left="7.874015748031496E-2" right="0" top="0.39370078740157483" bottom="0" header="0" footer="0"/>
  <pageSetup paperSize="9" scale="88"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olha10"/>
  <dimension ref="A1:W120"/>
  <sheetViews>
    <sheetView showGridLines="0" zoomScaleNormal="100" zoomScaleSheetLayoutView="100" workbookViewId="0">
      <selection activeCell="B2" sqref="B2"/>
    </sheetView>
  </sheetViews>
  <sheetFormatPr defaultColWidth="10" defaultRowHeight="15.75"/>
  <cols>
    <col min="1" max="1" width="1.140625" style="42" customWidth="1"/>
    <col min="2" max="2" width="4.42578125" style="42" customWidth="1"/>
    <col min="3" max="3" width="37.5703125" style="42" customWidth="1"/>
    <col min="4" max="5" width="9.42578125" style="42" customWidth="1"/>
    <col min="6" max="7" width="9.42578125" style="48" customWidth="1"/>
    <col min="8" max="10" width="9.42578125" style="42" customWidth="1"/>
    <col min="11" max="12" width="8.5703125" style="42" customWidth="1"/>
    <col min="13" max="13" width="11.42578125" style="42" bestFit="1" customWidth="1"/>
    <col min="14" max="14" width="8.5703125" style="42" customWidth="1"/>
    <col min="15" max="15" width="10.42578125" style="42" bestFit="1" customWidth="1"/>
    <col min="16" max="17" width="6.140625" style="42" bestFit="1" customWidth="1"/>
    <col min="18" max="18" width="8" style="42" bestFit="1" customWidth="1"/>
    <col min="19" max="19" width="7.5703125" style="42" bestFit="1" customWidth="1"/>
    <col min="20" max="16384" width="10" style="42"/>
  </cols>
  <sheetData>
    <row r="1" spans="2:23" ht="15" customHeight="1"/>
    <row r="2" spans="2:23" ht="24" customHeight="1">
      <c r="B2" s="8"/>
      <c r="C2" s="21" t="str">
        <f>IF(Indice_index!$Z$1=1,"6 - Conta Consolidada da Administração Central","6 - Central Government Account")</f>
        <v>6 - Conta Consolidada da Administração Central</v>
      </c>
      <c r="D2" s="21"/>
      <c r="E2" s="21"/>
      <c r="F2" s="21"/>
      <c r="G2" s="21"/>
      <c r="H2" s="21"/>
      <c r="I2" s="21"/>
      <c r="J2" s="21"/>
    </row>
    <row r="3" spans="2:23" ht="30" customHeight="1">
      <c r="B3" s="42" t="s">
        <v>4</v>
      </c>
      <c r="F3" s="42"/>
      <c r="G3" s="42"/>
    </row>
    <row r="4" spans="2:23" s="267" customFormat="1" ht="15" customHeight="1">
      <c r="C4" s="703" t="str">
        <f>+'5 - Conta AC + SS'!C5</f>
        <v>Período: janeiro a julho</v>
      </c>
      <c r="D4" s="703"/>
      <c r="E4" s="703"/>
      <c r="F4" s="704"/>
      <c r="G4" s="705"/>
      <c r="H4" s="706"/>
      <c r="I4" s="706"/>
      <c r="J4" s="707" t="str">
        <f>IF(Indice_index!$Z$1=1,"€ Milhões","€ Millions")</f>
        <v>€ Milhões</v>
      </c>
    </row>
    <row r="5" spans="2:23" ht="37.5" customHeight="1">
      <c r="C5" s="708"/>
      <c r="D5" s="709" t="str">
        <f>IF(Indice_index!$Z$1=1,"CGE","Final execution")</f>
        <v>CGE</v>
      </c>
      <c r="E5" s="709" t="str">
        <f>IF(Indice_index!$Z$1=1,"Orçamento Inicial","Budget")</f>
        <v>Orçamento Inicial</v>
      </c>
      <c r="F5" s="1693" t="str">
        <f>IF(Indice_index!$Z$1=1,"Execução Acumulada","Accumulated Execution")</f>
        <v>Execução Acumulada</v>
      </c>
      <c r="G5" s="1693"/>
      <c r="H5" s="710" t="str">
        <f>IF(Indice_index!$Z$1=1,"Grau de Execução (%)","Execution Degree (%)")</f>
        <v>Grau de Execução (%)</v>
      </c>
      <c r="I5" s="1694" t="str">
        <f>IF(Indice_index!$Z$1=1,"Variação Homóloga Acumulada","YOY Change Rate")</f>
        <v>Variação Homóloga Acumulada</v>
      </c>
      <c r="J5" s="1695"/>
    </row>
    <row r="6" spans="2:23" ht="30.75" customHeight="1">
      <c r="C6" s="711"/>
      <c r="D6" s="712" t="s">
        <v>67</v>
      </c>
      <c r="E6" s="712" t="s">
        <v>74</v>
      </c>
      <c r="F6" s="713" t="s">
        <v>67</v>
      </c>
      <c r="G6" s="713" t="s">
        <v>74</v>
      </c>
      <c r="H6" s="714" t="s">
        <v>74</v>
      </c>
      <c r="I6" s="714" t="str">
        <f>IF(Indice_index!$Z$1=1,"Relativa (%)","Relative change (%)")</f>
        <v>Relativa (%)</v>
      </c>
      <c r="J6" s="715" t="str">
        <f>IF(Indice_index!$Z$1=1,"Contributo VHA (p.p.)","YOY Change Rate Contrib. (p.p.)")</f>
        <v>Contributo VHA (p.p.)</v>
      </c>
    </row>
    <row r="7" spans="2:23" ht="3" customHeight="1">
      <c r="C7" s="44"/>
      <c r="D7" s="44"/>
      <c r="E7" s="44"/>
      <c r="F7" s="716"/>
      <c r="G7" s="717"/>
      <c r="H7" s="717"/>
      <c r="I7" s="717"/>
      <c r="J7" s="717"/>
      <c r="L7" s="43"/>
    </row>
    <row r="8" spans="2:23" s="268" customFormat="1" ht="15" customHeight="1">
      <c r="C8" s="269" t="str">
        <f>IF(Indice_index!$Z$1=1,"Receita corrente","Current revenue")</f>
        <v>Receita corrente</v>
      </c>
      <c r="D8" s="718">
        <f t="shared" ref="D8:E8" si="0">+D10+D11+D12+D13+D16+D17</f>
        <v>62629.291973259998</v>
      </c>
      <c r="E8" s="718">
        <f t="shared" si="0"/>
        <v>67867.200278999997</v>
      </c>
      <c r="F8" s="718">
        <f t="shared" ref="F8:G8" si="1">+F10+F11+F12+F13+F16+F17</f>
        <v>32368.223959280003</v>
      </c>
      <c r="G8" s="718">
        <f t="shared" si="1"/>
        <v>37948.769241080008</v>
      </c>
      <c r="H8" s="719">
        <f>IFERROR(IF(G8/E8*100&lt;-500,"-",IF(G8/E8*100&gt;500,"-",G8/E8*100)),"-")</f>
        <v>55.916214438010961</v>
      </c>
      <c r="I8" s="719">
        <f>IF(IFERROR((G8-F8)/F8*100,"")&gt;500,"-",IFERROR((G8-F8)/F8*100,""))</f>
        <v>17.240813981083619</v>
      </c>
      <c r="J8" s="720">
        <f t="shared" ref="J8:J16" si="2">IFERROR((G8-F8)/$F$26*100,"")</f>
        <v>16.845687708786098</v>
      </c>
      <c r="K8" s="263"/>
      <c r="L8" s="263"/>
      <c r="M8" s="263"/>
      <c r="N8" s="270"/>
      <c r="O8" s="270"/>
      <c r="P8" s="270"/>
      <c r="Q8" s="270"/>
      <c r="R8" s="270"/>
      <c r="S8" s="270"/>
      <c r="T8" s="271"/>
      <c r="U8" s="271"/>
      <c r="V8" s="271"/>
      <c r="W8" s="271"/>
    </row>
    <row r="9" spans="2:23" s="44" customFormat="1" ht="15" customHeight="1">
      <c r="C9" s="721" t="str">
        <f>IF(Indice_index!$Z$1=1,"Receita fiscal","Tax")</f>
        <v>Receita fiscal</v>
      </c>
      <c r="D9" s="114">
        <f t="shared" ref="D9:E9" si="3">+D10+D11</f>
        <v>46158.924833500001</v>
      </c>
      <c r="E9" s="114">
        <f t="shared" si="3"/>
        <v>49227.151018999997</v>
      </c>
      <c r="F9" s="114">
        <f t="shared" ref="F9:G9" si="4">+F10+F11</f>
        <v>23466.914900390002</v>
      </c>
      <c r="G9" s="114">
        <f t="shared" si="4"/>
        <v>28503.798428170008</v>
      </c>
      <c r="H9" s="722">
        <f t="shared" ref="H9:H23" si="5">IFERROR(IF(G9/E9*100&lt;-500,"-",IF(G9/E9*100&gt;500,"-",G9/E9*100)),"-")</f>
        <v>57.902596104268788</v>
      </c>
      <c r="I9" s="722">
        <f t="shared" ref="I9:I23" si="6">IF(IFERROR((G9-F9)/F9*100,"")&gt;500,"-",IFERROR((G9-F9)/F9*100,""))</f>
        <v>21.46376525913211</v>
      </c>
      <c r="J9" s="723">
        <f t="shared" si="2"/>
        <v>15.204565620358609</v>
      </c>
      <c r="K9" s="26"/>
      <c r="L9" s="26"/>
      <c r="M9" s="26"/>
      <c r="N9" s="45"/>
      <c r="O9" s="45"/>
      <c r="P9" s="45"/>
      <c r="Q9" s="45"/>
      <c r="R9" s="45"/>
      <c r="S9" s="45"/>
      <c r="T9" s="46"/>
      <c r="U9" s="46"/>
      <c r="V9" s="46"/>
      <c r="W9" s="46"/>
    </row>
    <row r="10" spans="2:23" s="44" customFormat="1" ht="15" customHeight="1">
      <c r="C10" s="47" t="str">
        <f>IF(Indice_index!$Z$1=1,"Impostos diretos ","Direct taxes")</f>
        <v xml:space="preserve">Impostos diretos </v>
      </c>
      <c r="D10" s="114">
        <v>19956.944554760001</v>
      </c>
      <c r="E10" s="114">
        <v>20904.899710000002</v>
      </c>
      <c r="F10" s="114">
        <v>9499.6362817300032</v>
      </c>
      <c r="G10" s="114">
        <v>11970.641093510003</v>
      </c>
      <c r="H10" s="722">
        <f t="shared" si="5"/>
        <v>57.262370351309386</v>
      </c>
      <c r="I10" s="722">
        <f t="shared" si="6"/>
        <v>26.011572848660673</v>
      </c>
      <c r="J10" s="723">
        <f t="shared" si="2"/>
        <v>7.4590874698049658</v>
      </c>
      <c r="K10" s="26"/>
      <c r="L10" s="26"/>
      <c r="M10" s="26"/>
      <c r="N10" s="45"/>
      <c r="O10" s="45"/>
      <c r="P10" s="45"/>
      <c r="Q10" s="45"/>
      <c r="R10" s="45"/>
      <c r="S10" s="45"/>
      <c r="T10" s="46"/>
      <c r="U10" s="46"/>
      <c r="V10" s="46"/>
      <c r="W10" s="46"/>
    </row>
    <row r="11" spans="2:23" s="44" customFormat="1" ht="15" customHeight="1">
      <c r="C11" s="47" t="str">
        <f>IF(Indice_index!$Z$1=1,"Impostos indiretos","Indirect taxes")</f>
        <v>Impostos indiretos</v>
      </c>
      <c r="D11" s="114">
        <v>26201.980278739997</v>
      </c>
      <c r="E11" s="114">
        <v>28322.251308999999</v>
      </c>
      <c r="F11" s="114">
        <v>13967.278618660001</v>
      </c>
      <c r="G11" s="114">
        <v>16533.157334660005</v>
      </c>
      <c r="H11" s="722">
        <f t="shared" si="5"/>
        <v>58.375152293794677</v>
      </c>
      <c r="I11" s="722">
        <f t="shared" si="6"/>
        <v>18.370641740990568</v>
      </c>
      <c r="J11" s="723">
        <f t="shared" si="2"/>
        <v>7.7454781505536374</v>
      </c>
      <c r="K11" s="26"/>
      <c r="L11" s="26"/>
      <c r="M11" s="26"/>
      <c r="N11" s="45"/>
      <c r="O11" s="45"/>
      <c r="P11" s="45"/>
      <c r="Q11" s="45"/>
      <c r="R11" s="45"/>
      <c r="S11" s="45"/>
      <c r="T11" s="46"/>
      <c r="U11" s="46"/>
      <c r="V11" s="46"/>
      <c r="W11" s="46"/>
    </row>
    <row r="12" spans="2:23" s="44" customFormat="1" ht="15" customHeight="1">
      <c r="C12" s="724" t="str">
        <f>IF(Indice_index!$Z$1=1,"Contribuições para Segurança Social, CGA e ADSE","Social security, CGA and ADSE contributions")</f>
        <v>Contribuições para Segurança Social, CGA e ADSE</v>
      </c>
      <c r="D12" s="114">
        <v>4251.8208699400002</v>
      </c>
      <c r="E12" s="114">
        <v>4195.3064640000002</v>
      </c>
      <c r="F12" s="114">
        <v>2413.0217471800001</v>
      </c>
      <c r="G12" s="114">
        <v>2331.0655677699992</v>
      </c>
      <c r="H12" s="722">
        <f t="shared" si="5"/>
        <v>55.563653996982453</v>
      </c>
      <c r="I12" s="722">
        <f t="shared" si="6"/>
        <v>-3.3964127967673625</v>
      </c>
      <c r="J12" s="723">
        <f t="shared" si="2"/>
        <v>-0.24739664932900704</v>
      </c>
      <c r="K12" s="26"/>
      <c r="L12" s="26"/>
      <c r="M12" s="26"/>
      <c r="N12" s="45"/>
      <c r="O12" s="45"/>
      <c r="P12" s="45"/>
      <c r="Q12" s="45"/>
      <c r="R12" s="45"/>
      <c r="S12" s="45"/>
      <c r="T12" s="46"/>
      <c r="U12" s="46"/>
      <c r="V12" s="46"/>
      <c r="W12" s="46"/>
    </row>
    <row r="13" spans="2:23" s="44" customFormat="1" ht="15" customHeight="1">
      <c r="C13" s="724" t="str">
        <f>IF(Indice_index!$Z$1=1,"Transferências Correntes","Current transfers")</f>
        <v>Transferências Correntes</v>
      </c>
      <c r="D13" s="114">
        <f t="shared" ref="D13:E13" si="7">+D14+D15</f>
        <v>3580.1694037100006</v>
      </c>
      <c r="E13" s="114">
        <f t="shared" si="7"/>
        <v>4811.3206229999996</v>
      </c>
      <c r="F13" s="114">
        <f t="shared" ref="F13:G13" si="8">+F14+F15</f>
        <v>2171.7522496699999</v>
      </c>
      <c r="G13" s="114">
        <f t="shared" si="8"/>
        <v>1714.2128986499999</v>
      </c>
      <c r="H13" s="722">
        <f t="shared" si="5"/>
        <v>35.628739653212676</v>
      </c>
      <c r="I13" s="722">
        <f t="shared" si="6"/>
        <v>-21.067750756999263</v>
      </c>
      <c r="J13" s="723">
        <f t="shared" si="2"/>
        <v>-1.3811490871511223</v>
      </c>
      <c r="K13" s="26"/>
      <c r="L13" s="26"/>
      <c r="M13" s="26"/>
      <c r="N13" s="45"/>
      <c r="O13" s="45"/>
      <c r="P13" s="45"/>
      <c r="Q13" s="45"/>
      <c r="R13" s="45"/>
      <c r="S13" s="45"/>
      <c r="T13" s="46"/>
      <c r="U13" s="46"/>
      <c r="V13" s="46"/>
      <c r="W13" s="46"/>
    </row>
    <row r="14" spans="2:23" s="44" customFormat="1" ht="15" customHeight="1">
      <c r="C14" s="725" t="str">
        <f>IF(Indice_index!$Z$1=1,"Administrações Públicas","General Government subsectors")</f>
        <v>Administrações Públicas</v>
      </c>
      <c r="D14" s="114">
        <v>2169.0692717900001</v>
      </c>
      <c r="E14" s="114">
        <v>1915.556742</v>
      </c>
      <c r="F14" s="114">
        <v>1221.5024229999999</v>
      </c>
      <c r="G14" s="114">
        <v>1110.7468553200001</v>
      </c>
      <c r="H14" s="722">
        <f t="shared" si="5"/>
        <v>57.985588782939857</v>
      </c>
      <c r="I14" s="722">
        <f t="shared" si="6"/>
        <v>-9.0671590653078713</v>
      </c>
      <c r="J14" s="723">
        <f t="shared" si="2"/>
        <v>-0.3343317921335458</v>
      </c>
      <c r="K14" s="26"/>
      <c r="L14" s="26"/>
      <c r="M14" s="26"/>
      <c r="N14" s="45"/>
      <c r="O14" s="45"/>
      <c r="P14" s="45"/>
      <c r="Q14" s="45"/>
      <c r="R14" s="45"/>
      <c r="S14" s="45"/>
      <c r="T14" s="46"/>
      <c r="U14" s="46"/>
      <c r="V14" s="46"/>
      <c r="W14" s="46"/>
    </row>
    <row r="15" spans="2:23" s="44" customFormat="1" ht="15" customHeight="1">
      <c r="C15" s="725" t="str">
        <f>IF(Indice_index!$Z$1=1,"Outras","Others")</f>
        <v>Outras</v>
      </c>
      <c r="D15" s="114">
        <v>1411.1001319200002</v>
      </c>
      <c r="E15" s="114">
        <v>2895.7638809999999</v>
      </c>
      <c r="F15" s="114">
        <v>950.24982666999995</v>
      </c>
      <c r="G15" s="114">
        <v>603.46604332999982</v>
      </c>
      <c r="H15" s="722">
        <f t="shared" si="5"/>
        <v>20.83961497308281</v>
      </c>
      <c r="I15" s="722">
        <f t="shared" si="6"/>
        <v>-36.493959126017309</v>
      </c>
      <c r="J15" s="723">
        <f t="shared" si="2"/>
        <v>-1.0468172950175765</v>
      </c>
      <c r="K15" s="26"/>
      <c r="L15" s="26"/>
      <c r="M15" s="26"/>
      <c r="N15" s="45"/>
      <c r="O15" s="45"/>
      <c r="P15" s="45"/>
      <c r="Q15" s="45"/>
      <c r="R15" s="45"/>
      <c r="S15" s="45"/>
      <c r="T15" s="46"/>
      <c r="U15" s="46"/>
      <c r="V15" s="46"/>
      <c r="W15" s="46"/>
    </row>
    <row r="16" spans="2:23" s="44" customFormat="1" ht="15" customHeight="1">
      <c r="C16" s="724" t="str">
        <f>IF(Indice_index!$Z$1=1,"Outras receitas correntes","Other current revenue")</f>
        <v>Outras receitas correntes</v>
      </c>
      <c r="D16" s="114">
        <v>8598.4130747300005</v>
      </c>
      <c r="E16" s="114">
        <v>9616.8545289999984</v>
      </c>
      <c r="F16" s="114">
        <v>4297.61868366</v>
      </c>
      <c r="G16" s="114">
        <v>5315.0130769299976</v>
      </c>
      <c r="H16" s="722">
        <f t="shared" si="5"/>
        <v>55.267687172581944</v>
      </c>
      <c r="I16" s="722">
        <f t="shared" si="6"/>
        <v>23.673444950763979</v>
      </c>
      <c r="J16" s="723">
        <f t="shared" si="2"/>
        <v>3.0711529716623316</v>
      </c>
      <c r="K16" s="26"/>
      <c r="L16" s="26"/>
      <c r="M16" s="26"/>
      <c r="N16" s="45"/>
      <c r="O16" s="45"/>
      <c r="P16" s="45"/>
      <c r="Q16" s="45"/>
      <c r="R16" s="45"/>
      <c r="S16" s="45"/>
      <c r="T16" s="46"/>
      <c r="U16" s="46"/>
      <c r="V16" s="46"/>
      <c r="W16" s="46"/>
    </row>
    <row r="17" spans="2:23" s="44" customFormat="1" ht="15" customHeight="1">
      <c r="C17" s="724" t="str">
        <f>IF(Indice_index!$Z$1=1,"Diferenças de consolidação","Consolidation differences")</f>
        <v>Diferenças de consolidação</v>
      </c>
      <c r="D17" s="114">
        <v>39.963791379997609</v>
      </c>
      <c r="E17" s="114">
        <v>16.567643999995955</v>
      </c>
      <c r="F17" s="114">
        <v>18.916378380001881</v>
      </c>
      <c r="G17" s="114">
        <v>84.679269560004826</v>
      </c>
      <c r="H17" s="722"/>
      <c r="I17" s="722"/>
      <c r="J17" s="723"/>
      <c r="K17" s="26"/>
      <c r="L17" s="26"/>
      <c r="M17" s="26"/>
      <c r="N17" s="45"/>
      <c r="O17" s="45"/>
      <c r="P17" s="45"/>
      <c r="Q17" s="45"/>
      <c r="R17" s="45"/>
      <c r="S17" s="45"/>
      <c r="T17" s="46"/>
      <c r="U17" s="46"/>
      <c r="V17" s="46"/>
      <c r="W17" s="46"/>
    </row>
    <row r="18" spans="2:23" s="268" customFormat="1" ht="15" customHeight="1">
      <c r="C18" s="269" t="str">
        <f>IF(Indice_index!$Z$1=1,"Receita de capital","Capital revenue")</f>
        <v>Receita de capital</v>
      </c>
      <c r="D18" s="718">
        <f t="shared" ref="D18:E18" si="9">+D19+D20+D23+D24</f>
        <v>1214.4512072300001</v>
      </c>
      <c r="E18" s="718">
        <f t="shared" si="9"/>
        <v>3666.3722160000002</v>
      </c>
      <c r="F18" s="718">
        <f t="shared" ref="F18:G18" si="10">+F19+F20+F23+F24</f>
        <v>759.21718928999974</v>
      </c>
      <c r="G18" s="718">
        <f t="shared" si="10"/>
        <v>1117.1668292999998</v>
      </c>
      <c r="H18" s="718">
        <f t="shared" si="5"/>
        <v>30.47063318952447</v>
      </c>
      <c r="I18" s="718">
        <f t="shared" si="6"/>
        <v>47.147199122920981</v>
      </c>
      <c r="J18" s="720">
        <f t="shared" ref="J18:J23" si="11">IFERROR((G18-F18)/$F$26*100,"")</f>
        <v>1.08052305762062</v>
      </c>
      <c r="K18" s="263"/>
      <c r="L18" s="263"/>
      <c r="M18" s="263"/>
      <c r="N18" s="270"/>
      <c r="O18" s="270"/>
      <c r="P18" s="270"/>
      <c r="Q18" s="270"/>
      <c r="R18" s="270"/>
      <c r="S18" s="270"/>
      <c r="T18" s="271"/>
      <c r="U18" s="271"/>
      <c r="V18" s="271"/>
      <c r="W18" s="271"/>
    </row>
    <row r="19" spans="2:23" s="44" customFormat="1" ht="15" customHeight="1">
      <c r="C19" s="724" t="str">
        <f>IF(Indice_index!$Z$1=1,"Venda de bens de investimento","Sale of investment goods")</f>
        <v>Venda de bens de investimento</v>
      </c>
      <c r="D19" s="114">
        <v>154.44449596999999</v>
      </c>
      <c r="E19" s="114">
        <v>182.557568</v>
      </c>
      <c r="F19" s="114">
        <v>84.050986940000001</v>
      </c>
      <c r="G19" s="114">
        <v>84.023423949999994</v>
      </c>
      <c r="H19" s="722">
        <f t="shared" si="5"/>
        <v>46.025713899738186</v>
      </c>
      <c r="I19" s="722">
        <f t="shared" si="6"/>
        <v>-3.2793178287939505E-2</v>
      </c>
      <c r="J19" s="723">
        <f t="shared" si="11"/>
        <v>-8.3202894773527495E-5</v>
      </c>
      <c r="K19" s="26"/>
      <c r="L19" s="26"/>
      <c r="M19" s="26"/>
      <c r="N19" s="45"/>
      <c r="O19" s="45"/>
      <c r="P19" s="45"/>
      <c r="Q19" s="45"/>
      <c r="R19" s="45"/>
      <c r="S19" s="45"/>
      <c r="T19" s="46"/>
      <c r="U19" s="46"/>
      <c r="V19" s="46"/>
      <c r="W19" s="46"/>
    </row>
    <row r="20" spans="2:23" s="44" customFormat="1" ht="15" customHeight="1">
      <c r="C20" s="724" t="str">
        <f>IF(Indice_index!$Z$1=1,"Transferências de Capital","Capital transfers")</f>
        <v>Transferências de Capital</v>
      </c>
      <c r="D20" s="114">
        <f t="shared" ref="D20:E20" si="12">+D21+D22</f>
        <v>1020.93896993</v>
      </c>
      <c r="E20" s="114">
        <f t="shared" si="12"/>
        <v>3433.883237</v>
      </c>
      <c r="F20" s="114">
        <f t="shared" ref="F20:G20" si="13">+F21+F22</f>
        <v>661.14585693999993</v>
      </c>
      <c r="G20" s="114">
        <f t="shared" si="13"/>
        <v>1012.3573566999997</v>
      </c>
      <c r="H20" s="722">
        <f t="shared" si="5"/>
        <v>29.481414679214375</v>
      </c>
      <c r="I20" s="722">
        <f t="shared" si="6"/>
        <v>53.121636636357664</v>
      </c>
      <c r="J20" s="723">
        <f t="shared" si="11"/>
        <v>1.0601830011104265</v>
      </c>
      <c r="K20" s="26"/>
      <c r="L20" s="26"/>
      <c r="M20" s="26"/>
      <c r="N20" s="45"/>
      <c r="O20" s="45"/>
      <c r="P20" s="45"/>
      <c r="Q20" s="45"/>
      <c r="R20" s="45"/>
      <c r="S20" s="45"/>
      <c r="T20" s="46"/>
      <c r="U20" s="46"/>
      <c r="V20" s="46"/>
      <c r="W20" s="46"/>
    </row>
    <row r="21" spans="2:23" s="44" customFormat="1" ht="15" customHeight="1">
      <c r="C21" s="725" t="str">
        <f>IF(Indice_index!$Z$1=1,"Administrações Públicas","General Government subsectors")</f>
        <v>Administrações Públicas</v>
      </c>
      <c r="D21" s="114">
        <v>10.4803914</v>
      </c>
      <c r="E21" s="114">
        <v>35.408985000000001</v>
      </c>
      <c r="F21" s="114">
        <v>6.2791627999999999</v>
      </c>
      <c r="G21" s="114">
        <v>7.1756899299999999</v>
      </c>
      <c r="H21" s="722">
        <f t="shared" si="5"/>
        <v>20.265166962566138</v>
      </c>
      <c r="I21" s="722">
        <f t="shared" si="6"/>
        <v>14.277813118653333</v>
      </c>
      <c r="J21" s="723">
        <f t="shared" si="11"/>
        <v>2.7062975554895822E-3</v>
      </c>
      <c r="K21" s="26"/>
      <c r="L21" s="26"/>
      <c r="M21" s="26"/>
      <c r="N21" s="45"/>
      <c r="O21" s="45"/>
      <c r="P21" s="45"/>
      <c r="Q21" s="45"/>
      <c r="R21" s="45"/>
      <c r="S21" s="45"/>
      <c r="T21" s="46"/>
      <c r="U21" s="46"/>
      <c r="V21" s="46"/>
      <c r="W21" s="46"/>
    </row>
    <row r="22" spans="2:23" s="44" customFormat="1" ht="15" customHeight="1">
      <c r="B22" s="47"/>
      <c r="C22" s="725" t="str">
        <f>IF(Indice_index!$Z$1=1,"Outras","Others")</f>
        <v>Outras</v>
      </c>
      <c r="D22" s="114">
        <v>1010.45857853</v>
      </c>
      <c r="E22" s="114">
        <v>3398.474252</v>
      </c>
      <c r="F22" s="114">
        <v>654.86669413999994</v>
      </c>
      <c r="G22" s="114">
        <v>1005.1816667699998</v>
      </c>
      <c r="H22" s="722">
        <f t="shared" si="5"/>
        <v>29.577439528295706</v>
      </c>
      <c r="I22" s="722">
        <f t="shared" si="6"/>
        <v>53.494089066485358</v>
      </c>
      <c r="J22" s="723">
        <f t="shared" si="11"/>
        <v>1.0574767035549371</v>
      </c>
      <c r="K22" s="26"/>
      <c r="L22" s="26"/>
      <c r="M22" s="26"/>
      <c r="N22" s="45"/>
      <c r="O22" s="45"/>
      <c r="P22" s="45"/>
      <c r="Q22" s="45"/>
      <c r="R22" s="45"/>
      <c r="S22" s="45"/>
      <c r="T22" s="46"/>
      <c r="U22" s="46"/>
      <c r="V22" s="46"/>
      <c r="W22" s="46"/>
    </row>
    <row r="23" spans="2:23" s="44" customFormat="1" ht="15" customHeight="1">
      <c r="C23" s="724" t="str">
        <f>IF(Indice_index!$Z$1=1,"Outras receitas de capital","Other capital revenue")</f>
        <v>Outras receitas de capital</v>
      </c>
      <c r="D23" s="114">
        <v>26.772300769999998</v>
      </c>
      <c r="E23" s="114">
        <v>43.630996000000003</v>
      </c>
      <c r="F23" s="114">
        <v>12.893362549999999</v>
      </c>
      <c r="G23" s="114">
        <v>20.786048649999998</v>
      </c>
      <c r="H23" s="722">
        <f t="shared" si="5"/>
        <v>47.640555008187292</v>
      </c>
      <c r="I23" s="722">
        <f t="shared" si="6"/>
        <v>61.215110250661489</v>
      </c>
      <c r="J23" s="723">
        <f t="shared" si="11"/>
        <v>2.3825221104771921E-2</v>
      </c>
      <c r="K23" s="26"/>
      <c r="L23" s="26"/>
      <c r="M23" s="26"/>
      <c r="N23" s="45"/>
      <c r="O23" s="45"/>
      <c r="P23" s="45"/>
      <c r="Q23" s="45"/>
      <c r="R23" s="45"/>
      <c r="S23" s="45"/>
      <c r="T23" s="46"/>
      <c r="U23" s="46"/>
      <c r="V23" s="46"/>
      <c r="W23" s="46"/>
    </row>
    <row r="24" spans="2:23" s="44" customFormat="1" ht="15" customHeight="1">
      <c r="C24" s="724" t="str">
        <f>IF(Indice_index!$Z$1=1,"Diferenças de consolidação","Consolidation differences")</f>
        <v>Diferenças de consolidação</v>
      </c>
      <c r="D24" s="114">
        <v>12.295440560000369</v>
      </c>
      <c r="E24" s="114">
        <v>6.3004149999999726</v>
      </c>
      <c r="F24" s="114">
        <v>1.1269828599997536</v>
      </c>
      <c r="G24" s="114">
        <v>0</v>
      </c>
      <c r="H24" s="723"/>
      <c r="I24" s="723"/>
      <c r="J24" s="723"/>
      <c r="K24" s="26"/>
      <c r="L24" s="26"/>
      <c r="M24" s="26"/>
      <c r="N24" s="45"/>
      <c r="O24" s="45"/>
      <c r="P24" s="45"/>
      <c r="Q24" s="45"/>
      <c r="R24" s="45"/>
      <c r="S24" s="45"/>
      <c r="T24" s="46"/>
      <c r="U24" s="46"/>
      <c r="V24" s="46"/>
      <c r="W24" s="46"/>
    </row>
    <row r="25" spans="2:23" s="44" customFormat="1" ht="4.5" customHeight="1">
      <c r="C25" s="726"/>
      <c r="D25" s="726"/>
      <c r="E25" s="726"/>
      <c r="F25" s="114"/>
      <c r="G25" s="114"/>
      <c r="H25" s="723"/>
      <c r="I25" s="723"/>
      <c r="J25" s="723"/>
      <c r="K25" s="26"/>
      <c r="L25" s="26"/>
      <c r="M25" s="26"/>
      <c r="N25" s="45"/>
      <c r="O25" s="45"/>
      <c r="P25" s="45"/>
      <c r="Q25" s="45"/>
      <c r="R25" s="45"/>
      <c r="S25" s="45"/>
      <c r="T25" s="46"/>
      <c r="U25" s="46"/>
      <c r="V25" s="46"/>
      <c r="W25" s="46"/>
    </row>
    <row r="26" spans="2:23" s="269" customFormat="1" ht="15" customHeight="1">
      <c r="C26" s="727" t="str">
        <f>IF(Indice_index!$Z$1=1,"Receita efetiva","Effective revenue")</f>
        <v>Receita efetiva</v>
      </c>
      <c r="D26" s="728">
        <f t="shared" ref="D26:E26" si="14">+D8+D18</f>
        <v>63843.743180489997</v>
      </c>
      <c r="E26" s="728">
        <f t="shared" si="14"/>
        <v>71533.572495</v>
      </c>
      <c r="F26" s="728">
        <f t="shared" ref="F26:G26" si="15">+F8+F18</f>
        <v>33127.441148570004</v>
      </c>
      <c r="G26" s="728">
        <f t="shared" si="15"/>
        <v>39065.936070380005</v>
      </c>
      <c r="H26" s="729">
        <f>IFERROR(IF(G26/E26*100&lt;-500,"-",IF(G26/E26*100&gt;500,"-",G26/E26*100)),"-")</f>
        <v>54.612029999075759</v>
      </c>
      <c r="I26" s="729">
        <f t="shared" ref="I26" si="16">IF(IFERROR((G26-F26)/F26*100,"")&gt;500,"-",IFERROR((G26-F26)/F26*100,""))</f>
        <v>17.926210766406705</v>
      </c>
      <c r="J26" s="730"/>
      <c r="K26" s="263"/>
      <c r="L26" s="263"/>
      <c r="M26" s="263"/>
      <c r="N26" s="270"/>
      <c r="O26" s="270"/>
      <c r="P26" s="270"/>
      <c r="Q26" s="270"/>
      <c r="R26" s="270"/>
      <c r="S26" s="270"/>
      <c r="T26" s="271"/>
      <c r="U26" s="271"/>
      <c r="V26" s="271"/>
      <c r="W26" s="271"/>
    </row>
    <row r="27" spans="2:23" s="44" customFormat="1" ht="4.5" customHeight="1">
      <c r="C27" s="726"/>
      <c r="D27" s="726"/>
      <c r="E27" s="726"/>
      <c r="F27" s="114"/>
      <c r="G27" s="114"/>
      <c r="H27" s="723"/>
      <c r="I27" s="723"/>
      <c r="J27" s="723"/>
      <c r="K27" s="26"/>
      <c r="L27" s="26"/>
      <c r="M27" s="26"/>
      <c r="N27" s="45"/>
      <c r="O27" s="45"/>
      <c r="P27" s="45"/>
      <c r="Q27" s="45"/>
      <c r="R27" s="45"/>
      <c r="S27" s="45"/>
      <c r="T27" s="46"/>
      <c r="U27" s="46"/>
      <c r="V27" s="46"/>
      <c r="W27" s="46"/>
    </row>
    <row r="28" spans="2:23" s="268" customFormat="1" ht="15" customHeight="1">
      <c r="C28" s="269" t="str">
        <f>IF(Indice_index!$Z$1=1,"Despesa corrente","Current expenditure")</f>
        <v>Despesa corrente</v>
      </c>
      <c r="D28" s="718">
        <f t="shared" ref="D28:G28" si="17">+D29+D33+D34+D35+D38+D39+D40</f>
        <v>68940.759742010036</v>
      </c>
      <c r="E28" s="718">
        <f t="shared" ref="E28" si="18">+E29+E33+E34+E35+E38+E39+E40</f>
        <v>71082.499699999986</v>
      </c>
      <c r="F28" s="718">
        <f>+F29+F33+F34+F35+F38+F39+F40</f>
        <v>36830.077214699973</v>
      </c>
      <c r="G28" s="718">
        <f t="shared" si="17"/>
        <v>38029.019731490029</v>
      </c>
      <c r="H28" s="718">
        <f t="shared" ref="H28:H46" si="19">IFERROR(IF(G28/E28*100&lt;-500,"-",IF(G28/E28*100&gt;500,"-",G28/E28*100)),"-")</f>
        <v>53.49983454716638</v>
      </c>
      <c r="I28" s="718">
        <f t="shared" ref="I28:I46" si="20">IF(IFERROR((G28-F28)/F28*100,"")&gt;500,"-",IFERROR((G28-F28)/F28*100,""))</f>
        <v>3.2553353331323511</v>
      </c>
      <c r="J28" s="720">
        <f>IFERROR((G28-F28)/$F$49*100,"")</f>
        <v>3.0092327278762703</v>
      </c>
      <c r="K28" s="263"/>
      <c r="L28" s="263"/>
      <c r="M28" s="263"/>
      <c r="N28" s="270"/>
      <c r="O28" s="270"/>
      <c r="P28" s="270"/>
      <c r="Q28" s="270"/>
      <c r="R28" s="270"/>
      <c r="S28" s="270"/>
      <c r="T28" s="271"/>
      <c r="U28" s="271"/>
      <c r="V28" s="271"/>
      <c r="W28" s="271"/>
    </row>
    <row r="29" spans="2:23" s="44" customFormat="1" ht="15" customHeight="1">
      <c r="C29" s="724" t="str">
        <f>IF(Indice_index!$Z$1=1,"Despesas com o pessoal","Employees")</f>
        <v>Despesas com o pessoal</v>
      </c>
      <c r="D29" s="114">
        <f t="shared" ref="D29:E29" si="21">+D30+D31+D32</f>
        <v>18714.033484429998</v>
      </c>
      <c r="E29" s="114">
        <f t="shared" si="21"/>
        <v>18956.054237</v>
      </c>
      <c r="F29" s="114">
        <f t="shared" ref="F29:G29" si="22">+F30+F31+F32</f>
        <v>10654.535064489988</v>
      </c>
      <c r="G29" s="114">
        <f t="shared" si="22"/>
        <v>10741.811944250001</v>
      </c>
      <c r="H29" s="722">
        <f t="shared" si="19"/>
        <v>56.666919233029212</v>
      </c>
      <c r="I29" s="722">
        <f t="shared" si="20"/>
        <v>0.81915240066076667</v>
      </c>
      <c r="J29" s="723">
        <f t="shared" ref="J29:J46" si="23">IFERROR((G29-F29)/$F$49*100,"")</f>
        <v>0.21905674315722229</v>
      </c>
      <c r="K29" s="26"/>
      <c r="L29" s="26"/>
      <c r="M29" s="26"/>
      <c r="N29" s="45"/>
      <c r="O29" s="45"/>
      <c r="P29" s="45"/>
      <c r="Q29" s="45"/>
      <c r="R29" s="45"/>
      <c r="S29" s="45"/>
      <c r="T29" s="46"/>
      <c r="U29" s="46"/>
      <c r="V29" s="46"/>
      <c r="W29" s="46"/>
    </row>
    <row r="30" spans="2:23" s="44" customFormat="1" ht="15" customHeight="1">
      <c r="C30" s="731" t="str">
        <f>IF(Indice_index!$Z$1=1,"Remunerações Certas e Permanentes","Certain and permanent wages")</f>
        <v>Remunerações Certas e Permanentes</v>
      </c>
      <c r="D30" s="114">
        <v>13299.923762189999</v>
      </c>
      <c r="E30" s="114">
        <v>13882.224843</v>
      </c>
      <c r="F30" s="114">
        <v>7562.1490530399878</v>
      </c>
      <c r="G30" s="114">
        <v>7665.7995903300034</v>
      </c>
      <c r="H30" s="722">
        <f t="shared" si="19"/>
        <v>55.220252351664087</v>
      </c>
      <c r="I30" s="722">
        <f t="shared" si="20"/>
        <v>1.370649223693204</v>
      </c>
      <c r="J30" s="723">
        <f t="shared" si="23"/>
        <v>0.26015308049142472</v>
      </c>
      <c r="K30" s="26"/>
      <c r="L30" s="26"/>
      <c r="M30" s="26"/>
      <c r="N30" s="45"/>
      <c r="O30" s="45"/>
      <c r="P30" s="45"/>
      <c r="Q30" s="45"/>
      <c r="R30" s="45"/>
      <c r="S30" s="45"/>
      <c r="T30" s="46"/>
      <c r="U30" s="46"/>
      <c r="V30" s="46"/>
      <c r="W30" s="46"/>
    </row>
    <row r="31" spans="2:23" s="44" customFormat="1" ht="15" customHeight="1">
      <c r="C31" s="731" t="str">
        <f>IF(Indice_index!$Z$1=1,"Abonos Variáveis ou Eventuais","Variable or contingent bonuses")</f>
        <v>Abonos Variáveis ou Eventuais</v>
      </c>
      <c r="D31" s="114">
        <v>1331.9491322400004</v>
      </c>
      <c r="E31" s="114">
        <v>1286.9144659999999</v>
      </c>
      <c r="F31" s="114">
        <v>742.82875121999882</v>
      </c>
      <c r="G31" s="114">
        <v>745.04735335999987</v>
      </c>
      <c r="H31" s="722">
        <f t="shared" si="19"/>
        <v>57.894084886291111</v>
      </c>
      <c r="I31" s="722">
        <f t="shared" si="20"/>
        <v>0.29866939538316067</v>
      </c>
      <c r="J31" s="723">
        <f t="shared" si="23"/>
        <v>5.5684822886271643E-3</v>
      </c>
      <c r="K31" s="26"/>
      <c r="L31" s="26"/>
      <c r="M31" s="26"/>
      <c r="N31" s="45"/>
      <c r="O31" s="45"/>
      <c r="P31" s="45"/>
      <c r="Q31" s="45"/>
      <c r="R31" s="45"/>
      <c r="S31" s="45"/>
      <c r="T31" s="46"/>
      <c r="U31" s="46"/>
      <c r="V31" s="46"/>
      <c r="W31" s="46"/>
    </row>
    <row r="32" spans="2:23" s="44" customFormat="1" ht="15" customHeight="1">
      <c r="C32" s="731" t="str">
        <f>IF(Indice_index!$Z$1=1,"Segurança social","Social security")</f>
        <v>Segurança social</v>
      </c>
      <c r="D32" s="114">
        <v>4082.1605899999968</v>
      </c>
      <c r="E32" s="114">
        <v>3786.9149280000001</v>
      </c>
      <c r="F32" s="114">
        <v>2349.5572602300017</v>
      </c>
      <c r="G32" s="114">
        <v>2330.9650005599983</v>
      </c>
      <c r="H32" s="722">
        <f t="shared" si="19"/>
        <v>61.553138765413486</v>
      </c>
      <c r="I32" s="722">
        <f t="shared" si="20"/>
        <v>-0.79130906850865013</v>
      </c>
      <c r="J32" s="723">
        <f t="shared" si="23"/>
        <v>-4.6664819622828743E-2</v>
      </c>
      <c r="K32" s="26"/>
      <c r="L32" s="26"/>
      <c r="M32" s="26"/>
      <c r="N32" s="45"/>
      <c r="O32" s="45"/>
      <c r="P32" s="45"/>
      <c r="Q32" s="45"/>
      <c r="R32" s="45"/>
      <c r="S32" s="45"/>
      <c r="T32" s="46"/>
      <c r="U32" s="46"/>
      <c r="V32" s="46"/>
      <c r="W32" s="46"/>
    </row>
    <row r="33" spans="3:23" s="44" customFormat="1" ht="15" customHeight="1">
      <c r="C33" s="724" t="str">
        <f>IF(Indice_index!$Z$1=1,"Aquisição de bens e serviços","Purchase of goods and services")</f>
        <v>Aquisição de bens e serviços</v>
      </c>
      <c r="D33" s="114">
        <v>11372.99176786004</v>
      </c>
      <c r="E33" s="114">
        <v>12326.024108999998</v>
      </c>
      <c r="F33" s="114">
        <v>5167.7645128399854</v>
      </c>
      <c r="G33" s="114">
        <v>5794.1384850400264</v>
      </c>
      <c r="H33" s="722">
        <f t="shared" si="19"/>
        <v>47.007359662791551</v>
      </c>
      <c r="I33" s="722">
        <f t="shared" si="20"/>
        <v>12.120791701009848</v>
      </c>
      <c r="J33" s="723">
        <f t="shared" si="23"/>
        <v>1.5721396402562364</v>
      </c>
      <c r="K33" s="26"/>
      <c r="L33" s="26"/>
      <c r="M33" s="26"/>
      <c r="N33" s="45"/>
      <c r="O33" s="45"/>
      <c r="P33" s="45"/>
      <c r="Q33" s="45"/>
      <c r="R33" s="45"/>
      <c r="S33" s="45"/>
      <c r="T33" s="46"/>
      <c r="U33" s="46"/>
      <c r="V33" s="46"/>
      <c r="W33" s="46"/>
    </row>
    <row r="34" spans="3:23" s="44" customFormat="1" ht="15" customHeight="1">
      <c r="C34" s="724" t="str">
        <f>IF(Indice_index!$Z$1=1,"Juros e outros encargos","Interests and other charges")</f>
        <v>Juros e outros encargos</v>
      </c>
      <c r="D34" s="114">
        <v>6796.6822999299993</v>
      </c>
      <c r="E34" s="114">
        <v>6631.3696349999991</v>
      </c>
      <c r="F34" s="114">
        <v>4134.2242456099993</v>
      </c>
      <c r="G34" s="114">
        <v>3875.4981411600006</v>
      </c>
      <c r="H34" s="722">
        <f t="shared" si="19"/>
        <v>58.441895935122325</v>
      </c>
      <c r="I34" s="722">
        <f t="shared" si="20"/>
        <v>-6.2581536239775026</v>
      </c>
      <c r="J34" s="723">
        <f t="shared" si="23"/>
        <v>-0.64937813962202162</v>
      </c>
      <c r="K34" s="26"/>
      <c r="L34" s="26"/>
      <c r="M34" s="26"/>
      <c r="N34" s="45"/>
      <c r="O34" s="45"/>
      <c r="P34" s="45"/>
      <c r="Q34" s="45"/>
      <c r="R34" s="45"/>
      <c r="S34" s="45"/>
      <c r="T34" s="46"/>
      <c r="U34" s="46"/>
      <c r="V34" s="46"/>
      <c r="W34" s="46"/>
    </row>
    <row r="35" spans="3:23" s="44" customFormat="1" ht="15" customHeight="1">
      <c r="C35" s="724" t="str">
        <f>IF(Indice_index!$Z$1=1,"Transferências Correntes","Current transfers")</f>
        <v>Transferências Correntes</v>
      </c>
      <c r="D35" s="114">
        <f t="shared" ref="D35:E35" si="24">+D36+D37</f>
        <v>30173.699127129999</v>
      </c>
      <c r="E35" s="114">
        <f t="shared" si="24"/>
        <v>30080.527765999999</v>
      </c>
      <c r="F35" s="114">
        <f t="shared" ref="F35:G35" si="25">+F36+F37</f>
        <v>16005.144428020001</v>
      </c>
      <c r="G35" s="114">
        <f t="shared" si="25"/>
        <v>16656.395737070005</v>
      </c>
      <c r="H35" s="722">
        <f t="shared" si="19"/>
        <v>55.372684504215108</v>
      </c>
      <c r="I35" s="722">
        <f t="shared" si="20"/>
        <v>4.0690123852295015</v>
      </c>
      <c r="J35" s="723">
        <f t="shared" si="23"/>
        <v>1.6345794112902452</v>
      </c>
      <c r="K35" s="26"/>
      <c r="L35" s="26"/>
      <c r="M35" s="26"/>
      <c r="N35" s="45"/>
      <c r="O35" s="45"/>
      <c r="P35" s="45"/>
      <c r="Q35" s="45"/>
      <c r="R35" s="45"/>
      <c r="S35" s="45"/>
      <c r="T35" s="46"/>
      <c r="U35" s="46"/>
      <c r="V35" s="46"/>
      <c r="W35" s="46"/>
    </row>
    <row r="36" spans="3:23" s="44" customFormat="1" ht="15" customHeight="1">
      <c r="C36" s="725" t="str">
        <f>IF(Indice_index!$Z$1=1,"Administrações Públicas","General Government subsectors")</f>
        <v>Administrações Públicas</v>
      </c>
      <c r="D36" s="114">
        <v>15062.905607920004</v>
      </c>
      <c r="E36" s="114">
        <v>14210.651188</v>
      </c>
      <c r="F36" s="114">
        <v>8099.7729221600002</v>
      </c>
      <c r="G36" s="114">
        <v>8323.388648230004</v>
      </c>
      <c r="H36" s="722">
        <f t="shared" si="19"/>
        <v>58.571479505869384</v>
      </c>
      <c r="I36" s="722">
        <f t="shared" si="20"/>
        <v>2.7607653723009715</v>
      </c>
      <c r="J36" s="723">
        <f t="shared" si="23"/>
        <v>0.56125439871735128</v>
      </c>
      <c r="K36" s="26"/>
      <c r="L36" s="26"/>
      <c r="M36" s="26"/>
      <c r="N36" s="45"/>
      <c r="O36" s="45"/>
      <c r="P36" s="45"/>
      <c r="Q36" s="45"/>
      <c r="R36" s="45"/>
      <c r="S36" s="45"/>
      <c r="T36" s="46"/>
      <c r="U36" s="46"/>
      <c r="V36" s="46"/>
      <c r="W36" s="46"/>
    </row>
    <row r="37" spans="3:23" s="44" customFormat="1" ht="15" customHeight="1">
      <c r="C37" s="725" t="str">
        <f>IF(Indice_index!$Z$1=1,"Outras","Others")</f>
        <v>Outras</v>
      </c>
      <c r="D37" s="114">
        <v>15110.793519209996</v>
      </c>
      <c r="E37" s="114">
        <v>15869.876577999999</v>
      </c>
      <c r="F37" s="114">
        <v>7905.3715058600019</v>
      </c>
      <c r="G37" s="114">
        <v>8333.0070888400005</v>
      </c>
      <c r="H37" s="722">
        <f t="shared" si="19"/>
        <v>52.508329525333764</v>
      </c>
      <c r="I37" s="722">
        <f t="shared" si="20"/>
        <v>5.4094305708846937</v>
      </c>
      <c r="J37" s="723">
        <f t="shared" si="23"/>
        <v>1.0733250125728915</v>
      </c>
      <c r="K37" s="26"/>
      <c r="L37" s="26"/>
      <c r="M37" s="26"/>
      <c r="N37" s="45"/>
      <c r="O37" s="45"/>
      <c r="P37" s="45"/>
      <c r="Q37" s="45"/>
      <c r="R37" s="45"/>
      <c r="S37" s="45"/>
      <c r="T37" s="46"/>
      <c r="U37" s="46"/>
      <c r="V37" s="46"/>
      <c r="W37" s="46"/>
    </row>
    <row r="38" spans="3:23" s="44" customFormat="1" ht="15" customHeight="1">
      <c r="C38" s="724" t="str">
        <f>IF(Indice_index!$Z$1=1,"Subsídios","Subsidies")</f>
        <v>Subsídios</v>
      </c>
      <c r="D38" s="114">
        <v>1111.77722782</v>
      </c>
      <c r="E38" s="114">
        <v>796.59153199999992</v>
      </c>
      <c r="F38" s="114">
        <v>549.09499339000013</v>
      </c>
      <c r="G38" s="114">
        <v>530.67684526999994</v>
      </c>
      <c r="H38" s="722">
        <f t="shared" si="19"/>
        <v>66.618439181449901</v>
      </c>
      <c r="I38" s="722">
        <f t="shared" si="20"/>
        <v>-3.3542735486059168</v>
      </c>
      <c r="J38" s="723">
        <f t="shared" si="23"/>
        <v>-4.6227816040727357E-2</v>
      </c>
      <c r="K38" s="26"/>
      <c r="L38" s="26"/>
      <c r="M38" s="26"/>
      <c r="N38" s="45"/>
      <c r="O38" s="45"/>
      <c r="P38" s="45"/>
      <c r="Q38" s="45"/>
      <c r="R38" s="45"/>
      <c r="S38" s="45"/>
      <c r="T38" s="46"/>
      <c r="U38" s="46"/>
      <c r="V38" s="46"/>
      <c r="W38" s="46"/>
    </row>
    <row r="39" spans="3:23" s="44" customFormat="1" ht="15" customHeight="1">
      <c r="C39" s="724" t="str">
        <f>IF(Indice_index!$Z$1=1,"Outras despesas correntes","Other current expenditure")</f>
        <v>Outras despesas correntes</v>
      </c>
      <c r="D39" s="114">
        <v>637.71143391999976</v>
      </c>
      <c r="E39" s="114">
        <v>2291.9324200000001</v>
      </c>
      <c r="F39" s="114">
        <v>308.12170573999992</v>
      </c>
      <c r="G39" s="114">
        <v>361.37764400999998</v>
      </c>
      <c r="H39" s="722">
        <f t="shared" si="19"/>
        <v>15.767377818670585</v>
      </c>
      <c r="I39" s="722">
        <f>IF(IFERROR((G39-F39)/F39*100,"")&gt;500,"-",IFERROR((G39-F39)/F39*100,""))</f>
        <v>17.284059278491281</v>
      </c>
      <c r="J39" s="723">
        <f>IFERROR((G39-F39)/$F$49*100,"")</f>
        <v>0.13366738617703494</v>
      </c>
      <c r="K39" s="26"/>
      <c r="L39" s="26"/>
      <c r="M39" s="26"/>
      <c r="N39" s="45"/>
      <c r="O39" s="45"/>
      <c r="P39" s="45"/>
      <c r="Q39" s="45"/>
      <c r="R39" s="45"/>
      <c r="S39" s="45"/>
      <c r="T39" s="46"/>
      <c r="U39" s="46"/>
      <c r="V39" s="46"/>
      <c r="W39" s="46"/>
    </row>
    <row r="40" spans="3:23" s="44" customFormat="1" ht="15" customHeight="1">
      <c r="C40" s="724" t="str">
        <f>IF(Indice_index!$Z$1=1,"Diferenças de consolidação","Consolidation differences")</f>
        <v>Diferenças de consolidação</v>
      </c>
      <c r="D40" s="114">
        <v>133.86440091999941</v>
      </c>
      <c r="E40" s="114">
        <v>9.999994290410541E-7</v>
      </c>
      <c r="F40" s="114">
        <v>11.192264609999251</v>
      </c>
      <c r="G40" s="114">
        <v>69.120934690000468</v>
      </c>
      <c r="H40" s="722"/>
      <c r="I40" s="722"/>
      <c r="J40" s="723"/>
      <c r="K40" s="26"/>
      <c r="L40" s="26"/>
      <c r="M40" s="26"/>
      <c r="N40" s="45"/>
      <c r="O40" s="45"/>
      <c r="P40" s="45"/>
      <c r="Q40" s="45"/>
      <c r="R40" s="45"/>
      <c r="S40" s="45"/>
      <c r="T40" s="46"/>
      <c r="U40" s="46"/>
      <c r="V40" s="46"/>
      <c r="W40" s="46"/>
    </row>
    <row r="41" spans="3:23" s="268" customFormat="1" ht="15" customHeight="1">
      <c r="C41" s="269" t="str">
        <f>IF(Indice_index!$Z$1=1,"Despesa de capital","Capital expenditure")</f>
        <v>Despesa de capital</v>
      </c>
      <c r="D41" s="718">
        <f t="shared" ref="D41:E41" si="26">+D42+D43+D46+D47</f>
        <v>5525.7031684999965</v>
      </c>
      <c r="E41" s="718">
        <f t="shared" si="26"/>
        <v>8220.6554530000012</v>
      </c>
      <c r="F41" s="718">
        <f t="shared" ref="F41:G41" si="27">+F42+F43+F46+F47</f>
        <v>3012.0561531699996</v>
      </c>
      <c r="G41" s="718">
        <f t="shared" si="27"/>
        <v>2690.5946298600002</v>
      </c>
      <c r="H41" s="718">
        <f t="shared" si="19"/>
        <v>32.72968494109687</v>
      </c>
      <c r="I41" s="718">
        <f t="shared" si="20"/>
        <v>-10.6724943680642</v>
      </c>
      <c r="J41" s="720">
        <f t="shared" si="23"/>
        <v>-0.8068381287264017</v>
      </c>
      <c r="K41" s="263"/>
      <c r="L41" s="263"/>
      <c r="M41" s="263"/>
      <c r="N41" s="270"/>
      <c r="O41" s="270"/>
      <c r="P41" s="270"/>
      <c r="Q41" s="270"/>
      <c r="R41" s="270"/>
      <c r="S41" s="270"/>
      <c r="T41" s="271"/>
      <c r="U41" s="271"/>
      <c r="V41" s="271"/>
      <c r="W41" s="271"/>
    </row>
    <row r="42" spans="3:23" s="44" customFormat="1" ht="15" customHeight="1">
      <c r="C42" s="724" t="str">
        <f>IF(Indice_index!$Z$1=1,"Investimento","Investments")</f>
        <v>Investimento</v>
      </c>
      <c r="D42" s="114">
        <v>3423.9422135999971</v>
      </c>
      <c r="E42" s="114">
        <v>5795.8075239999998</v>
      </c>
      <c r="F42" s="114">
        <v>1772.2413756199999</v>
      </c>
      <c r="G42" s="114">
        <v>1833.4671019400002</v>
      </c>
      <c r="H42" s="722">
        <f t="shared" si="19"/>
        <v>31.634368366232867</v>
      </c>
      <c r="I42" s="722">
        <f t="shared" si="20"/>
        <v>3.45470584099083</v>
      </c>
      <c r="J42" s="723">
        <f t="shared" si="23"/>
        <v>0.15367080310356784</v>
      </c>
      <c r="K42" s="26"/>
      <c r="L42" s="26"/>
      <c r="M42" s="26"/>
      <c r="N42" s="45"/>
      <c r="O42" s="45"/>
      <c r="P42" s="45"/>
      <c r="Q42" s="45"/>
      <c r="R42" s="45"/>
      <c r="S42" s="45"/>
      <c r="T42" s="46"/>
      <c r="U42" s="46"/>
      <c r="V42" s="46"/>
      <c r="W42" s="46"/>
    </row>
    <row r="43" spans="3:23" s="44" customFormat="1" ht="15" customHeight="1">
      <c r="C43" s="724" t="str">
        <f>IF(Indice_index!$Z$1=1,"Transferências de capital","Capital transfers")</f>
        <v>Transferências de capital</v>
      </c>
      <c r="D43" s="114">
        <f t="shared" ref="D43:E43" si="28">+D44+D45</f>
        <v>1900.2181322400002</v>
      </c>
      <c r="E43" s="114">
        <f t="shared" si="28"/>
        <v>2185.9625120000001</v>
      </c>
      <c r="F43" s="114">
        <f t="shared" ref="F43:G43" si="29">+F44+F45</f>
        <v>1211.9356622299999</v>
      </c>
      <c r="G43" s="114">
        <f t="shared" si="29"/>
        <v>811.93566051999994</v>
      </c>
      <c r="H43" s="722">
        <f t="shared" si="19"/>
        <v>37.143164901631209</v>
      </c>
      <c r="I43" s="722">
        <f t="shared" si="20"/>
        <v>-33.00505251029476</v>
      </c>
      <c r="J43" s="723">
        <f t="shared" si="23"/>
        <v>-1.0039623079836719</v>
      </c>
      <c r="K43" s="26"/>
      <c r="L43" s="26"/>
      <c r="M43" s="26"/>
      <c r="N43" s="45"/>
      <c r="O43" s="45"/>
      <c r="P43" s="45"/>
      <c r="Q43" s="45"/>
      <c r="R43" s="45"/>
      <c r="S43" s="45"/>
      <c r="T43" s="46"/>
      <c r="U43" s="46"/>
      <c r="V43" s="46"/>
      <c r="W43" s="46"/>
    </row>
    <row r="44" spans="3:23" s="44" customFormat="1" ht="15" customHeight="1">
      <c r="C44" s="725" t="str">
        <f>IF(Indice_index!$Z$1=1,"Administrações Públicas","General Government subsectors")</f>
        <v>Administrações Públicas</v>
      </c>
      <c r="D44" s="114">
        <v>607.72723998000015</v>
      </c>
      <c r="E44" s="114">
        <v>639.86872000000005</v>
      </c>
      <c r="F44" s="114">
        <v>356.42050721999999</v>
      </c>
      <c r="G44" s="114">
        <v>348.90229385999993</v>
      </c>
      <c r="H44" s="722">
        <f t="shared" si="19"/>
        <v>54.527168301022733</v>
      </c>
      <c r="I44" s="722">
        <f t="shared" si="20"/>
        <v>-2.109366102035048</v>
      </c>
      <c r="J44" s="723">
        <f t="shared" si="23"/>
        <v>-1.8870007011379062E-2</v>
      </c>
      <c r="K44" s="26"/>
      <c r="L44" s="26"/>
      <c r="M44" s="26"/>
      <c r="N44" s="45"/>
      <c r="O44" s="45"/>
      <c r="P44" s="45"/>
      <c r="Q44" s="45"/>
      <c r="R44" s="45"/>
      <c r="S44" s="45"/>
      <c r="T44" s="46"/>
      <c r="U44" s="46"/>
      <c r="V44" s="46"/>
      <c r="W44" s="46"/>
    </row>
    <row r="45" spans="3:23" s="44" customFormat="1" ht="15" customHeight="1">
      <c r="C45" s="725" t="str">
        <f>IF(Indice_index!$Z$1=1,"Outras","Others")</f>
        <v>Outras</v>
      </c>
      <c r="D45" s="114">
        <v>1292.49089226</v>
      </c>
      <c r="E45" s="114">
        <v>1546.0937920000001</v>
      </c>
      <c r="F45" s="114">
        <v>855.51515500999994</v>
      </c>
      <c r="G45" s="114">
        <v>463.03336666000001</v>
      </c>
      <c r="H45" s="722">
        <f t="shared" si="19"/>
        <v>29.948594907753172</v>
      </c>
      <c r="I45" s="722">
        <f t="shared" si="20"/>
        <v>-45.876661103146944</v>
      </c>
      <c r="J45" s="723">
        <f t="shared" si="23"/>
        <v>-0.98509230097229261</v>
      </c>
      <c r="K45" s="26"/>
      <c r="L45" s="26"/>
      <c r="M45" s="26"/>
      <c r="N45" s="45"/>
      <c r="O45" s="45"/>
      <c r="P45" s="45"/>
      <c r="Q45" s="45"/>
      <c r="R45" s="45"/>
      <c r="S45" s="45"/>
      <c r="T45" s="46"/>
      <c r="U45" s="46"/>
      <c r="V45" s="46"/>
      <c r="W45" s="46"/>
    </row>
    <row r="46" spans="3:23" s="44" customFormat="1" ht="15" customHeight="1">
      <c r="C46" s="724" t="str">
        <f>IF(Indice_index!$Z$1=1,"Outras despesas de capital","Other capital expenditure")</f>
        <v>Outras despesas de capital</v>
      </c>
      <c r="D46" s="114">
        <v>149.79872605000003</v>
      </c>
      <c r="E46" s="114">
        <v>236.364294</v>
      </c>
      <c r="F46" s="114">
        <v>20.10764288</v>
      </c>
      <c r="G46" s="114">
        <v>20.080728269999998</v>
      </c>
      <c r="H46" s="722">
        <f t="shared" si="19"/>
        <v>8.4956690920499174</v>
      </c>
      <c r="I46" s="722">
        <f t="shared" si="20"/>
        <v>-0.133852635839145</v>
      </c>
      <c r="J46" s="723">
        <f t="shared" si="23"/>
        <v>-6.7553134646416828E-5</v>
      </c>
      <c r="K46" s="26"/>
      <c r="L46" s="26"/>
      <c r="M46" s="26"/>
      <c r="N46" s="45"/>
      <c r="O46" s="45"/>
      <c r="P46" s="45"/>
      <c r="Q46" s="45"/>
      <c r="R46" s="45"/>
      <c r="S46" s="45"/>
      <c r="T46" s="46"/>
      <c r="U46" s="46"/>
      <c r="V46" s="46"/>
      <c r="W46" s="46"/>
    </row>
    <row r="47" spans="3:23" s="44" customFormat="1" ht="15" customHeight="1">
      <c r="C47" s="724" t="str">
        <f>IF(Indice_index!$Z$1=1,"Diferenças de consolidação","Consolidation differences")</f>
        <v>Diferenças de consolidação</v>
      </c>
      <c r="D47" s="114">
        <v>51.744096609999815</v>
      </c>
      <c r="E47" s="114">
        <v>2.5211229999999887</v>
      </c>
      <c r="F47" s="114">
        <v>7.7714724399999966</v>
      </c>
      <c r="G47" s="114">
        <v>25.111139129999934</v>
      </c>
      <c r="H47" s="722"/>
      <c r="I47" s="722"/>
      <c r="J47" s="723"/>
      <c r="K47" s="26"/>
      <c r="L47" s="26"/>
      <c r="M47" s="26"/>
      <c r="N47" s="45"/>
      <c r="O47" s="45"/>
      <c r="P47" s="45"/>
      <c r="Q47" s="45"/>
      <c r="R47" s="45"/>
      <c r="S47" s="45"/>
      <c r="T47" s="46"/>
      <c r="U47" s="46"/>
      <c r="V47" s="46"/>
      <c r="W47" s="46"/>
    </row>
    <row r="48" spans="3:23" s="44" customFormat="1" ht="4.5" customHeight="1">
      <c r="F48" s="114"/>
      <c r="G48" s="114"/>
      <c r="H48" s="723"/>
      <c r="I48" s="723"/>
      <c r="J48" s="723"/>
      <c r="K48" s="26"/>
      <c r="L48" s="26"/>
      <c r="M48" s="26"/>
      <c r="N48" s="45"/>
      <c r="O48" s="45"/>
      <c r="P48" s="45"/>
      <c r="Q48" s="45"/>
      <c r="R48" s="45"/>
      <c r="S48" s="45"/>
      <c r="T48" s="46"/>
      <c r="U48" s="46"/>
      <c r="V48" s="46"/>
      <c r="W48" s="46"/>
    </row>
    <row r="49" spans="3:23" s="269" customFormat="1" ht="15" customHeight="1">
      <c r="C49" s="727" t="str">
        <f>IF(Indice_index!$Z$1=1,"Despesa efetiva","Effective Expenditure")</f>
        <v>Despesa efetiva</v>
      </c>
      <c r="D49" s="728">
        <f t="shared" ref="D49:E49" si="30">+D28+D41</f>
        <v>74466.462910510032</v>
      </c>
      <c r="E49" s="728">
        <f t="shared" si="30"/>
        <v>79303.155152999985</v>
      </c>
      <c r="F49" s="728">
        <f t="shared" ref="F49:G49" si="31">+F28+F41</f>
        <v>39842.133367869974</v>
      </c>
      <c r="G49" s="728">
        <f t="shared" si="31"/>
        <v>40719.614361350032</v>
      </c>
      <c r="H49" s="730">
        <f>IFERROR(IF(G49/E49*100&lt;-500,"-",IF(G49/E49*100&gt;500,"-",G49/E49*100)),"-")</f>
        <v>51.346777165157519</v>
      </c>
      <c r="I49" s="730">
        <f>IFERROR((G49-F49)/F49*100,"")</f>
        <v>2.2023945991498732</v>
      </c>
      <c r="J49" s="730"/>
      <c r="K49" s="263"/>
      <c r="L49" s="263"/>
      <c r="M49" s="263"/>
      <c r="N49" s="270"/>
      <c r="O49" s="270"/>
      <c r="P49" s="270"/>
      <c r="Q49" s="270"/>
      <c r="R49" s="270"/>
      <c r="S49" s="270"/>
      <c r="T49" s="271"/>
      <c r="U49" s="271"/>
      <c r="V49" s="271"/>
      <c r="W49" s="271"/>
    </row>
    <row r="50" spans="3:23" ht="4.5" customHeight="1">
      <c r="F50" s="22"/>
      <c r="G50" s="22"/>
      <c r="H50" s="732"/>
      <c r="I50" s="732"/>
      <c r="J50" s="732"/>
      <c r="K50" s="26"/>
      <c r="L50" s="26"/>
      <c r="M50" s="26"/>
      <c r="N50" s="45"/>
      <c r="O50" s="45"/>
      <c r="P50" s="45"/>
      <c r="Q50" s="45"/>
      <c r="R50" s="45"/>
      <c r="S50" s="45"/>
      <c r="T50" s="46"/>
      <c r="U50" s="46"/>
      <c r="V50" s="46"/>
      <c r="W50" s="46"/>
    </row>
    <row r="51" spans="3:23" s="267" customFormat="1" ht="15" customHeight="1">
      <c r="C51" s="727" t="str">
        <f>IF(Indice_index!$Z$1=1,"Saldo global","Overall balance")</f>
        <v>Saldo global</v>
      </c>
      <c r="D51" s="728">
        <f t="shared" ref="D51:E51" si="32">+D26-D49</f>
        <v>-10622.719730020035</v>
      </c>
      <c r="E51" s="728">
        <f t="shared" si="32"/>
        <v>-7769.5826579999848</v>
      </c>
      <c r="F51" s="728">
        <f t="shared" ref="F51:G51" si="33">+F26-F49</f>
        <v>-6714.69221929997</v>
      </c>
      <c r="G51" s="728">
        <f t="shared" si="33"/>
        <v>-1653.6782909700269</v>
      </c>
      <c r="H51" s="730"/>
      <c r="I51" s="730"/>
      <c r="J51" s="730"/>
      <c r="K51" s="263"/>
      <c r="L51" s="263"/>
      <c r="M51" s="263"/>
      <c r="N51" s="270"/>
      <c r="O51" s="270"/>
      <c r="P51" s="270"/>
      <c r="Q51" s="270"/>
      <c r="R51" s="270"/>
      <c r="S51" s="270"/>
      <c r="T51" s="271"/>
      <c r="U51" s="271"/>
      <c r="V51" s="271"/>
      <c r="W51" s="271"/>
    </row>
    <row r="52" spans="3:23" ht="15" customHeight="1">
      <c r="C52" s="733" t="str">
        <f>IF(Indice_index!$Z$1=1,"   Por memória:","   Memo item:")</f>
        <v xml:space="preserve">   Por memória:</v>
      </c>
      <c r="D52" s="733"/>
      <c r="E52" s="733"/>
      <c r="F52" s="22"/>
      <c r="G52" s="22"/>
      <c r="H52" s="732"/>
      <c r="I52" s="732"/>
      <c r="J52" s="732"/>
      <c r="K52" s="26"/>
      <c r="L52" s="26"/>
      <c r="M52" s="26"/>
      <c r="N52" s="45"/>
      <c r="O52" s="45"/>
      <c r="P52" s="45"/>
      <c r="Q52" s="45"/>
      <c r="R52" s="45"/>
      <c r="S52" s="45"/>
      <c r="T52" s="46"/>
      <c r="U52" s="46"/>
      <c r="V52" s="46"/>
      <c r="W52" s="46"/>
    </row>
    <row r="53" spans="3:23" ht="15" customHeight="1">
      <c r="C53" s="724" t="str">
        <f>IF(Indice_index!$Z$1=1,"Despesa primária","Primary expenditure")</f>
        <v>Despesa primária</v>
      </c>
      <c r="D53" s="114">
        <f t="shared" ref="D53:E53" si="34">+D49-D34</f>
        <v>67669.780610580026</v>
      </c>
      <c r="E53" s="114">
        <f t="shared" si="34"/>
        <v>72671.78551799999</v>
      </c>
      <c r="F53" s="114">
        <f t="shared" ref="F53:G53" si="35">+F49-F34</f>
        <v>35707.909122259975</v>
      </c>
      <c r="G53" s="114">
        <f t="shared" si="35"/>
        <v>36844.11622019003</v>
      </c>
      <c r="H53" s="723">
        <f>IFERROR(IF(G53/E53*100&lt;-500,"-",IF(G53/E53*100&gt;500,"-",G53/E53*100)),"-")</f>
        <v>50.699340820605201</v>
      </c>
      <c r="I53" s="723">
        <f t="shared" ref="I53" si="36">IFERROR((G53-F53)/F53*100,"")</f>
        <v>3.181947993761848</v>
      </c>
      <c r="J53" s="723">
        <f t="shared" ref="J53" si="37">IFERROR((G53-F53)/$F$49*100,"")</f>
        <v>2.8517727387718916</v>
      </c>
      <c r="K53" s="26"/>
      <c r="L53" s="26"/>
      <c r="M53" s="26"/>
      <c r="N53" s="45"/>
      <c r="O53" s="45"/>
      <c r="P53" s="45"/>
      <c r="Q53" s="45"/>
      <c r="R53" s="45"/>
      <c r="S53" s="45"/>
      <c r="T53" s="46"/>
      <c r="U53" s="46"/>
      <c r="V53" s="46"/>
      <c r="W53" s="46"/>
    </row>
    <row r="54" spans="3:23" s="44" customFormat="1" ht="15" customHeight="1">
      <c r="C54" s="724" t="str">
        <f>IF(Indice_index!$Z$1=1,"Saldo corrente","Current balance")</f>
        <v>Saldo corrente</v>
      </c>
      <c r="D54" s="114">
        <f t="shared" ref="D54:E54" si="38">+D8-D28</f>
        <v>-6311.4677687500371</v>
      </c>
      <c r="E54" s="114">
        <f t="shared" si="38"/>
        <v>-3215.2994209999888</v>
      </c>
      <c r="F54" s="114">
        <f t="shared" ref="F54:G54" si="39">+F8-F28</f>
        <v>-4461.8532554199701</v>
      </c>
      <c r="G54" s="114">
        <f t="shared" si="39"/>
        <v>-80.250490410020575</v>
      </c>
      <c r="H54" s="114"/>
      <c r="I54" s="114"/>
      <c r="J54" s="114"/>
      <c r="K54" s="26"/>
      <c r="L54" s="26"/>
      <c r="M54" s="26"/>
      <c r="N54" s="45"/>
      <c r="O54" s="45"/>
      <c r="P54" s="45"/>
      <c r="Q54" s="45"/>
      <c r="R54" s="45"/>
      <c r="S54" s="45"/>
      <c r="T54" s="46"/>
      <c r="U54" s="46"/>
      <c r="V54" s="46"/>
      <c r="W54" s="46"/>
    </row>
    <row r="55" spans="3:23" s="44" customFormat="1" ht="15" customHeight="1">
      <c r="C55" s="724" t="str">
        <f>IF(Indice_index!$Z$1=1,"Saldo de capital","Capital balance")</f>
        <v>Saldo de capital</v>
      </c>
      <c r="D55" s="114">
        <f t="shared" ref="D55:E55" si="40">+D18-D41</f>
        <v>-4311.2519612699962</v>
      </c>
      <c r="E55" s="114">
        <f t="shared" si="40"/>
        <v>-4554.2832370000015</v>
      </c>
      <c r="F55" s="114">
        <f t="shared" ref="F55:G55" si="41">+F18-F41</f>
        <v>-2252.8389638799999</v>
      </c>
      <c r="G55" s="114">
        <f t="shared" si="41"/>
        <v>-1573.4278005600004</v>
      </c>
      <c r="H55" s="114"/>
      <c r="I55" s="114"/>
      <c r="J55" s="114"/>
      <c r="K55" s="26"/>
      <c r="L55" s="26"/>
      <c r="M55" s="26"/>
      <c r="N55" s="45"/>
      <c r="O55" s="45"/>
      <c r="P55" s="45"/>
      <c r="Q55" s="45"/>
      <c r="R55" s="45"/>
      <c r="S55" s="45"/>
      <c r="T55" s="46"/>
      <c r="U55" s="46"/>
      <c r="V55" s="46"/>
      <c r="W55" s="46"/>
    </row>
    <row r="56" spans="3:23" ht="15" customHeight="1">
      <c r="C56" s="734" t="str">
        <f>IF(Indice_index!$Z$1=1,"Saldo primário","Primary balance")</f>
        <v>Saldo primário</v>
      </c>
      <c r="D56" s="735">
        <f t="shared" ref="D56:E56" si="42">+D51+D34</f>
        <v>-3826.0374300900357</v>
      </c>
      <c r="E56" s="735">
        <f t="shared" si="42"/>
        <v>-1138.2130229999857</v>
      </c>
      <c r="F56" s="735">
        <f t="shared" ref="F56:G56" si="43">+F51+F34</f>
        <v>-2580.4679736899707</v>
      </c>
      <c r="G56" s="735">
        <f t="shared" si="43"/>
        <v>2221.8198501899737</v>
      </c>
      <c r="H56" s="735"/>
      <c r="I56" s="735"/>
      <c r="J56" s="735"/>
      <c r="K56" s="26"/>
      <c r="L56" s="26"/>
      <c r="M56" s="26"/>
      <c r="N56" s="45"/>
      <c r="O56" s="45"/>
      <c r="P56" s="45"/>
      <c r="Q56" s="45"/>
      <c r="R56" s="45"/>
      <c r="S56" s="45"/>
      <c r="T56" s="46"/>
      <c r="U56" s="46"/>
      <c r="V56" s="46"/>
      <c r="W56" s="46"/>
    </row>
    <row r="57" spans="3:23" ht="4.5" customHeight="1">
      <c r="F57" s="42"/>
      <c r="G57" s="42"/>
      <c r="K57" s="24"/>
      <c r="L57" s="43"/>
      <c r="M57" s="45"/>
      <c r="N57" s="45"/>
      <c r="P57" s="45"/>
      <c r="Q57" s="45"/>
      <c r="R57" s="45"/>
      <c r="S57" s="45"/>
    </row>
    <row r="58" spans="3:23" ht="15" customHeight="1">
      <c r="C58" s="736" t="str">
        <f>IF(Indice_index!$Z$1=1,"Nota:","Note:")</f>
        <v>Nota:</v>
      </c>
      <c r="D58" s="63"/>
      <c r="E58" s="63"/>
      <c r="F58" s="53"/>
      <c r="G58" s="53"/>
      <c r="H58" s="53"/>
      <c r="I58" s="53"/>
      <c r="J58" s="53"/>
      <c r="K58" s="24"/>
      <c r="L58" s="43"/>
      <c r="M58" s="45"/>
      <c r="N58" s="45"/>
      <c r="P58" s="45"/>
      <c r="Q58" s="45"/>
      <c r="R58" s="45"/>
      <c r="S58" s="45"/>
    </row>
    <row r="59" spans="3:23" s="22" customFormat="1" ht="12.75" customHeight="1">
      <c r="C59" s="1691" t="str">
        <f>+'5 - Conta AC + SS'!$C$64</f>
        <v>Os dados de 2021 são mensalmente revistos e atualizados face ao publicado nas Sínteses de Execução Orçamental de 2021.</v>
      </c>
      <c r="D59" s="1691"/>
      <c r="E59" s="1691"/>
      <c r="F59" s="1691"/>
      <c r="G59" s="1691"/>
      <c r="H59" s="1691"/>
      <c r="I59" s="1691"/>
      <c r="J59" s="1691"/>
      <c r="P59" s="24"/>
      <c r="Q59" s="24"/>
    </row>
    <row r="60" spans="3:23" ht="4.5" customHeight="1">
      <c r="F60" s="42"/>
      <c r="G60" s="42"/>
      <c r="K60" s="24"/>
      <c r="L60" s="43"/>
      <c r="M60" s="45"/>
      <c r="N60" s="45"/>
      <c r="P60" s="45"/>
      <c r="Q60" s="45"/>
      <c r="R60" s="45"/>
      <c r="S60" s="45"/>
    </row>
    <row r="61" spans="3:23" s="48" customFormat="1" ht="15" customHeight="1">
      <c r="C61" s="114" t="str">
        <f>IF(Indice_index!$Z$1=1,"Fonte: Direção-Geral do Orçamento","Source: Budget General Directorate")</f>
        <v>Fonte: Direção-Geral do Orçamento</v>
      </c>
      <c r="D61" s="114"/>
      <c r="E61" s="114"/>
      <c r="F61" s="737"/>
      <c r="G61" s="737"/>
      <c r="H61" s="42"/>
      <c r="I61" s="678"/>
      <c r="L61" s="43"/>
      <c r="M61" s="45"/>
      <c r="N61" s="45"/>
    </row>
    <row r="62" spans="3:23" s="48" customFormat="1" ht="11.25" customHeight="1">
      <c r="F62" s="31"/>
      <c r="G62" s="31"/>
      <c r="H62" s="678"/>
      <c r="L62" s="43"/>
      <c r="M62" s="45"/>
      <c r="N62" s="45"/>
    </row>
    <row r="63" spans="3:23" s="48" customFormat="1" ht="11.25" customHeight="1">
      <c r="C63" s="1696"/>
      <c r="D63" s="1696"/>
      <c r="E63" s="1696"/>
      <c r="F63" s="1696"/>
      <c r="G63" s="1696"/>
      <c r="H63" s="1696"/>
      <c r="I63" s="1696"/>
      <c r="J63" s="1696"/>
      <c r="L63" s="43"/>
      <c r="M63" s="45"/>
      <c r="N63" s="45"/>
    </row>
    <row r="64" spans="3:23" s="48" customFormat="1" ht="11.25" customHeight="1">
      <c r="F64" s="31"/>
      <c r="G64" s="31"/>
      <c r="H64" s="31"/>
      <c r="I64" s="31"/>
      <c r="J64" s="31"/>
      <c r="L64" s="43"/>
      <c r="M64" s="45"/>
      <c r="N64" s="45"/>
    </row>
    <row r="65" spans="6:14" s="48" customFormat="1" ht="11.25" customHeight="1">
      <c r="F65" s="31"/>
      <c r="G65" s="31"/>
      <c r="H65" s="31"/>
      <c r="I65" s="31"/>
      <c r="J65" s="31"/>
      <c r="M65" s="45"/>
      <c r="N65" s="45"/>
    </row>
    <row r="66" spans="6:14" s="48" customFormat="1" ht="11.25" customHeight="1">
      <c r="F66" s="31"/>
      <c r="G66" s="31"/>
      <c r="H66" s="31"/>
      <c r="I66" s="31"/>
    </row>
    <row r="67" spans="6:14" s="48" customFormat="1" ht="11.25" customHeight="1">
      <c r="F67" s="31"/>
      <c r="G67" s="31"/>
      <c r="H67" s="31"/>
      <c r="I67" s="31"/>
    </row>
    <row r="68" spans="6:14" s="48" customFormat="1" ht="11.25" customHeight="1">
      <c r="F68" s="31"/>
      <c r="G68" s="31"/>
      <c r="H68" s="31"/>
      <c r="I68" s="31"/>
    </row>
    <row r="69" spans="6:14" s="48" customFormat="1" ht="11.25" customHeight="1">
      <c r="F69" s="31"/>
      <c r="G69" s="31"/>
      <c r="H69" s="31"/>
      <c r="I69" s="31"/>
    </row>
    <row r="70" spans="6:14" s="48" customFormat="1" ht="11.25" customHeight="1">
      <c r="F70" s="31"/>
      <c r="G70" s="31"/>
      <c r="H70" s="31"/>
      <c r="I70" s="31"/>
    </row>
    <row r="71" spans="6:14" s="48" customFormat="1" ht="11.25" customHeight="1">
      <c r="F71" s="31"/>
      <c r="G71" s="31"/>
      <c r="H71" s="31"/>
      <c r="I71" s="31"/>
    </row>
    <row r="72" spans="6:14" s="48" customFormat="1" ht="11.25" customHeight="1">
      <c r="F72" s="31"/>
      <c r="G72" s="31"/>
      <c r="H72" s="31"/>
      <c r="I72" s="31"/>
    </row>
    <row r="73" spans="6:14" s="48" customFormat="1" ht="11.25" customHeight="1">
      <c r="F73" s="31"/>
      <c r="G73" s="31"/>
      <c r="H73" s="31"/>
      <c r="I73" s="31"/>
    </row>
    <row r="74" spans="6:14" s="48" customFormat="1" ht="11.25" customHeight="1">
      <c r="H74" s="31"/>
    </row>
    <row r="75" spans="6:14" s="48" customFormat="1" ht="11.25" customHeight="1"/>
    <row r="76" spans="6:14" s="48" customFormat="1" ht="11.25" customHeight="1"/>
    <row r="77" spans="6:14" s="48" customFormat="1" ht="11.25" customHeight="1"/>
    <row r="78" spans="6:14" s="48" customFormat="1" ht="11.25" customHeight="1"/>
    <row r="79" spans="6:14" s="48" customFormat="1" ht="11.25" customHeight="1"/>
    <row r="80" spans="6:14" s="48" customFormat="1" ht="11.25" customHeight="1"/>
    <row r="81" s="48" customFormat="1" ht="11.25" customHeight="1"/>
    <row r="82" s="48" customFormat="1" ht="11.25" customHeight="1"/>
    <row r="83" s="48" customFormat="1" ht="11.25" customHeight="1"/>
    <row r="84" s="48" customFormat="1" ht="11.25" customHeight="1"/>
    <row r="85" s="48" customFormat="1" ht="11.25" customHeight="1"/>
    <row r="86" s="48" customFormat="1" ht="11.25" customHeight="1"/>
    <row r="87" s="48" customFormat="1" ht="11.25" customHeight="1"/>
    <row r="88" s="48" customFormat="1" ht="11.25" customHeight="1"/>
    <row r="89" s="48" customFormat="1" ht="11.25" customHeight="1"/>
    <row r="90" s="48" customFormat="1" ht="11.25" customHeight="1"/>
    <row r="91" s="48" customFormat="1" ht="11.25" customHeight="1"/>
    <row r="92" s="48" customFormat="1" ht="11.25" customHeight="1"/>
    <row r="93" s="48" customFormat="1" ht="11.25" customHeight="1"/>
    <row r="94" s="48" customFormat="1" ht="11.25" customHeight="1"/>
    <row r="95" s="48" customFormat="1" ht="11.25" customHeight="1"/>
    <row r="96" s="48" customFormat="1" ht="11.25" customHeight="1"/>
    <row r="97" spans="3:3" s="48" customFormat="1" ht="11.25" customHeight="1"/>
    <row r="98" spans="3:3" s="48" customFormat="1" ht="11.25" customHeight="1">
      <c r="C98" s="210"/>
    </row>
    <row r="99" spans="3:3" s="48" customFormat="1" ht="11.25" customHeight="1"/>
    <row r="100" spans="3:3" s="48" customFormat="1" ht="11.25" customHeight="1"/>
    <row r="101" spans="3:3" s="48" customFormat="1" ht="11.25" customHeight="1"/>
    <row r="102" spans="3:3" s="48" customFormat="1" ht="11.25" customHeight="1"/>
    <row r="103" spans="3:3" s="48" customFormat="1" ht="11.25" customHeight="1"/>
    <row r="104" spans="3:3" s="48" customFormat="1" ht="11.25" customHeight="1"/>
    <row r="105" spans="3:3" s="48" customFormat="1" ht="11.25" customHeight="1"/>
    <row r="106" spans="3:3" s="48" customFormat="1" ht="11.25" customHeight="1"/>
    <row r="107" spans="3:3" s="48" customFormat="1" ht="11.25" customHeight="1"/>
    <row r="108" spans="3:3" s="48" customFormat="1" ht="11.25" customHeight="1"/>
    <row r="109" spans="3:3" s="48" customFormat="1"/>
    <row r="110" spans="3:3" s="48" customFormat="1"/>
    <row r="111" spans="3:3" s="48" customFormat="1"/>
    <row r="112" spans="3:3" s="48" customFormat="1"/>
    <row r="113" spans="1:19" s="48" customFormat="1"/>
    <row r="114" spans="1:19" s="48" customFormat="1"/>
    <row r="115" spans="1:19" s="48" customFormat="1" ht="11.25" customHeight="1"/>
    <row r="116" spans="1:19" s="48" customFormat="1"/>
    <row r="117" spans="1:19" s="48" customFormat="1"/>
    <row r="118" spans="1:19" s="48" customFormat="1"/>
    <row r="119" spans="1:19" s="48" customFormat="1">
      <c r="A119" s="42"/>
      <c r="B119" s="42"/>
      <c r="C119" s="42"/>
      <c r="D119" s="42"/>
      <c r="E119" s="42"/>
      <c r="F119" s="42"/>
      <c r="G119" s="42"/>
      <c r="I119" s="42"/>
      <c r="J119" s="42"/>
      <c r="K119" s="42"/>
      <c r="M119" s="42"/>
      <c r="N119" s="42"/>
      <c r="O119" s="42"/>
      <c r="P119" s="42"/>
      <c r="Q119" s="42"/>
      <c r="R119" s="42"/>
      <c r="S119" s="42"/>
    </row>
    <row r="120" spans="1:19" s="48" customFormat="1">
      <c r="A120" s="42"/>
      <c r="B120" s="42"/>
      <c r="C120" s="42"/>
      <c r="D120" s="42"/>
      <c r="E120" s="42"/>
      <c r="F120" s="42"/>
      <c r="G120" s="42"/>
      <c r="H120" s="42"/>
      <c r="I120" s="42"/>
      <c r="J120" s="42"/>
      <c r="K120" s="42"/>
      <c r="L120" s="42"/>
      <c r="M120" s="42"/>
      <c r="N120" s="42"/>
      <c r="O120" s="42"/>
      <c r="P120" s="42"/>
      <c r="Q120" s="42"/>
      <c r="R120" s="42"/>
      <c r="S120" s="42"/>
    </row>
  </sheetData>
  <mergeCells count="4">
    <mergeCell ref="F5:G5"/>
    <mergeCell ref="I5:J5"/>
    <mergeCell ref="C63:J63"/>
    <mergeCell ref="C59:J59"/>
  </mergeCells>
  <printOptions horizontalCentered="1"/>
  <pageMargins left="0.70866141732283472" right="0.70866141732283472" top="0.74803149606299213" bottom="0.74803149606299213" header="0.74803149606299213" footer="0.35433070866141736"/>
  <pageSetup paperSize="9" scale="62" orientation="portrait" r:id="rId1"/>
  <headerFooter differentOddEven="1">
    <oddFooter>&amp;R&amp;G</oddFooter>
    <evenFooter>&amp;L&amp;G</evenFooter>
  </headerFooter>
  <ignoredErrors>
    <ignoredError sqref="A5:C6 A59:B59 D59 A60:C97 D60:D121 I59:J59 I60:J121 F59:G59 F60:G121 I1:J4 I122:XFD1048576 A8:C58 K60:XFD121 A99:C121 A98:B98 D8:D9 G5:H5 J5 E5:F5 I6:J58 I5 D48:D58 D5 A1:D4 A122:D1048576 A7:D7 E48:E56 E7:G9 D43:G43 D35:G35 D25:G29 D20:G20 D13:G13 D41:H41 D18:G18 F122:G1048576 F1:G4 F48:G58 H18:H28 K1:XFD59" unlockedFormula="1"/>
    <ignoredError sqref="D6:E6 F6:H6" numberStoredAsText="1" unlockedFormula="1"/>
  </ignoredErrors>
  <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olha11"/>
  <dimension ref="B1:S105"/>
  <sheetViews>
    <sheetView showGridLines="0" zoomScaleNormal="100" zoomScaleSheetLayoutView="100" workbookViewId="0">
      <selection activeCell="B2" sqref="B2"/>
    </sheetView>
  </sheetViews>
  <sheetFormatPr defaultColWidth="9.140625" defaultRowHeight="11.25"/>
  <cols>
    <col min="1" max="1" width="2.42578125" style="53" customWidth="1"/>
    <col min="2" max="2" width="4.42578125" style="53" customWidth="1"/>
    <col min="3" max="3" width="37.140625" style="63" customWidth="1"/>
    <col min="4" max="5" width="9.42578125" style="63" customWidth="1"/>
    <col min="6" max="10" width="9.42578125" style="53" customWidth="1"/>
    <col min="11" max="14" width="8.5703125" style="53" customWidth="1"/>
    <col min="15" max="16384" width="9.140625" style="53"/>
  </cols>
  <sheetData>
    <row r="1" spans="2:15" s="50" customFormat="1" ht="15" customHeight="1">
      <c r="B1" s="49"/>
      <c r="C1" s="49"/>
      <c r="D1" s="49"/>
      <c r="E1" s="49"/>
    </row>
    <row r="2" spans="2:15" ht="24" customHeight="1">
      <c r="B2" s="8"/>
      <c r="C2" s="51" t="str">
        <f>IF(Indice_index!$Z$1=1,"7 - Execução Orçamental do Estado","7 - State Budget Execution")</f>
        <v>7 - Execução Orçamental do Estado</v>
      </c>
      <c r="D2" s="51"/>
      <c r="E2" s="51"/>
      <c r="F2" s="51"/>
      <c r="G2" s="51"/>
      <c r="H2" s="51"/>
      <c r="I2" s="51"/>
      <c r="J2" s="51"/>
    </row>
    <row r="3" spans="2:15" ht="15" customHeight="1">
      <c r="C3" s="54"/>
      <c r="D3" s="54"/>
      <c r="E3" s="54"/>
    </row>
    <row r="4" spans="2:15" ht="15" customHeight="1">
      <c r="C4" s="53"/>
      <c r="D4" s="53"/>
      <c r="E4" s="53"/>
    </row>
    <row r="5" spans="2:15" s="272" customFormat="1" ht="15" customHeight="1">
      <c r="C5" s="741" t="str">
        <f>+'5 - Conta AC + SS'!C5</f>
        <v>Período: janeiro a julho</v>
      </c>
      <c r="D5" s="741"/>
      <c r="E5" s="741"/>
      <c r="F5" s="762"/>
      <c r="J5" s="707" t="str">
        <f>IF(Indice_index!$Z$1=1,"€ Milhões","€ Millions")</f>
        <v>€ Milhões</v>
      </c>
    </row>
    <row r="6" spans="2:15" ht="33" customHeight="1">
      <c r="C6" s="763"/>
      <c r="D6" s="709" t="str">
        <f>IF(Indice_index!$Z$1=1,"CGE","Final execution")</f>
        <v>CGE</v>
      </c>
      <c r="E6" s="709" t="str">
        <f>IF(Indice_index!$Z$1=1,"Orçamento Inicial","Budget")</f>
        <v>Orçamento Inicial</v>
      </c>
      <c r="F6" s="1697" t="str">
        <f>IF(Indice_index!$Z$1=1,"Execução Acumulada","Accumulated Execution")</f>
        <v>Execução Acumulada</v>
      </c>
      <c r="G6" s="1697"/>
      <c r="H6" s="764" t="str">
        <f>IF(Indice_index!$Z$1=1,"Grau de Execução (%)","Execution Degree (%)")</f>
        <v>Grau de Execução (%)</v>
      </c>
      <c r="I6" s="1694" t="str">
        <f>IF(Indice_index!$Z$1=1,"Variação Homóloga Acumulada","YOY Change Rate")</f>
        <v>Variação Homóloga Acumulada</v>
      </c>
      <c r="J6" s="1695"/>
    </row>
    <row r="7" spans="2:15" ht="33.75" customHeight="1">
      <c r="C7" s="765"/>
      <c r="D7" s="712" t="s">
        <v>67</v>
      </c>
      <c r="E7" s="712" t="s">
        <v>74</v>
      </c>
      <c r="F7" s="713" t="s">
        <v>67</v>
      </c>
      <c r="G7" s="713" t="s">
        <v>74</v>
      </c>
      <c r="H7" s="714" t="s">
        <v>74</v>
      </c>
      <c r="I7" s="714" t="str">
        <f>IF(Indice_index!$Z$1=1,"Relativa (%)","Relative change (%)")</f>
        <v>Relativa (%)</v>
      </c>
      <c r="J7" s="715" t="str">
        <f>IF(Indice_index!$Z$1=1,"Contributo VHA (p.p.)","YOY Change Rate Contrib. (p.p.)")</f>
        <v>Contributo VHA (p.p.)</v>
      </c>
    </row>
    <row r="8" spans="2:15" ht="4.5" customHeight="1">
      <c r="C8" s="475"/>
      <c r="D8" s="475"/>
      <c r="E8" s="475"/>
      <c r="F8" s="908"/>
      <c r="G8" s="908"/>
      <c r="H8" s="86"/>
      <c r="I8" s="86"/>
      <c r="J8" s="86"/>
    </row>
    <row r="9" spans="2:15" s="272" customFormat="1" ht="15" customHeight="1">
      <c r="C9" s="741" t="str">
        <f>IF(Indice_index!$Z$1=1,"Receita corrente","Current revenue")</f>
        <v>Receita corrente</v>
      </c>
      <c r="D9" s="902">
        <f>+D10+D13+D14+D15+D20+D21</f>
        <v>49989.363712130005</v>
      </c>
      <c r="E9" s="902">
        <f>+E10+E13+E14+E15+E20+E21</f>
        <v>53187.510257999995</v>
      </c>
      <c r="F9" s="902">
        <f>+F10+F13+F14+F15+F20+F21</f>
        <v>25614.115232600001</v>
      </c>
      <c r="G9" s="902">
        <f>+G10+G13+G14+G15+G20+G21</f>
        <v>30931.389778309993</v>
      </c>
      <c r="H9" s="742">
        <f>IFERROR(IF(G9/E9*100&lt;-500,"-",IF(G9/E9*100&gt;500,"-",G9/E9*100)),"-")</f>
        <v>58.155363220179247</v>
      </c>
      <c r="I9" s="742">
        <f>IF(IFERROR((G9-F9)/F9*100,"")&gt;500,"-",IFERROR((G9-F9)/F9*100,""))</f>
        <v>20.759157587229506</v>
      </c>
      <c r="J9" s="742">
        <f t="shared" ref="J9:J20" si="0">IFERROR((G9-F9)/$F$32*100,"-")</f>
        <v>20.707413185247994</v>
      </c>
      <c r="K9" s="274"/>
      <c r="M9" s="275"/>
      <c r="N9" s="276"/>
      <c r="O9" s="276"/>
    </row>
    <row r="10" spans="2:15" ht="15" customHeight="1">
      <c r="C10" s="743" t="str">
        <f>IF(Indice_index!$Z$1=1,"Receita Fiscal","Tax")</f>
        <v>Receita Fiscal</v>
      </c>
      <c r="D10" s="903">
        <f t="shared" ref="D10:E10" si="1">SUM(D11:D12)</f>
        <v>45591.223834090008</v>
      </c>
      <c r="E10" s="903">
        <f t="shared" si="1"/>
        <v>48591.105513000002</v>
      </c>
      <c r="F10" s="903">
        <f t="shared" ref="F10" si="2">SUM(F11:F12)</f>
        <v>23157.140848410003</v>
      </c>
      <c r="G10" s="903">
        <f t="shared" ref="G10" si="3">SUM(G11:G12)</f>
        <v>28156.054557239997</v>
      </c>
      <c r="H10" s="904">
        <f t="shared" ref="H10:H29" si="4">IFERROR(IF(G10/E10*100&lt;-500,"-",IF(G10/E10*100&gt;500,"-",G10/E10*100)),"-")</f>
        <v>57.94487336721977</v>
      </c>
      <c r="I10" s="904">
        <f t="shared" ref="I10:I20" si="5">IF(IFERROR((G10-F10)/F10*100,"")&gt;500,"-",IFERROR((G10-F10)/F10*100,""))</f>
        <v>21.586921034654523</v>
      </c>
      <c r="J10" s="904">
        <f t="shared" si="0"/>
        <v>19.467599567462493</v>
      </c>
      <c r="K10" s="57"/>
      <c r="M10" s="58"/>
      <c r="N10" s="59"/>
      <c r="O10" s="59"/>
    </row>
    <row r="11" spans="2:15" ht="15" customHeight="1">
      <c r="C11" s="738" t="str">
        <f>IF(Indice_index!$Z$1=1,"Impostos diretos","Direct taxes")</f>
        <v>Impostos diretos</v>
      </c>
      <c r="D11" s="739">
        <f>+'8 - R_Est'!D10</f>
        <v>19956.94299525</v>
      </c>
      <c r="E11" s="739">
        <f>+'8 - R_Est'!E10</f>
        <v>20904.899710000002</v>
      </c>
      <c r="F11" s="739">
        <f>+'8 - R_Est'!F10</f>
        <v>9499.6362817300014</v>
      </c>
      <c r="G11" s="739">
        <f>+'8 - R_Est'!G10</f>
        <v>11970.641093509999</v>
      </c>
      <c r="H11" s="740">
        <f t="shared" si="4"/>
        <v>57.262370351309364</v>
      </c>
      <c r="I11" s="740">
        <f t="shared" si="5"/>
        <v>26.011572848660659</v>
      </c>
      <c r="J11" s="740">
        <f t="shared" si="0"/>
        <v>9.622997116360505</v>
      </c>
      <c r="K11" s="57"/>
      <c r="M11" s="58"/>
      <c r="N11" s="59"/>
      <c r="O11" s="59"/>
    </row>
    <row r="12" spans="2:15" ht="15" customHeight="1">
      <c r="C12" s="738" t="str">
        <f>IF(Indice_index!$Z$1=1,"Impostos indiretos","Indirect taxes")</f>
        <v>Impostos indiretos</v>
      </c>
      <c r="D12" s="739">
        <f>+'8 - R_Est'!D14</f>
        <v>25634.280838840004</v>
      </c>
      <c r="E12" s="739">
        <f>+'8 - R_Est'!E14</f>
        <v>27686.205802999997</v>
      </c>
      <c r="F12" s="739">
        <f>+'8 - R_Est'!F14</f>
        <v>13657.50456668</v>
      </c>
      <c r="G12" s="739">
        <f>+'8 - R_Est'!G14</f>
        <v>16185.413463729998</v>
      </c>
      <c r="H12" s="740">
        <f t="shared" si="4"/>
        <v>58.460207869928468</v>
      </c>
      <c r="I12" s="740">
        <f t="shared" si="5"/>
        <v>18.50930296020034</v>
      </c>
      <c r="J12" s="740">
        <f t="shared" si="0"/>
        <v>9.8446024511019967</v>
      </c>
      <c r="K12" s="57"/>
      <c r="M12" s="58"/>
      <c r="N12" s="59"/>
      <c r="O12" s="59"/>
    </row>
    <row r="13" spans="2:15" ht="15" customHeight="1">
      <c r="C13" s="743" t="str">
        <f>IF(Indice_index!$Z$1=1,"Contribuições para Segurança Social, CGA e ADSE","Social security, CGA and ADSE contributions")</f>
        <v>Contribuições para Segurança Social, CGA e ADSE</v>
      </c>
      <c r="D13" s="739">
        <f>+'8 - R_Est'!D24</f>
        <v>66.578526589999996</v>
      </c>
      <c r="E13" s="739">
        <f>+'8 - R_Est'!E24</f>
        <v>75.073003999999997</v>
      </c>
      <c r="F13" s="739">
        <f>+'8 - R_Est'!F24</f>
        <v>37.152121209999997</v>
      </c>
      <c r="G13" s="739">
        <f>+'8 - R_Est'!G24</f>
        <v>39.057319120000002</v>
      </c>
      <c r="H13" s="740">
        <f t="shared" si="4"/>
        <v>52.025784288583957</v>
      </c>
      <c r="I13" s="740">
        <f t="shared" si="5"/>
        <v>5.1280999521696096</v>
      </c>
      <c r="J13" s="740">
        <f t="shared" si="0"/>
        <v>7.4195379574430497E-3</v>
      </c>
      <c r="K13" s="57"/>
      <c r="M13" s="58"/>
      <c r="N13" s="59"/>
      <c r="O13" s="59"/>
    </row>
    <row r="14" spans="2:15" ht="15" customHeight="1">
      <c r="C14" s="743" t="str">
        <f>IF(Indice_index!$Z$1=1,"Taxas, Multas e Outras Penalidades","Taxes, fines and other penalties")</f>
        <v>Taxas, Multas e Outras Penalidades</v>
      </c>
      <c r="D14" s="739">
        <f>+'8 - R_Est'!D30</f>
        <v>857.09185406000006</v>
      </c>
      <c r="E14" s="739">
        <f>+'8 - R_Est'!E30</f>
        <v>1005.0051129999999</v>
      </c>
      <c r="F14" s="739">
        <f>+'8 - R_Est'!F30</f>
        <v>442.81277368999997</v>
      </c>
      <c r="G14" s="739">
        <f>+'8 - R_Est'!G30</f>
        <v>566.68861211000001</v>
      </c>
      <c r="H14" s="740">
        <f t="shared" si="4"/>
        <v>56.386639707573316</v>
      </c>
      <c r="I14" s="740">
        <f t="shared" si="5"/>
        <v>27.974766262438898</v>
      </c>
      <c r="J14" s="740">
        <f t="shared" si="0"/>
        <v>0.48241785293962958</v>
      </c>
      <c r="K14" s="57"/>
      <c r="M14" s="58"/>
      <c r="N14" s="59"/>
      <c r="O14" s="59"/>
    </row>
    <row r="15" spans="2:15" ht="15" customHeight="1">
      <c r="C15" s="743" t="str">
        <f>IF(Indice_index!$Z$1=1,"Transferências Correntes","Current transfers")</f>
        <v>Transferências Correntes</v>
      </c>
      <c r="D15" s="739">
        <f>SUM(D16:D19)</f>
        <v>1214.3733370100001</v>
      </c>
      <c r="E15" s="739">
        <f>SUM(E16:E19)</f>
        <v>1338.8009099999999</v>
      </c>
      <c r="F15" s="739">
        <f>SUM(F16:F19)</f>
        <v>699.28612495999994</v>
      </c>
      <c r="G15" s="739">
        <f>SUM(G16:G19)</f>
        <v>551.11108692000005</v>
      </c>
      <c r="H15" s="740">
        <f t="shared" si="4"/>
        <v>41.164528855899874</v>
      </c>
      <c r="I15" s="740">
        <f t="shared" si="5"/>
        <v>-21.189472056016513</v>
      </c>
      <c r="J15" s="740">
        <f t="shared" si="0"/>
        <v>-0.57704782968365942</v>
      </c>
      <c r="K15" s="57"/>
      <c r="M15" s="58"/>
      <c r="N15" s="59"/>
      <c r="O15" s="59"/>
    </row>
    <row r="16" spans="2:15" ht="15" customHeight="1">
      <c r="C16" s="738" t="str">
        <f>IF(Indice_index!$Z$1=1,"Administração Central","Central Administration")</f>
        <v>Administração Central</v>
      </c>
      <c r="D16" s="739">
        <f>+'8 - R_Est'!D40</f>
        <v>528.42067895000002</v>
      </c>
      <c r="E16" s="739">
        <f>+'8 - R_Est'!E40</f>
        <v>559.4232750000001</v>
      </c>
      <c r="F16" s="739">
        <f>+'8 - R_Est'!F40</f>
        <v>269.97812766000004</v>
      </c>
      <c r="G16" s="739">
        <f>+'8 - R_Est'!G40</f>
        <v>229.44389605999996</v>
      </c>
      <c r="H16" s="904">
        <f t="shared" si="4"/>
        <v>41.014363597939308</v>
      </c>
      <c r="I16" s="904">
        <f t="shared" si="5"/>
        <v>-15.013894625955521</v>
      </c>
      <c r="J16" s="904">
        <f t="shared" si="0"/>
        <v>-0.15785513324019304</v>
      </c>
      <c r="K16" s="57"/>
      <c r="M16" s="58"/>
      <c r="N16" s="59"/>
      <c r="O16" s="59"/>
    </row>
    <row r="17" spans="3:15" ht="15" customHeight="1">
      <c r="C17" s="905" t="str">
        <f>IF(Indice_index!$Z$1=1,"Outros subsectores das AP","Other General Government subsectors")</f>
        <v>Outros subsectores das AP</v>
      </c>
      <c r="D17" s="739">
        <f>+'8 - R_Est'!D41</f>
        <v>215.78015270999998</v>
      </c>
      <c r="E17" s="739">
        <f>+'8 - R_Est'!E41</f>
        <v>260.91179099999999</v>
      </c>
      <c r="F17" s="739">
        <f>+'8 - R_Est'!F41</f>
        <v>121.62167019999998</v>
      </c>
      <c r="G17" s="739">
        <f>+'8 - R_Est'!G41</f>
        <v>157.07006742000002</v>
      </c>
      <c r="H17" s="904">
        <f t="shared" si="4"/>
        <v>60.20044813536235</v>
      </c>
      <c r="I17" s="904">
        <f t="shared" si="5"/>
        <v>29.14644829470533</v>
      </c>
      <c r="J17" s="904">
        <f t="shared" si="0"/>
        <v>0.13804903276652669</v>
      </c>
      <c r="K17" s="57"/>
      <c r="M17" s="58"/>
      <c r="N17" s="59"/>
      <c r="O17" s="59"/>
    </row>
    <row r="18" spans="3:15" ht="15" customHeight="1">
      <c r="C18" s="738" t="str">
        <f>IF(Indice_index!$Z$1=1,"União Europeia","European Union")</f>
        <v>União Europeia</v>
      </c>
      <c r="D18" s="739">
        <f>+'8 - R_Est'!D42</f>
        <v>456.44551322000001</v>
      </c>
      <c r="E18" s="739">
        <f>+'8 - R_Est'!E42</f>
        <v>485.50868800000001</v>
      </c>
      <c r="F18" s="739">
        <f>+'8 - R_Est'!F42</f>
        <v>298.16771333999998</v>
      </c>
      <c r="G18" s="739">
        <f>+'8 - R_Est'!G42</f>
        <v>150.39865816</v>
      </c>
      <c r="H18" s="904">
        <f t="shared" si="4"/>
        <v>30.977542086744286</v>
      </c>
      <c r="I18" s="904">
        <f t="shared" si="5"/>
        <v>-49.55903961724362</v>
      </c>
      <c r="J18" s="904">
        <f t="shared" si="0"/>
        <v>-0.57546678383848493</v>
      </c>
      <c r="K18" s="57"/>
      <c r="M18" s="58"/>
      <c r="N18" s="59"/>
      <c r="O18" s="59"/>
    </row>
    <row r="19" spans="3:15" ht="15" customHeight="1">
      <c r="C19" s="905" t="str">
        <f>IF(Indice_index!$Z$1=1,"Outras transferências","Other transfers")</f>
        <v>Outras transferências</v>
      </c>
      <c r="D19" s="739">
        <f>+'8 - R_Est'!D43</f>
        <v>13.726992130000001</v>
      </c>
      <c r="E19" s="739">
        <f>+'8 - R_Est'!E43</f>
        <v>32.957155999999998</v>
      </c>
      <c r="F19" s="739">
        <f>+'8 - R_Est'!F43</f>
        <v>9.5186137599999991</v>
      </c>
      <c r="G19" s="739">
        <f>+'8 - R_Est'!G43</f>
        <v>14.198465280000001</v>
      </c>
      <c r="H19" s="904">
        <f t="shared" si="4"/>
        <v>43.081585316402915</v>
      </c>
      <c r="I19" s="904">
        <f t="shared" si="5"/>
        <v>49.165263325066377</v>
      </c>
      <c r="J19" s="904">
        <f t="shared" si="0"/>
        <v>1.8225054628491309E-2</v>
      </c>
      <c r="K19" s="57"/>
      <c r="M19" s="58"/>
      <c r="N19" s="59"/>
      <c r="O19" s="59"/>
    </row>
    <row r="20" spans="3:15" ht="15" customHeight="1">
      <c r="C20" s="743" t="str">
        <f>IF(Indice_index!$Z$1=1,"Outras Receitas Correntes","Other current revenue")</f>
        <v>Outras Receitas Correntes</v>
      </c>
      <c r="D20" s="739">
        <f>'8 - R_Est'!D35+'8 - R_Est'!D44+'8 - R_Est'!D45+'8 - R_Est'!D49+'8 - R_Est'!D50</f>
        <v>2260.0917186399997</v>
      </c>
      <c r="E20" s="739">
        <f>'8 - R_Est'!E35+'8 - R_Est'!E44+'8 - R_Est'!E45+'8 - R_Est'!E49+'8 - R_Est'!E50</f>
        <v>2175.6270149999996</v>
      </c>
      <c r="F20" s="739">
        <f>'8 - R_Est'!F35+'8 - R_Est'!F44+'8 - R_Est'!F45+'8 - R_Est'!F49+'8 - R_Est'!F50</f>
        <v>1277.7209160099999</v>
      </c>
      <c r="G20" s="739">
        <f>'8 - R_Est'!G35+'8 - R_Est'!G44+'8 - R_Est'!G45+'8 - R_Est'!G49+'8 - R_Est'!G50</f>
        <v>1610.8452125099998</v>
      </c>
      <c r="H20" s="740">
        <f t="shared" si="4"/>
        <v>74.04050425021957</v>
      </c>
      <c r="I20" s="740">
        <f t="shared" si="5"/>
        <v>26.071757323990834</v>
      </c>
      <c r="J20" s="740">
        <f t="shared" si="0"/>
        <v>1.2973079329213912</v>
      </c>
      <c r="K20" s="57"/>
      <c r="M20" s="58"/>
      <c r="N20" s="59"/>
      <c r="O20" s="59"/>
    </row>
    <row r="21" spans="3:15" ht="15" customHeight="1">
      <c r="C21" s="744" t="str">
        <f>IF(Indice_index!$Z$1=1,"Diferenças de consolidação","Consolidation differences")</f>
        <v>Diferenças de consolidação</v>
      </c>
      <c r="D21" s="739">
        <f>+'8 - R_Est'!D51</f>
        <v>4.4417399999999996E-3</v>
      </c>
      <c r="E21" s="739">
        <f>+'8 - R_Est'!E51</f>
        <v>1.898703</v>
      </c>
      <c r="F21" s="739">
        <f>+'8 - R_Est'!F51</f>
        <v>2.4483199999999999E-3</v>
      </c>
      <c r="G21" s="739">
        <f>+'8 - R_Est'!G51</f>
        <v>7.6329904099999997</v>
      </c>
      <c r="H21" s="740"/>
      <c r="I21" s="740"/>
      <c r="J21" s="740"/>
      <c r="K21" s="57"/>
      <c r="M21" s="58"/>
      <c r="N21" s="59"/>
      <c r="O21" s="59"/>
    </row>
    <row r="22" spans="3:15" s="272" customFormat="1" ht="15" customHeight="1">
      <c r="C22" s="741" t="str">
        <f>IF(Indice_index!$Z$1=1,"Receita de capital","Capital revenue")</f>
        <v>Receita de capital</v>
      </c>
      <c r="D22" s="902">
        <f t="shared" ref="D22:E22" si="6">D23+D24+D29+D30</f>
        <v>84.767693959999988</v>
      </c>
      <c r="E22" s="902">
        <f t="shared" si="6"/>
        <v>530.07363999999995</v>
      </c>
      <c r="F22" s="902">
        <f t="shared" ref="F22" si="7">F23+F24+F29+F30</f>
        <v>64.005439170000002</v>
      </c>
      <c r="G22" s="902">
        <f t="shared" ref="G22" si="8">G23+G24+G29+G30</f>
        <v>278.85643776000001</v>
      </c>
      <c r="H22" s="742">
        <f t="shared" si="4"/>
        <v>52.607112807948731</v>
      </c>
      <c r="I22" s="742">
        <f t="shared" ref="I22:I29" si="9">IF(IFERROR((G22-F22)/F22*100,"")&gt;500,"-",IFERROR((G22-F22)/F22*100,""))</f>
        <v>335.67615717681514</v>
      </c>
      <c r="J22" s="742">
        <f t="shared" ref="J22:J29" si="10">IFERROR((G22-F22)/$F$32*100,"-")</f>
        <v>0.83670842323832051</v>
      </c>
      <c r="K22" s="274"/>
      <c r="M22" s="275"/>
      <c r="N22" s="276"/>
      <c r="O22" s="276"/>
    </row>
    <row r="23" spans="3:15" ht="15" customHeight="1">
      <c r="C23" s="743" t="str">
        <f>IF(Indice_index!$Z$1=1,"Venda de bens de investimento","Sale of investment goods")</f>
        <v>Venda de bens de investimento</v>
      </c>
      <c r="D23" s="90">
        <f>+'8 - R_Est'!D53</f>
        <v>36.8988175</v>
      </c>
      <c r="E23" s="90">
        <f>+'8 - R_Est'!E53</f>
        <v>53.822319</v>
      </c>
      <c r="F23" s="90">
        <f>+'8 - R_Est'!F53</f>
        <v>30.722280609999999</v>
      </c>
      <c r="G23" s="90">
        <f>+'8 - R_Est'!G53</f>
        <v>33.67608027</v>
      </c>
      <c r="H23" s="906">
        <f t="shared" si="4"/>
        <v>62.568987913731476</v>
      </c>
      <c r="I23" s="906">
        <f t="shared" si="9"/>
        <v>9.6145194996967422</v>
      </c>
      <c r="J23" s="907">
        <f t="shared" si="10"/>
        <v>1.150317695658837E-2</v>
      </c>
      <c r="K23" s="57"/>
      <c r="M23" s="58"/>
      <c r="N23" s="59"/>
      <c r="O23" s="59"/>
    </row>
    <row r="24" spans="3:15" ht="15" customHeight="1">
      <c r="C24" s="743" t="str">
        <f>IF(Indice_index!$Z$1=1,"Transferências de capital","Capital transfers")</f>
        <v>Transferências de capital</v>
      </c>
      <c r="D24" s="739">
        <f t="shared" ref="D24:E24" si="11">SUM(D25:D28)</f>
        <v>45.685864639999998</v>
      </c>
      <c r="E24" s="739">
        <f t="shared" si="11"/>
        <v>469.99793599999998</v>
      </c>
      <c r="F24" s="739">
        <f t="shared" ref="F24" si="12">SUM(F25:F28)</f>
        <v>24.367803729999999</v>
      </c>
      <c r="G24" s="739">
        <f t="shared" ref="G24" si="13">SUM(G25:G28)</f>
        <v>232.92298134999999</v>
      </c>
      <c r="H24" s="740">
        <f t="shared" si="4"/>
        <v>49.558298773039716</v>
      </c>
      <c r="I24" s="740" t="str">
        <f t="shared" si="9"/>
        <v>-</v>
      </c>
      <c r="J24" s="740">
        <f t="shared" si="10"/>
        <v>0.81219019213225085</v>
      </c>
      <c r="K24" s="57"/>
      <c r="M24" s="58"/>
      <c r="N24" s="59"/>
      <c r="O24" s="59"/>
    </row>
    <row r="25" spans="3:15" ht="15" customHeight="1">
      <c r="C25" s="738" t="str">
        <f>IF(Indice_index!$Z$1=1,"Administração Central","Central Administration")</f>
        <v>Administração Central</v>
      </c>
      <c r="D25" s="739">
        <f>+'8 - R_Est'!D55</f>
        <v>17.407786689999998</v>
      </c>
      <c r="E25" s="739">
        <f>+'8 - R_Est'!E55</f>
        <v>33.988917999999998</v>
      </c>
      <c r="F25" s="739">
        <f>+'8 - R_Est'!F55</f>
        <v>7.4140094699999999</v>
      </c>
      <c r="G25" s="739">
        <f>+'8 - R_Est'!G55</f>
        <v>8.0433720300000004</v>
      </c>
      <c r="H25" s="740">
        <f t="shared" si="4"/>
        <v>23.664689855675903</v>
      </c>
      <c r="I25" s="740">
        <f t="shared" si="9"/>
        <v>8.4888286499585579</v>
      </c>
      <c r="J25" s="740">
        <f t="shared" si="10"/>
        <v>2.4509681531791729E-3</v>
      </c>
      <c r="K25" s="57"/>
      <c r="M25" s="58"/>
      <c r="N25" s="59"/>
      <c r="O25" s="59"/>
    </row>
    <row r="26" spans="3:15" ht="15" customHeight="1">
      <c r="C26" s="738" t="str">
        <f>IF(Indice_index!$Z$1=1,"Outros subsectores das AP","Other General Government subsectors")</f>
        <v>Outros subsectores das AP</v>
      </c>
      <c r="D26" s="739">
        <f>+'8 - R_Est'!D56</f>
        <v>3.0124069999999999E-2</v>
      </c>
      <c r="E26" s="739">
        <f>+'8 - R_Est'!E56</f>
        <v>0</v>
      </c>
      <c r="F26" s="739">
        <f>+'8 - R_Est'!F56</f>
        <v>1.2405589999999999E-2</v>
      </c>
      <c r="G26" s="739">
        <f>+'8 - R_Est'!G56</f>
        <v>1.867427E-2</v>
      </c>
      <c r="H26" s="740" t="str">
        <f t="shared" si="4"/>
        <v>-</v>
      </c>
      <c r="I26" s="740">
        <f t="shared" si="9"/>
        <v>50.531091225810307</v>
      </c>
      <c r="J26" s="740">
        <f t="shared" si="10"/>
        <v>2.4412534235387634E-5</v>
      </c>
      <c r="K26" s="57"/>
      <c r="M26" s="58"/>
      <c r="N26" s="59"/>
      <c r="O26" s="59"/>
    </row>
    <row r="27" spans="3:15" ht="15" customHeight="1">
      <c r="C27" s="738" t="str">
        <f>IF(Indice_index!$Z$1=1,"União Europeia","European Union")</f>
        <v>União Europeia</v>
      </c>
      <c r="D27" s="739">
        <f>+'8 - R_Est'!D57</f>
        <v>18.856822619999999</v>
      </c>
      <c r="E27" s="739">
        <f>+'8 - R_Est'!E57</f>
        <v>435.52218199999999</v>
      </c>
      <c r="F27" s="739">
        <f>+'8 - R_Est'!F57</f>
        <v>8.8468693999999992</v>
      </c>
      <c r="G27" s="739">
        <f>+'8 - R_Est'!G57</f>
        <v>222.83810559</v>
      </c>
      <c r="H27" s="740">
        <f t="shared" si="4"/>
        <v>51.165730426561829</v>
      </c>
      <c r="I27" s="740" t="str">
        <f t="shared" si="9"/>
        <v>-</v>
      </c>
      <c r="J27" s="740">
        <f t="shared" si="10"/>
        <v>0.83336019378262971</v>
      </c>
      <c r="K27" s="57"/>
      <c r="M27" s="58"/>
      <c r="N27" s="59"/>
      <c r="O27" s="59"/>
    </row>
    <row r="28" spans="3:15" ht="15" customHeight="1">
      <c r="C28" s="738" t="str">
        <f>IF(Indice_index!$Z$1=1,"Outras transferências","Other transfers")</f>
        <v>Outras transferências</v>
      </c>
      <c r="D28" s="739">
        <f>+'8 - R_Est'!D58</f>
        <v>9.3911312599999999</v>
      </c>
      <c r="E28" s="739">
        <f>+'8 - R_Est'!E58</f>
        <v>0.48683600000000005</v>
      </c>
      <c r="F28" s="739">
        <f>+'8 - R_Est'!F58</f>
        <v>8.0945192699999993</v>
      </c>
      <c r="G28" s="739">
        <f>+'8 - R_Est'!G58</f>
        <v>2.0228294600000001</v>
      </c>
      <c r="H28" s="740">
        <f t="shared" si="4"/>
        <v>415.50531595855682</v>
      </c>
      <c r="I28" s="740">
        <f t="shared" si="9"/>
        <v>-75.009887647101735</v>
      </c>
      <c r="J28" s="740">
        <f t="shared" si="10"/>
        <v>-2.3645382337793473E-2</v>
      </c>
      <c r="K28" s="57"/>
      <c r="M28" s="58"/>
      <c r="N28" s="59"/>
      <c r="O28" s="59"/>
    </row>
    <row r="29" spans="3:15" ht="15" customHeight="1">
      <c r="C29" s="743" t="str">
        <f>IF(Indice_index!$Z$1=1,"Outras Receitas de Capital","Other capital revenue")</f>
        <v>Outras Receitas de Capital</v>
      </c>
      <c r="D29" s="739">
        <f>+'8 - R_Est'!D59</f>
        <v>1.50296685</v>
      </c>
      <c r="E29" s="739">
        <f>+'8 - R_Est'!E59</f>
        <v>6.2533849999999997</v>
      </c>
      <c r="F29" s="739">
        <f>+'8 - R_Est'!F59</f>
        <v>7.9932602599999996</v>
      </c>
      <c r="G29" s="739">
        <f>+'8 - R_Est'!G59</f>
        <v>12.25737614</v>
      </c>
      <c r="H29" s="907">
        <f t="shared" si="4"/>
        <v>196.01185821758935</v>
      </c>
      <c r="I29" s="907">
        <f t="shared" si="9"/>
        <v>53.346391100744675</v>
      </c>
      <c r="J29" s="907">
        <f t="shared" si="10"/>
        <v>1.6606027888512426E-2</v>
      </c>
      <c r="K29" s="57"/>
      <c r="M29" s="58"/>
      <c r="N29" s="59"/>
      <c r="O29" s="59"/>
    </row>
    <row r="30" spans="3:15" ht="15" customHeight="1">
      <c r="C30" s="744" t="str">
        <f>IF(Indice_index!$Z$1=1,"Diferenças de consolidação","Consolidation differences")</f>
        <v>Diferenças de consolidação</v>
      </c>
      <c r="D30" s="739">
        <f>+'8 - R_Est'!D60</f>
        <v>0.68004496999999997</v>
      </c>
      <c r="E30" s="739">
        <f>+'8 - R_Est'!E60</f>
        <v>0</v>
      </c>
      <c r="F30" s="739">
        <f>+'8 - R_Est'!F60</f>
        <v>0.92209457000000006</v>
      </c>
      <c r="G30" s="739">
        <f>+'8 - R_Est'!G60</f>
        <v>0</v>
      </c>
      <c r="H30" s="740"/>
      <c r="I30" s="740"/>
      <c r="J30" s="739"/>
      <c r="K30" s="57"/>
      <c r="M30" s="58"/>
      <c r="N30" s="59"/>
      <c r="O30" s="59"/>
    </row>
    <row r="31" spans="3:15" ht="4.5" customHeight="1">
      <c r="C31" s="738"/>
      <c r="D31" s="740"/>
      <c r="E31" s="740"/>
      <c r="F31" s="740"/>
      <c r="G31" s="740"/>
      <c r="H31" s="740"/>
      <c r="I31" s="740"/>
      <c r="J31" s="740"/>
      <c r="K31" s="57"/>
      <c r="M31" s="58"/>
      <c r="N31" s="59"/>
      <c r="O31" s="59"/>
    </row>
    <row r="32" spans="3:15" s="272" customFormat="1" ht="15" customHeight="1">
      <c r="C32" s="748" t="str">
        <f>IF(Indice_index!$Z$1=1,"Receita efetiva","Effective revenue")</f>
        <v>Receita efetiva</v>
      </c>
      <c r="D32" s="750">
        <f>+D9+D22</f>
        <v>50074.131406090004</v>
      </c>
      <c r="E32" s="750">
        <f>+E9+E22</f>
        <v>53717.583897999997</v>
      </c>
      <c r="F32" s="750">
        <f>+F9+F22</f>
        <v>25678.120671770001</v>
      </c>
      <c r="G32" s="750">
        <f>+G9+G22</f>
        <v>31210.246216069994</v>
      </c>
      <c r="H32" s="750">
        <f>IFERROR(IF(G32/E32*100&lt;-500,"-",IF(G32/E32*100&gt;500,"-",G32/E32*100)),"-")</f>
        <v>58.100614270613185</v>
      </c>
      <c r="I32" s="750">
        <f>IFERROR((G32-F32)/F32*100,"-")</f>
        <v>21.544121608486321</v>
      </c>
      <c r="J32" s="750"/>
      <c r="K32" s="274"/>
      <c r="M32" s="275"/>
      <c r="N32" s="276"/>
      <c r="O32" s="276"/>
    </row>
    <row r="33" spans="3:12" ht="4.5" customHeight="1">
      <c r="C33" s="738"/>
      <c r="D33" s="739"/>
      <c r="E33" s="739"/>
      <c r="F33" s="739"/>
      <c r="G33" s="739"/>
      <c r="H33" s="740"/>
      <c r="I33" s="740"/>
      <c r="J33" s="740"/>
      <c r="K33" s="57"/>
    </row>
    <row r="34" spans="3:12" s="272" customFormat="1" ht="15" customHeight="1">
      <c r="C34" s="741" t="str">
        <f>IF(Indice_index!$Z$1=1,"Despesa corrente","Current Expenditure")</f>
        <v>Despesa corrente</v>
      </c>
      <c r="D34" s="742">
        <f>+D35+D39+D40+D41+D46+D47+D48</f>
        <v>56311.346025609979</v>
      </c>
      <c r="E34" s="742">
        <f>+E35+E39+E40+E41+E46+E47+E48</f>
        <v>57314.736388999991</v>
      </c>
      <c r="F34" s="742">
        <f>+F35+F39+F40+F41+F46+F47+F48</f>
        <v>31385.274660089995</v>
      </c>
      <c r="G34" s="742">
        <f>+G35+G39+G40+G41+G46+G47+G48</f>
        <v>32478.508796530001</v>
      </c>
      <c r="H34" s="742">
        <f>IFERROR(IF(G34/E34*100&lt;-500,"-",IF(G34/E34*100&gt;500,"-",G34/E34*100)),"-")</f>
        <v>56.666942644725083</v>
      </c>
      <c r="I34" s="742">
        <f t="shared" ref="I34:I47" si="14">IF(IFERROR((G34-F34)/F34*100,"")&gt;500,"-",IFERROR((G34-F34)/F34*100,""))</f>
        <v>3.4832708914610171</v>
      </c>
      <c r="J34" s="742">
        <f t="shared" ref="J34:J46" si="15">IFERROR((G34-F34)/$F$59*100,"-")</f>
        <v>3.2875618817913494</v>
      </c>
      <c r="K34" s="274"/>
    </row>
    <row r="35" spans="3:12" ht="15" customHeight="1">
      <c r="C35" s="743" t="str">
        <f>IF(Indice_index!$Z$1=1,"Despesas com o pessoal","Employees")</f>
        <v>Despesas com o pessoal</v>
      </c>
      <c r="D35" s="739">
        <f t="shared" ref="D35:E35" si="16">SUM(D36:D38)</f>
        <v>10187.270213329986</v>
      </c>
      <c r="E35" s="739">
        <f t="shared" si="16"/>
        <v>10016.221926</v>
      </c>
      <c r="F35" s="739">
        <f>SUM(F36:F38)</f>
        <v>5824.0367275400013</v>
      </c>
      <c r="G35" s="739">
        <f t="shared" ref="G35" si="17">SUM(G36:G38)</f>
        <v>5821.4795363000012</v>
      </c>
      <c r="H35" s="740">
        <f t="shared" ref="H35:H56" si="18">IFERROR(IF(G35/E35*100&lt;-500,"-",IF(G35/E35*100&gt;500,"-",G35/E35*100)),"-")</f>
        <v>58.120512697394091</v>
      </c>
      <c r="I35" s="740">
        <f t="shared" si="14"/>
        <v>-4.390753972941016E-2</v>
      </c>
      <c r="J35" s="740">
        <f t="shared" si="15"/>
        <v>-7.6899578643337815E-3</v>
      </c>
      <c r="K35" s="57"/>
      <c r="L35" s="57"/>
    </row>
    <row r="36" spans="3:12" ht="15" customHeight="1">
      <c r="C36" s="738" t="str">
        <f>IF(Indice_index!$Z$1=1,"Remunerações Certas e Permanentes","Certain and permanent wages")</f>
        <v>Remunerações Certas e Permanentes</v>
      </c>
      <c r="D36" s="739">
        <v>7352.8066867299895</v>
      </c>
      <c r="E36" s="739">
        <v>7559.328442</v>
      </c>
      <c r="F36" s="739">
        <v>4198.0145292199995</v>
      </c>
      <c r="G36" s="739">
        <v>4210.4813119800046</v>
      </c>
      <c r="H36" s="740">
        <f t="shared" si="18"/>
        <v>55.699145027041872</v>
      </c>
      <c r="I36" s="740">
        <f t="shared" si="14"/>
        <v>0.29696854723181421</v>
      </c>
      <c r="J36" s="740">
        <f t="shared" si="15"/>
        <v>3.7489974401851811E-2</v>
      </c>
      <c r="K36" s="57"/>
      <c r="L36" s="57"/>
    </row>
    <row r="37" spans="3:12" ht="15" customHeight="1">
      <c r="C37" s="738" t="str">
        <f>IF(Indice_index!$Z$1=1,"Abonos Variáveis ou Eventuais","Variable or contingent bonuses")</f>
        <v>Abonos Variáveis ou Eventuais</v>
      </c>
      <c r="D37" s="739">
        <v>386.88280049999992</v>
      </c>
      <c r="E37" s="739">
        <v>373.87042400000001</v>
      </c>
      <c r="F37" s="739">
        <v>191.05022974999963</v>
      </c>
      <c r="G37" s="739">
        <v>205.92684518999988</v>
      </c>
      <c r="H37" s="740">
        <f t="shared" si="18"/>
        <v>55.0797367138086</v>
      </c>
      <c r="I37" s="740">
        <f t="shared" si="14"/>
        <v>7.7867561109280894</v>
      </c>
      <c r="J37" s="740">
        <f t="shared" si="15"/>
        <v>4.47367971968715E-2</v>
      </c>
      <c r="K37" s="57"/>
      <c r="L37" s="57"/>
    </row>
    <row r="38" spans="3:12" ht="15" customHeight="1">
      <c r="C38" s="738" t="str">
        <f>IF(Indice_index!$Z$1=1,"Segurança social","Social security")</f>
        <v>Segurança social</v>
      </c>
      <c r="D38" s="739">
        <v>2447.5807260999964</v>
      </c>
      <c r="E38" s="739">
        <v>2083.02306</v>
      </c>
      <c r="F38" s="739">
        <v>1434.9719685700022</v>
      </c>
      <c r="G38" s="739">
        <v>1405.0713791299972</v>
      </c>
      <c r="H38" s="740">
        <f t="shared" si="18"/>
        <v>67.453472124787581</v>
      </c>
      <c r="I38" s="740">
        <f t="shared" si="14"/>
        <v>-2.083705472644314</v>
      </c>
      <c r="J38" s="740">
        <f t="shared" si="15"/>
        <v>-8.991672946305572E-2</v>
      </c>
      <c r="K38" s="57"/>
      <c r="L38" s="57"/>
    </row>
    <row r="39" spans="3:12" ht="15" customHeight="1">
      <c r="C39" s="743" t="str">
        <f>IF(Indice_index!$Z$1=1,"Aquisição de bens e serviços","Purchase of goods and services")</f>
        <v>Aquisição de bens e serviços</v>
      </c>
      <c r="D39" s="739">
        <v>1801.2157903399941</v>
      </c>
      <c r="E39" s="739">
        <v>1842.417768</v>
      </c>
      <c r="F39" s="739">
        <v>639.17048250999756</v>
      </c>
      <c r="G39" s="739">
        <v>713.46815837000065</v>
      </c>
      <c r="H39" s="740">
        <f t="shared" si="18"/>
        <v>38.724559150582429</v>
      </c>
      <c r="I39" s="740">
        <f t="shared" si="14"/>
        <v>11.62407806572028</v>
      </c>
      <c r="J39" s="740">
        <f t="shared" si="15"/>
        <v>0.22342716799754808</v>
      </c>
      <c r="K39" s="57"/>
      <c r="L39" s="57"/>
    </row>
    <row r="40" spans="3:12" ht="15" customHeight="1">
      <c r="C40" s="743" t="str">
        <f>IF(Indice_index!$Z$1=1,"Juros e outros encargos","Interests")</f>
        <v>Juros e outros encargos</v>
      </c>
      <c r="D40" s="739">
        <v>6382.38636107</v>
      </c>
      <c r="E40" s="739">
        <v>6275.3246609999997</v>
      </c>
      <c r="F40" s="739">
        <v>3986.3164952399993</v>
      </c>
      <c r="G40" s="739">
        <v>3763.8803457400004</v>
      </c>
      <c r="H40" s="740">
        <f t="shared" si="18"/>
        <v>59.979053659674875</v>
      </c>
      <c r="I40" s="740">
        <f t="shared" si="14"/>
        <v>-5.5799921999571938</v>
      </c>
      <c r="J40" s="740">
        <f t="shared" si="15"/>
        <v>-0.66890758516738769</v>
      </c>
      <c r="K40" s="57"/>
      <c r="L40" s="57"/>
    </row>
    <row r="41" spans="3:12" ht="15" customHeight="1">
      <c r="C41" s="743" t="str">
        <f>IF(Indice_index!$Z$1=1,"Transferências correntes","Current transfers")</f>
        <v>Transferências correntes</v>
      </c>
      <c r="D41" s="739">
        <f t="shared" ref="D41:E41" si="19">SUM(D42:D45)</f>
        <v>37389.805939689992</v>
      </c>
      <c r="E41" s="739">
        <f t="shared" si="19"/>
        <v>37830.540050999996</v>
      </c>
      <c r="F41" s="739">
        <f>SUM(F42:F45)</f>
        <v>20685.130931619999</v>
      </c>
      <c r="G41" s="739">
        <f t="shared" ref="G41" si="20">SUM(G42:G45)</f>
        <v>21795.81542395</v>
      </c>
      <c r="H41" s="740">
        <f t="shared" si="18"/>
        <v>57.614338559710468</v>
      </c>
      <c r="I41" s="740">
        <f t="shared" si="14"/>
        <v>5.3694825331377096</v>
      </c>
      <c r="J41" s="740">
        <f t="shared" si="15"/>
        <v>3.3400384034580255</v>
      </c>
      <c r="K41" s="57"/>
      <c r="L41" s="57"/>
    </row>
    <row r="42" spans="3:12" ht="15" customHeight="1">
      <c r="C42" s="738" t="str">
        <f>IF(Indice_index!$Z$1=1,"Administração Central","Central Administration")</f>
        <v>Administração Central</v>
      </c>
      <c r="D42" s="739">
        <v>19715.334131929994</v>
      </c>
      <c r="E42" s="739">
        <v>20381.767323000004</v>
      </c>
      <c r="F42" s="739">
        <v>11200.719918539999</v>
      </c>
      <c r="G42" s="739">
        <v>11878.595820509998</v>
      </c>
      <c r="H42" s="740">
        <f t="shared" si="18"/>
        <v>58.280499587027869</v>
      </c>
      <c r="I42" s="740">
        <f t="shared" si="14"/>
        <v>6.0520743925392209</v>
      </c>
      <c r="J42" s="740">
        <f t="shared" si="15"/>
        <v>2.0385010873869636</v>
      </c>
      <c r="K42" s="57"/>
      <c r="L42" s="58"/>
    </row>
    <row r="43" spans="3:12" ht="15" customHeight="1">
      <c r="C43" s="738" t="str">
        <f>IF(Indice_index!$Z$1=1,"Outros subsectores das Administrações Públicas","Other General Government subsectors")</f>
        <v>Outros subsectores das Administrações Públicas</v>
      </c>
      <c r="D43" s="739">
        <v>14400.708377000003</v>
      </c>
      <c r="E43" s="739">
        <v>13671.139143</v>
      </c>
      <c r="F43" s="739">
        <v>7760.63913125</v>
      </c>
      <c r="G43" s="739">
        <v>8007.0122758000034</v>
      </c>
      <c r="H43" s="740">
        <f t="shared" si="18"/>
        <v>58.568727829091074</v>
      </c>
      <c r="I43" s="740">
        <f t="shared" si="14"/>
        <v>3.1746501851622666</v>
      </c>
      <c r="J43" s="740">
        <f t="shared" si="15"/>
        <v>0.74089065802246912</v>
      </c>
      <c r="K43" s="57"/>
      <c r="L43" s="60"/>
    </row>
    <row r="44" spans="3:12" ht="15" customHeight="1">
      <c r="C44" s="738" t="str">
        <f>IF(Indice_index!$Z$1=1,"União Europeia","European Union")</f>
        <v>União Europeia</v>
      </c>
      <c r="D44" s="739">
        <v>2699.4576824699993</v>
      </c>
      <c r="E44" s="739">
        <v>2664.1027219999996</v>
      </c>
      <c r="F44" s="739">
        <v>1421.4831994100002</v>
      </c>
      <c r="G44" s="739">
        <v>1573.68426815</v>
      </c>
      <c r="H44" s="740">
        <f t="shared" si="18"/>
        <v>59.069954591262949</v>
      </c>
      <c r="I44" s="740">
        <f t="shared" si="14"/>
        <v>10.707201379739995</v>
      </c>
      <c r="J44" s="740">
        <f t="shared" si="15"/>
        <v>0.4576974092548266</v>
      </c>
      <c r="K44" s="57"/>
    </row>
    <row r="45" spans="3:12" ht="15" customHeight="1">
      <c r="C45" s="738" t="str">
        <f>IF(Indice_index!$Z$1=1,"Outras transferências","Other transfers")</f>
        <v>Outras transferências</v>
      </c>
      <c r="D45" s="739">
        <v>574.30574829000034</v>
      </c>
      <c r="E45" s="739">
        <v>1113.5308630000004</v>
      </c>
      <c r="F45" s="739">
        <v>302.28868241999953</v>
      </c>
      <c r="G45" s="739">
        <v>336.52305948999992</v>
      </c>
      <c r="H45" s="740">
        <f t="shared" si="18"/>
        <v>30.221260197796585</v>
      </c>
      <c r="I45" s="740">
        <f t="shared" si="14"/>
        <v>11.325060798152936</v>
      </c>
      <c r="J45" s="740">
        <f t="shared" si="15"/>
        <v>0.10294924879377064</v>
      </c>
      <c r="K45" s="57"/>
    </row>
    <row r="46" spans="3:12" ht="15" customHeight="1">
      <c r="C46" s="743" t="str">
        <f>IF(Indice_index!$Z$1=1,"Subsídios","Subsidies")</f>
        <v>Subsídios</v>
      </c>
      <c r="D46" s="739">
        <v>145.60353275000003</v>
      </c>
      <c r="E46" s="739">
        <v>102.26454699999999</v>
      </c>
      <c r="F46" s="739">
        <v>26.415149709999998</v>
      </c>
      <c r="G46" s="739">
        <v>128.63423202999999</v>
      </c>
      <c r="H46" s="740">
        <f t="shared" si="18"/>
        <v>125.78575450004195</v>
      </c>
      <c r="I46" s="740">
        <f t="shared" si="14"/>
        <v>386.97142905573941</v>
      </c>
      <c r="J46" s="740">
        <f t="shared" si="15"/>
        <v>0.30739211978985431</v>
      </c>
      <c r="K46" s="57"/>
      <c r="L46" s="57"/>
    </row>
    <row r="47" spans="3:12" ht="15" customHeight="1">
      <c r="C47" s="743" t="str">
        <f>IF(Indice_index!$Z$1=1,"Outras despesas correntes","Other current expenditure")</f>
        <v>Outras despesas correntes</v>
      </c>
      <c r="D47" s="739">
        <v>403.26112954999985</v>
      </c>
      <c r="E47" s="739">
        <v>1247.9674359999999</v>
      </c>
      <c r="F47" s="739">
        <v>219.53258607999993</v>
      </c>
      <c r="G47" s="739">
        <v>255.23110014000002</v>
      </c>
      <c r="H47" s="740">
        <f t="shared" si="18"/>
        <v>20.451743593412164</v>
      </c>
      <c r="I47" s="740">
        <f t="shared" si="14"/>
        <v>16.261145872436082</v>
      </c>
      <c r="J47" s="740">
        <f>IFERROR((G47-F47)/$F$59*100,"-")</f>
        <v>0.10735218572887054</v>
      </c>
      <c r="K47" s="57"/>
      <c r="L47" s="57"/>
    </row>
    <row r="48" spans="3:12" ht="15" customHeight="1">
      <c r="C48" s="744" t="str">
        <f>IF(Indice_index!$Z$1=1,"Diferenças de consolidação","Consolidation differences")</f>
        <v>Diferenças de consolidação</v>
      </c>
      <c r="D48" s="739">
        <v>1.8030588800002478</v>
      </c>
      <c r="E48" s="739">
        <v>0</v>
      </c>
      <c r="F48" s="739">
        <v>4.6722873900000934</v>
      </c>
      <c r="G48" s="739">
        <v>0</v>
      </c>
      <c r="H48" s="740"/>
      <c r="I48" s="740"/>
      <c r="J48" s="740"/>
      <c r="K48" s="57"/>
      <c r="L48" s="57"/>
    </row>
    <row r="49" spans="3:12" s="272" customFormat="1" ht="15" customHeight="1">
      <c r="C49" s="741" t="str">
        <f>IF(Indice_index!$Z$1=1,"Despesa de capital","Capital expenditure")</f>
        <v>Despesa de capital</v>
      </c>
      <c r="D49" s="742">
        <f>+D50+D51+D56+D57</f>
        <v>3234.1108962199992</v>
      </c>
      <c r="E49" s="742">
        <f>+E50+E51+E56+E57</f>
        <v>3262.7407289999996</v>
      </c>
      <c r="F49" s="742">
        <f>+F50+F51+F56+F57</f>
        <v>1868.3697046000004</v>
      </c>
      <c r="G49" s="742">
        <f>+G50+G51+G56+G57</f>
        <v>1323.1964644899999</v>
      </c>
      <c r="H49" s="742">
        <f t="shared" si="18"/>
        <v>40.554753637919234</v>
      </c>
      <c r="I49" s="742">
        <f t="shared" ref="I49:I56" si="21">IF(IFERROR((G49-F49)/F49*100,"")&gt;500,"-",IFERROR((G49-F49)/F49*100,""))</f>
        <v>-29.179087991405677</v>
      </c>
      <c r="J49" s="742">
        <f t="shared" ref="J49:J56" si="22">IFERROR((G49-F49)/$F$59*100,"-")</f>
        <v>-1.6394390766050488</v>
      </c>
      <c r="K49" s="274"/>
    </row>
    <row r="50" spans="3:12" ht="15" customHeight="1">
      <c r="C50" s="743" t="str">
        <f>IF(Indice_index!$Z$1=1,"Investimento","Investment")</f>
        <v>Investimento</v>
      </c>
      <c r="D50" s="739">
        <v>680.48988800999905</v>
      </c>
      <c r="E50" s="739">
        <v>1260.250904</v>
      </c>
      <c r="F50" s="739">
        <v>298.21023231000032</v>
      </c>
      <c r="G50" s="739">
        <v>392.4525346499999</v>
      </c>
      <c r="H50" s="745">
        <f t="shared" si="18"/>
        <v>31.140825482002583</v>
      </c>
      <c r="I50" s="745">
        <f t="shared" si="21"/>
        <v>31.602638718993148</v>
      </c>
      <c r="J50" s="740">
        <f t="shared" si="22"/>
        <v>0.2834044332297897</v>
      </c>
      <c r="K50" s="57"/>
      <c r="L50" s="57"/>
    </row>
    <row r="51" spans="3:12" ht="15" customHeight="1">
      <c r="C51" s="743" t="str">
        <f>IF(Indice_index!$Z$1=1,"Transferências de capital","Capital transfers")</f>
        <v>Transferências de capital</v>
      </c>
      <c r="D51" s="739">
        <f t="shared" ref="D51:E51" si="23">SUM(D52:D55)</f>
        <v>2519.64963008</v>
      </c>
      <c r="E51" s="739">
        <f t="shared" si="23"/>
        <v>1981.6639210000001</v>
      </c>
      <c r="F51" s="739">
        <f>SUM(F52:F55)</f>
        <v>1557.1722695200001</v>
      </c>
      <c r="G51" s="739">
        <f t="shared" ref="G51" si="24">SUM(G52:G55)</f>
        <v>926.14058766999995</v>
      </c>
      <c r="H51" s="740">
        <f t="shared" si="18"/>
        <v>46.735502314774187</v>
      </c>
      <c r="I51" s="740">
        <f t="shared" si="21"/>
        <v>-40.524204945193141</v>
      </c>
      <c r="J51" s="740">
        <f t="shared" si="22"/>
        <v>-1.8976316548331589</v>
      </c>
      <c r="K51" s="57"/>
      <c r="L51" s="57"/>
    </row>
    <row r="52" spans="3:12" ht="15" customHeight="1">
      <c r="C52" s="738" t="str">
        <f>IF(Indice_index!$Z$1=1,"Administração Central","Central Administration")</f>
        <v>Administração Central</v>
      </c>
      <c r="D52" s="739">
        <v>1891.6418273099998</v>
      </c>
      <c r="E52" s="739">
        <v>1459.703072</v>
      </c>
      <c r="F52" s="739">
        <v>1162.9106827800001</v>
      </c>
      <c r="G52" s="739">
        <v>558.75366649</v>
      </c>
      <c r="H52" s="740">
        <f t="shared" si="18"/>
        <v>38.27858399478658</v>
      </c>
      <c r="I52" s="740">
        <f t="shared" si="21"/>
        <v>-51.952142605288522</v>
      </c>
      <c r="J52" s="740">
        <f t="shared" si="22"/>
        <v>-1.8168144509644106</v>
      </c>
      <c r="K52" s="57"/>
    </row>
    <row r="53" spans="3:12" ht="15" customHeight="1">
      <c r="C53" s="738" t="str">
        <f>IF(Indice_index!$Z$1=1,"Outros subsectores das Administrações Públicas","Other General Government subsectors")</f>
        <v>Outros subsectores das Administrações Públicas</v>
      </c>
      <c r="D53" s="739">
        <v>564.64759928000012</v>
      </c>
      <c r="E53" s="739">
        <v>468.58874500000002</v>
      </c>
      <c r="F53" s="739">
        <v>349.02186771999999</v>
      </c>
      <c r="G53" s="739">
        <v>330.87867251999995</v>
      </c>
      <c r="H53" s="740">
        <f t="shared" si="18"/>
        <v>70.611741329809348</v>
      </c>
      <c r="I53" s="740">
        <f t="shared" si="21"/>
        <v>-5.1982975503859459</v>
      </c>
      <c r="J53" s="740">
        <f t="shared" si="22"/>
        <v>-5.4560020553010978E-2</v>
      </c>
      <c r="K53" s="57"/>
    </row>
    <row r="54" spans="3:12" ht="15" customHeight="1">
      <c r="C54" s="738" t="str">
        <f>IF(Indice_index!$Z$1=1,"União Europeia","European Union")</f>
        <v>União Europeia</v>
      </c>
      <c r="D54" s="739">
        <v>2.1391460000000002</v>
      </c>
      <c r="E54" s="739">
        <v>2.1066099999999999</v>
      </c>
      <c r="F54" s="739">
        <v>0</v>
      </c>
      <c r="G54" s="739">
        <v>1.0533049999999999</v>
      </c>
      <c r="H54" s="740">
        <f t="shared" si="18"/>
        <v>50</v>
      </c>
      <c r="I54" s="740" t="str">
        <f t="shared" si="21"/>
        <v>-</v>
      </c>
      <c r="J54" s="740">
        <f t="shared" si="22"/>
        <v>3.1674874141567467E-3</v>
      </c>
      <c r="K54" s="57"/>
    </row>
    <row r="55" spans="3:12" ht="15" customHeight="1">
      <c r="C55" s="738" t="str">
        <f>IF(Indice_index!$Z$1=1,"Outras transferências","Other transfers")</f>
        <v>Outras transferências</v>
      </c>
      <c r="D55" s="739">
        <v>61.221057490000007</v>
      </c>
      <c r="E55" s="739">
        <v>51.265494000000004</v>
      </c>
      <c r="F55" s="739">
        <v>45.239719019999995</v>
      </c>
      <c r="G55" s="739">
        <v>35.454943660000005</v>
      </c>
      <c r="H55" s="740">
        <f t="shared" si="18"/>
        <v>69.159469447422083</v>
      </c>
      <c r="I55" s="740">
        <f t="shared" si="21"/>
        <v>-21.62872708310643</v>
      </c>
      <c r="J55" s="740">
        <f t="shared" si="22"/>
        <v>-2.9424670729894024E-2</v>
      </c>
      <c r="K55" s="57"/>
    </row>
    <row r="56" spans="3:12" ht="15" customHeight="1">
      <c r="C56" s="743" t="str">
        <f>IF(Indice_index!$Z$1=1,"Outras despesas de capital","Other capital expenditure")</f>
        <v>Outras despesas de capital</v>
      </c>
      <c r="D56" s="739">
        <v>33.971378130000005</v>
      </c>
      <c r="E56" s="739">
        <v>20.825904000000001</v>
      </c>
      <c r="F56" s="739">
        <v>12.987202770000001</v>
      </c>
      <c r="G56" s="739">
        <v>3.932595679999999</v>
      </c>
      <c r="H56" s="745">
        <f t="shared" si="18"/>
        <v>18.88319316174702</v>
      </c>
      <c r="I56" s="745">
        <f t="shared" si="21"/>
        <v>-69.719455762374309</v>
      </c>
      <c r="J56" s="740">
        <f t="shared" si="22"/>
        <v>-2.7228916598430138E-2</v>
      </c>
      <c r="K56" s="57"/>
    </row>
    <row r="57" spans="3:12" ht="15" customHeight="1">
      <c r="C57" s="744" t="str">
        <f>IF(Indice_index!$Z$1=1,"Diferenças de consolidação","Consolidation differences")</f>
        <v>Diferenças de consolidação</v>
      </c>
      <c r="D57" s="739">
        <v>0</v>
      </c>
      <c r="E57" s="739">
        <v>0</v>
      </c>
      <c r="F57" s="739">
        <v>0</v>
      </c>
      <c r="G57" s="739">
        <v>0.67074648999999997</v>
      </c>
      <c r="H57" s="740"/>
      <c r="I57" s="740"/>
      <c r="J57" s="740"/>
      <c r="K57" s="57"/>
      <c r="L57" s="57"/>
    </row>
    <row r="58" spans="3:12" ht="4.5" customHeight="1">
      <c r="C58" s="743"/>
      <c r="D58" s="746"/>
      <c r="E58" s="746"/>
      <c r="F58" s="746"/>
      <c r="G58" s="746"/>
      <c r="H58" s="747"/>
      <c r="I58" s="747"/>
      <c r="J58" s="747"/>
      <c r="K58" s="57"/>
    </row>
    <row r="59" spans="3:12" s="272" customFormat="1" ht="15" customHeight="1">
      <c r="C59" s="748" t="str">
        <f>IF(Indice_index!$Z$1=1,"Despesa efetiva","Effective Expenditure")</f>
        <v>Despesa efetiva</v>
      </c>
      <c r="D59" s="749">
        <f>+D34+D49</f>
        <v>59545.45692182998</v>
      </c>
      <c r="E59" s="749">
        <f>+E34+E49</f>
        <v>60577.477117999988</v>
      </c>
      <c r="F59" s="749">
        <f>+F34+F49</f>
        <v>33253.644364689993</v>
      </c>
      <c r="G59" s="749">
        <f>+G34+G49</f>
        <v>33801.705261020004</v>
      </c>
      <c r="H59" s="750">
        <f>IFERROR(IF(G59/E59*100&lt;-500,"-",IF(G59/E59*100&gt;500,"-",G59/E59*100)),"-")</f>
        <v>55.79913008786589</v>
      </c>
      <c r="I59" s="750">
        <f>IFERROR((G59-F59)/F59*100,"-")</f>
        <v>1.648122805186319</v>
      </c>
      <c r="J59" s="750"/>
      <c r="K59" s="274"/>
      <c r="L59" s="274"/>
    </row>
    <row r="60" spans="3:12" ht="4.5" customHeight="1">
      <c r="C60" s="751"/>
      <c r="D60" s="739"/>
      <c r="E60" s="739"/>
      <c r="F60" s="739"/>
      <c r="G60" s="739"/>
      <c r="H60" s="739"/>
      <c r="I60" s="739"/>
      <c r="J60" s="739"/>
      <c r="K60" s="57"/>
    </row>
    <row r="61" spans="3:12" s="272" customFormat="1" ht="15" customHeight="1">
      <c r="C61" s="748" t="str">
        <f>IF(Indice_index!$Z$1=1,"Saldo global","Overall Balance")</f>
        <v>Saldo global</v>
      </c>
      <c r="D61" s="750">
        <f>+D32-D59</f>
        <v>-9471.3255157399763</v>
      </c>
      <c r="E61" s="750">
        <f>+E32-E59</f>
        <v>-6859.8932199999908</v>
      </c>
      <c r="F61" s="750">
        <f>+F32-F59</f>
        <v>-7575.5236929199928</v>
      </c>
      <c r="G61" s="750">
        <f>+G32-G59</f>
        <v>-2591.4590449500101</v>
      </c>
      <c r="H61" s="750"/>
      <c r="I61" s="750"/>
      <c r="J61" s="750"/>
      <c r="K61" s="274"/>
    </row>
    <row r="62" spans="3:12" ht="4.5" customHeight="1">
      <c r="C62" s="752"/>
      <c r="D62" s="752"/>
      <c r="E62" s="752"/>
      <c r="F62" s="739"/>
      <c r="H62" s="739"/>
      <c r="I62" s="739"/>
      <c r="J62" s="739"/>
      <c r="K62" s="57"/>
    </row>
    <row r="63" spans="3:12" ht="15" customHeight="1">
      <c r="C63" s="743" t="str">
        <f>IF(Indice_index!$Z$1=1,"Despesa  primária","Primary Expenditure")</f>
        <v>Despesa  primária</v>
      </c>
      <c r="D63" s="739">
        <f>+D59-D40</f>
        <v>53163.070560759981</v>
      </c>
      <c r="E63" s="739">
        <f>+E59-E40</f>
        <v>54302.152456999989</v>
      </c>
      <c r="F63" s="739">
        <f>+F59-F40</f>
        <v>29267.327869449993</v>
      </c>
      <c r="G63" s="739">
        <f>+G59-G40</f>
        <v>30037.824915280005</v>
      </c>
      <c r="H63" s="740">
        <f>IFERROR(IF(G63/E63*100&lt;-500,"-",IF(G63/E63*100&gt;500,"-",G63/E63*100)),"-")</f>
        <v>55.31608519398182</v>
      </c>
      <c r="I63" s="740">
        <f t="shared" ref="I63" si="25">IF(IFERROR((G63-F63)/F63*100,"")&gt;500,"-",IFERROR((G63-F63)/F63*100,""))</f>
        <v>2.632618356096244</v>
      </c>
      <c r="J63" s="739"/>
      <c r="K63" s="61"/>
    </row>
    <row r="64" spans="3:12" ht="15" customHeight="1">
      <c r="C64" s="753" t="str">
        <f>IF(Indice_index!$Z$1=1,"Saldo corrente","Current balance")</f>
        <v>Saldo corrente</v>
      </c>
      <c r="D64" s="739">
        <f>+D9-D34</f>
        <v>-6321.9823134799735</v>
      </c>
      <c r="E64" s="739">
        <f>+E9-E34</f>
        <v>-4127.2261309999958</v>
      </c>
      <c r="F64" s="739">
        <f>+F9-F34</f>
        <v>-5771.1594274899944</v>
      </c>
      <c r="G64" s="739">
        <f>+G9-G34</f>
        <v>-1547.119018220008</v>
      </c>
      <c r="H64" s="740"/>
      <c r="I64" s="740"/>
      <c r="J64" s="739"/>
      <c r="K64" s="57"/>
    </row>
    <row r="65" spans="3:19" ht="15" customHeight="1">
      <c r="C65" s="754" t="str">
        <f>IF(Indice_index!$Z$1=1,"Saldo de capital","Capital balance")</f>
        <v>Saldo de capital</v>
      </c>
      <c r="D65" s="755">
        <f>+D22-D49</f>
        <v>-3149.3432022599991</v>
      </c>
      <c r="E65" s="755">
        <f>+E22-E49</f>
        <v>-2732.6670889999996</v>
      </c>
      <c r="F65" s="755">
        <f>+F22-F49</f>
        <v>-1804.3642654300004</v>
      </c>
      <c r="G65" s="755">
        <f>+G22-G49</f>
        <v>-1044.3400267299999</v>
      </c>
      <c r="H65" s="740"/>
      <c r="I65" s="740"/>
      <c r="J65" s="755"/>
      <c r="K65" s="57"/>
    </row>
    <row r="66" spans="3:19" ht="15" customHeight="1">
      <c r="C66" s="753" t="str">
        <f>IF(Indice_index!$Z$1=1,"Saldo primário","Primary balance")</f>
        <v>Saldo primário</v>
      </c>
      <c r="D66" s="739">
        <f>+D61+D40</f>
        <v>-3088.9391546699762</v>
      </c>
      <c r="E66" s="739">
        <f>+E61+E40</f>
        <v>-584.56855899999118</v>
      </c>
      <c r="F66" s="739">
        <f>+F61+F40</f>
        <v>-3589.2071976799934</v>
      </c>
      <c r="G66" s="739">
        <f>+G61+G40</f>
        <v>1172.4213007899903</v>
      </c>
      <c r="H66" s="740"/>
      <c r="I66" s="740"/>
      <c r="J66" s="739"/>
      <c r="K66" s="57"/>
    </row>
    <row r="67" spans="3:19" ht="4.5" customHeight="1">
      <c r="C67" s="136"/>
      <c r="D67" s="755"/>
      <c r="E67" s="755"/>
      <c r="F67" s="755"/>
      <c r="G67" s="755"/>
      <c r="H67" s="755"/>
      <c r="I67" s="755"/>
      <c r="J67" s="755"/>
      <c r="K67" s="57"/>
    </row>
    <row r="68" spans="3:19" ht="15" customHeight="1">
      <c r="C68" s="136" t="str">
        <f>IF(Indice_index!$Z$1=1,"Ativos financeiros líquidos de reembolsos","Financial assets net of reimbursements")</f>
        <v>Ativos financeiros líquidos de reembolsos</v>
      </c>
      <c r="D68" s="739">
        <f>4944.98849095-D71-D70</f>
        <v>4301.2560277199991</v>
      </c>
      <c r="E68" s="739">
        <f>11838.23886-E71-E70</f>
        <v>8490.9918880000005</v>
      </c>
      <c r="F68" s="739">
        <f>2038.57371462-F71-F70</f>
        <v>1617.05139508</v>
      </c>
      <c r="G68" s="739">
        <f>1114.20704401-G71-G70</f>
        <v>890.24921741999992</v>
      </c>
      <c r="H68" s="739"/>
      <c r="I68" s="739"/>
      <c r="J68" s="739"/>
      <c r="K68" s="57"/>
    </row>
    <row r="69" spans="3:19" ht="15" customHeight="1">
      <c r="C69" s="756" t="str">
        <f>IF(Indice_index!$Z$1=1,"dos quais Receitas de:","of which revenue from:")</f>
        <v>dos quais Receitas de:</v>
      </c>
      <c r="D69" s="739"/>
      <c r="E69" s="739"/>
      <c r="F69" s="755"/>
      <c r="G69" s="739"/>
      <c r="H69" s="739"/>
      <c r="I69" s="739"/>
      <c r="J69" s="739"/>
      <c r="K69" s="57"/>
    </row>
    <row r="70" spans="3:19" ht="15" customHeight="1">
      <c r="C70" s="757" t="str">
        <f>IF(Indice_index!$Z$1=1,"Alienação de partes de Capital","Disposal of Capital Shares")</f>
        <v>Alienação de partes de Capital</v>
      </c>
      <c r="D70" s="755">
        <f>+'8 - R_Est'!D65</f>
        <v>1.3794E-4</v>
      </c>
      <c r="E70" s="755">
        <f>+'8 - R_Est'!E65</f>
        <v>0</v>
      </c>
      <c r="F70" s="755">
        <f>+'8 - R_Est'!F65</f>
        <v>0</v>
      </c>
      <c r="G70" s="755">
        <f>+'8 - R_Est'!G65</f>
        <v>0</v>
      </c>
      <c r="H70" s="740"/>
      <c r="I70" s="740" t="str">
        <f t="shared" ref="I70:I71" si="26">IF(IFERROR((G70-F70)/F70*100,"")&gt;500,"-",IFERROR((G70-F70)/F70*100,""))</f>
        <v>-</v>
      </c>
      <c r="J70" s="739"/>
      <c r="K70" s="57"/>
    </row>
    <row r="71" spans="3:19" ht="15" customHeight="1">
      <c r="C71" s="758" t="str">
        <f>IF(Indice_index!$Z$1=1,"Outros Ativos","Other Assets")</f>
        <v>Outros Ativos</v>
      </c>
      <c r="D71" s="755">
        <f>+'8 - R_Est'!D66</f>
        <v>643.73232529000006</v>
      </c>
      <c r="E71" s="755">
        <f>+'8 - R_Est'!E66</f>
        <v>3347.2469719999999</v>
      </c>
      <c r="F71" s="755">
        <f>+'8 - R_Est'!F66</f>
        <v>421.52231954000001</v>
      </c>
      <c r="G71" s="755">
        <f>+'8 - R_Est'!G66</f>
        <v>223.95782659</v>
      </c>
      <c r="H71" s="745"/>
      <c r="I71" s="745">
        <f t="shared" si="26"/>
        <v>-46.869283971866238</v>
      </c>
      <c r="J71" s="755"/>
      <c r="K71" s="57"/>
    </row>
    <row r="72" spans="3:19" ht="15" customHeight="1">
      <c r="C72" s="759" t="str">
        <f>IF(Indice_index!$Z$1=1,"Passivos financeiros líquidos de amortizações","Financial liabilities net of amortizations")</f>
        <v>Passivos financeiros líquidos de amortizações</v>
      </c>
      <c r="D72" s="760">
        <f>+'8 - R_Est'!D67-49865.83276538</f>
        <v>13779.601644429997</v>
      </c>
      <c r="E72" s="760">
        <f>+'8 - R_Est'!E67-83676</f>
        <v>15350.885108000002</v>
      </c>
      <c r="F72" s="760">
        <f>+'8 - R_Est'!F67-34205.721935</f>
        <v>6753.4726156100005</v>
      </c>
      <c r="G72" s="760">
        <f>+'8 - R_Est'!G67-33853.204778</f>
        <v>-345.2353517800002</v>
      </c>
      <c r="H72" s="760"/>
      <c r="I72" s="760"/>
      <c r="J72" s="760"/>
      <c r="K72" s="57"/>
    </row>
    <row r="73" spans="3:19" ht="4.5" customHeight="1">
      <c r="K73" s="57"/>
    </row>
    <row r="74" spans="3:19" ht="15" customHeight="1">
      <c r="C74" s="736" t="str">
        <f>IF(Indice_index!$Z$1=1,"Nota:","Note:")</f>
        <v>Nota:</v>
      </c>
      <c r="K74" s="57"/>
    </row>
    <row r="75" spans="3:19" s="22" customFormat="1" ht="12.75" customHeight="1">
      <c r="C75" s="1691" t="str">
        <f>+'5 - Conta AC + SS'!$C$64</f>
        <v>Os dados de 2021 são mensalmente revistos e atualizados face ao publicado nas Sínteses de Execução Orçamental de 2021.</v>
      </c>
      <c r="D75" s="1691"/>
      <c r="E75" s="1691"/>
      <c r="F75" s="1691"/>
      <c r="G75" s="1691"/>
      <c r="H75" s="1691"/>
      <c r="I75" s="1691"/>
      <c r="J75" s="1691"/>
      <c r="K75" s="63"/>
      <c r="R75" s="24"/>
      <c r="S75" s="24"/>
    </row>
    <row r="76" spans="3:19" s="22" customFormat="1" ht="30" customHeight="1">
      <c r="C76" s="1698" t="str">
        <f>IF(Indice_index!$Z$1=1,C86,C87)</f>
        <v>Por motivos de ordem técnica, a execução orçamental do Exército, relativa a julho de 2021 e 2022, não foi apropriada integralmente pelos sistemas orçamentais centrais, tendo as entidades enviado, posteriormente, a devida informação.</v>
      </c>
      <c r="D76" s="1698"/>
      <c r="E76" s="1698"/>
      <c r="F76" s="1698"/>
      <c r="G76" s="1698"/>
      <c r="H76" s="1698"/>
      <c r="I76" s="1698"/>
      <c r="J76" s="1698"/>
      <c r="K76" s="63"/>
      <c r="R76" s="24"/>
      <c r="S76" s="24"/>
    </row>
    <row r="77" spans="3:19" s="22" customFormat="1" ht="4.5" customHeight="1">
      <c r="C77" s="761"/>
      <c r="D77" s="761"/>
      <c r="E77" s="761"/>
      <c r="F77" s="761"/>
      <c r="G77" s="761"/>
      <c r="H77" s="761"/>
      <c r="I77" s="761"/>
      <c r="J77" s="761"/>
      <c r="K77" s="63"/>
      <c r="R77" s="24"/>
      <c r="S77" s="24"/>
    </row>
    <row r="78" spans="3:19" ht="15" customHeight="1">
      <c r="C78" s="136" t="str">
        <f>IF(Indice_index!$Z$1=1,"Fonte: Direção-Geral do Orçamento","Source: Budget General Directorate")</f>
        <v>Fonte: Direção-Geral do Orçamento</v>
      </c>
      <c r="D78" s="136"/>
      <c r="E78" s="136"/>
      <c r="F78" s="526"/>
    </row>
    <row r="79" spans="3:19">
      <c r="F79" s="526"/>
      <c r="G79" s="58"/>
    </row>
    <row r="80" spans="3:19" s="382" customFormat="1" ht="11.25" customHeight="1">
      <c r="C80" s="527"/>
      <c r="D80" s="527"/>
      <c r="E80" s="527"/>
      <c r="F80" s="378"/>
      <c r="G80" s="378"/>
    </row>
    <row r="81" spans="2:7" s="102" customFormat="1">
      <c r="C81" s="106"/>
      <c r="D81" s="106"/>
      <c r="E81" s="106"/>
      <c r="G81" s="378"/>
    </row>
    <row r="82" spans="2:7" s="102" customFormat="1">
      <c r="C82" s="106"/>
      <c r="D82" s="106"/>
      <c r="E82" s="106"/>
      <c r="G82" s="378"/>
    </row>
    <row r="83" spans="2:7" s="102" customFormat="1">
      <c r="C83" s="106"/>
      <c r="D83" s="106"/>
      <c r="E83" s="106"/>
      <c r="G83" s="378"/>
    </row>
    <row r="84" spans="2:7" s="102" customFormat="1">
      <c r="C84" s="106"/>
      <c r="D84" s="106"/>
      <c r="E84" s="106"/>
      <c r="G84" s="378"/>
    </row>
    <row r="85" spans="2:7" s="102" customFormat="1">
      <c r="C85" s="106"/>
      <c r="D85" s="106"/>
      <c r="E85" s="106"/>
      <c r="G85" s="378"/>
    </row>
    <row r="86" spans="2:7" s="102" customFormat="1">
      <c r="C86" s="360" t="s">
        <v>582</v>
      </c>
      <c r="D86" s="106"/>
      <c r="E86" s="106"/>
      <c r="G86" s="378"/>
    </row>
    <row r="87" spans="2:7" s="102" customFormat="1">
      <c r="C87" s="360" t="s">
        <v>583</v>
      </c>
      <c r="D87" s="106"/>
      <c r="E87" s="106"/>
      <c r="G87" s="378"/>
    </row>
    <row r="88" spans="2:7" s="102" customFormat="1">
      <c r="C88" s="360" t="s">
        <v>95</v>
      </c>
      <c r="D88" s="106"/>
      <c r="E88" s="106"/>
      <c r="F88" s="378"/>
      <c r="G88" s="378"/>
    </row>
    <row r="89" spans="2:7" s="102" customFormat="1">
      <c r="C89" s="360"/>
      <c r="D89" s="106"/>
      <c r="E89" s="106"/>
      <c r="G89" s="378"/>
    </row>
    <row r="90" spans="2:7" s="102" customFormat="1">
      <c r="C90" s="106"/>
      <c r="D90" s="106"/>
      <c r="E90" s="106"/>
      <c r="G90" s="378"/>
    </row>
    <row r="91" spans="2:7" s="102" customFormat="1">
      <c r="C91" s="106"/>
      <c r="D91" s="106"/>
      <c r="E91" s="106"/>
      <c r="G91" s="378"/>
    </row>
    <row r="92" spans="2:7" s="102" customFormat="1">
      <c r="C92" s="106"/>
      <c r="D92" s="106"/>
      <c r="E92" s="106"/>
      <c r="G92" s="378"/>
    </row>
    <row r="93" spans="2:7" s="102" customFormat="1">
      <c r="C93" s="106"/>
      <c r="D93" s="106"/>
      <c r="E93" s="106"/>
      <c r="G93" s="378"/>
    </row>
    <row r="94" spans="2:7" s="102" customFormat="1">
      <c r="C94" s="106"/>
      <c r="D94" s="106"/>
      <c r="E94" s="106"/>
      <c r="G94" s="378"/>
    </row>
    <row r="95" spans="2:7" s="106" customFormat="1">
      <c r="B95" s="102"/>
      <c r="F95" s="102"/>
      <c r="G95" s="378"/>
    </row>
    <row r="96" spans="2:7" s="106" customFormat="1">
      <c r="B96" s="102"/>
      <c r="C96" s="471"/>
      <c r="F96" s="102"/>
      <c r="G96" s="378"/>
    </row>
    <row r="97" spans="3:7" s="102" customFormat="1">
      <c r="C97" s="106"/>
      <c r="D97" s="106"/>
      <c r="E97" s="106"/>
      <c r="G97" s="378"/>
    </row>
    <row r="98" spans="3:7">
      <c r="G98" s="58"/>
    </row>
    <row r="99" spans="3:7">
      <c r="G99" s="58"/>
    </row>
    <row r="100" spans="3:7">
      <c r="G100" s="58"/>
    </row>
    <row r="101" spans="3:7">
      <c r="G101" s="58"/>
    </row>
    <row r="102" spans="3:7">
      <c r="G102" s="58"/>
    </row>
    <row r="103" spans="3:7">
      <c r="G103" s="58"/>
    </row>
    <row r="104" spans="3:7">
      <c r="G104" s="58"/>
    </row>
    <row r="105" spans="3:7">
      <c r="G105" s="58"/>
    </row>
  </sheetData>
  <mergeCells count="4">
    <mergeCell ref="F6:G6"/>
    <mergeCell ref="I6:J6"/>
    <mergeCell ref="C75:J75"/>
    <mergeCell ref="C76:J76"/>
  </mergeCells>
  <printOptions horizontalCentered="1"/>
  <pageMargins left="0.70866141732283472" right="0.70866141732283472" top="0.74803149606299213" bottom="0.74803149606299213" header="0.74803149606299213" footer="0.35433070866141736"/>
  <pageSetup paperSize="9" scale="62" orientation="portrait" r:id="rId1"/>
  <headerFooter differentOddEven="1">
    <oddFooter>&amp;R&amp;G</oddFooter>
    <evenFooter>&amp;L&amp;G</evenFooter>
  </headerFooter>
  <ignoredErrors>
    <ignoredError sqref="J5 I6:I7 J6:J7 D6:E6" unlockedFormula="1"/>
    <ignoredError sqref="F49:G49 E35:G35 E41:G41 E51:G51 D35 D41 D49 D51" formulaRange="1"/>
    <ignoredError sqref="D7:E7" numberStoredAsText="1" unlockedFormula="1"/>
    <ignoredError sqref="F7:H7" numberStoredAsText="1"/>
  </ignoredErrors>
  <drawing r:id="rId2"/>
  <legacyDrawingHF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olha12"/>
  <dimension ref="B1:P91"/>
  <sheetViews>
    <sheetView showGridLines="0" zoomScaleNormal="100" zoomScaleSheetLayoutView="100" workbookViewId="0">
      <selection activeCell="B2" sqref="B2"/>
    </sheetView>
  </sheetViews>
  <sheetFormatPr defaultColWidth="9.140625" defaultRowHeight="11.25"/>
  <cols>
    <col min="1" max="1" width="3" style="64" customWidth="1"/>
    <col min="2" max="2" width="4.42578125" style="64" customWidth="1"/>
    <col min="3" max="3" width="43.42578125" style="64" customWidth="1"/>
    <col min="4" max="10" width="9.42578125" style="64" customWidth="1"/>
    <col min="11" max="11" width="8.5703125" style="64" customWidth="1"/>
    <col min="12" max="12" width="13.85546875" style="64" customWidth="1"/>
    <col min="13" max="16384" width="9.140625" style="64"/>
  </cols>
  <sheetData>
    <row r="1" spans="2:16" s="50" customFormat="1" ht="15" customHeight="1">
      <c r="B1" s="49"/>
      <c r="C1" s="49"/>
      <c r="D1" s="49"/>
      <c r="E1" s="49"/>
    </row>
    <row r="2" spans="2:16" ht="24" customHeight="1">
      <c r="B2" s="8"/>
      <c r="C2" s="51" t="str">
        <f>IF(Indice_index!$Z$1=1,"8 - Receita do Estado","8 - State Revenue")</f>
        <v>8 - Receita do Estado</v>
      </c>
      <c r="D2" s="51"/>
      <c r="E2" s="51"/>
      <c r="F2" s="51"/>
      <c r="G2" s="51"/>
      <c r="H2" s="51"/>
      <c r="I2" s="51"/>
      <c r="J2" s="51"/>
      <c r="K2" s="52"/>
    </row>
    <row r="3" spans="2:16" ht="15" customHeight="1">
      <c r="C3" s="65"/>
      <c r="D3" s="65"/>
      <c r="E3" s="65"/>
      <c r="F3" s="65"/>
      <c r="G3" s="65"/>
      <c r="H3" s="65"/>
      <c r="I3" s="65"/>
    </row>
    <row r="4" spans="2:16" ht="15" customHeight="1">
      <c r="C4" s="66"/>
      <c r="D4" s="66"/>
      <c r="E4" s="66"/>
      <c r="F4" s="65"/>
      <c r="G4" s="65"/>
      <c r="H4" s="65"/>
      <c r="I4" s="65"/>
    </row>
    <row r="5" spans="2:16" s="278" customFormat="1" ht="15" customHeight="1">
      <c r="C5" s="741" t="str">
        <f>+'5 - Conta AC + SS'!C5</f>
        <v>Período: janeiro a julho</v>
      </c>
      <c r="D5" s="741"/>
      <c r="E5" s="741"/>
      <c r="F5" s="762"/>
      <c r="G5" s="272"/>
      <c r="H5" s="272"/>
      <c r="I5" s="272"/>
      <c r="J5" s="879" t="str">
        <f>IF(Indice_index!$Z$1=1,"€ Milhões","€ Millions")</f>
        <v>€ Milhões</v>
      </c>
      <c r="K5" s="273"/>
    </row>
    <row r="6" spans="2:16" ht="33" customHeight="1">
      <c r="C6" s="763"/>
      <c r="D6" s="709" t="str">
        <f>IF(Indice_index!$Z$1=1,"CGE","Final execution")</f>
        <v>CGE</v>
      </c>
      <c r="E6" s="709" t="str">
        <f>IF(Indice_index!$Z$1=1,"Orçamento Inicial","Budget")</f>
        <v>Orçamento Inicial</v>
      </c>
      <c r="F6" s="1699" t="str">
        <f>IF(Indice_index!$Z$1=1,"Execução Acumulada","Accumulated Execution")</f>
        <v>Execução Acumulada</v>
      </c>
      <c r="G6" s="1700" t="str">
        <f>IF(Indice_index!$Z$1=1,"Execução","Execution")</f>
        <v>Execução</v>
      </c>
      <c r="H6" s="709" t="str">
        <f>IF(Indice_index!$Z$1=1,"Grau de Execução (%)","Execution Degree (%)")</f>
        <v>Grau de Execução (%)</v>
      </c>
      <c r="I6" s="1694" t="str">
        <f>IF(Indice_index!$Z$1=1,"Variação Homóloga Acumulada","YOY Change Rate")</f>
        <v>Variação Homóloga Acumulada</v>
      </c>
      <c r="J6" s="1695"/>
      <c r="K6" s="55"/>
    </row>
    <row r="7" spans="2:16" ht="31.5" customHeight="1">
      <c r="C7" s="880"/>
      <c r="D7" s="712" t="s">
        <v>67</v>
      </c>
      <c r="E7" s="712" t="s">
        <v>74</v>
      </c>
      <c r="F7" s="713" t="s">
        <v>67</v>
      </c>
      <c r="G7" s="713" t="s">
        <v>74</v>
      </c>
      <c r="H7" s="881" t="s">
        <v>74</v>
      </c>
      <c r="I7" s="714" t="str">
        <f>IF(Indice_index!$Z$1=1,"Relativa (%)","Relative change (%)")</f>
        <v>Relativa (%)</v>
      </c>
      <c r="J7" s="715" t="str">
        <f>IF(Indice_index!$Z$1=1,"Contributo VHA  (p.p.)","YOY Change Rate Contrib. (p.p.)")</f>
        <v>Contributo VHA  (p.p.)</v>
      </c>
      <c r="K7" s="55"/>
    </row>
    <row r="8" spans="2:16" ht="4.5" customHeight="1">
      <c r="C8" s="67"/>
      <c r="D8" s="67"/>
      <c r="E8" s="67"/>
      <c r="F8" s="882"/>
      <c r="G8" s="882"/>
      <c r="H8" s="882"/>
      <c r="I8" s="882"/>
      <c r="J8" s="67"/>
      <c r="K8" s="67"/>
    </row>
    <row r="9" spans="2:16" s="278" customFormat="1" ht="15" customHeight="1">
      <c r="C9" s="883" t="str">
        <f>IF(Indice_index!$Z$1=1,"Receita fiscal","Tax revenue")</f>
        <v>Receita fiscal</v>
      </c>
      <c r="D9" s="279">
        <f>SUM(D10,D14)</f>
        <v>45591.223834090008</v>
      </c>
      <c r="E9" s="279">
        <f>SUM(E10,E14)</f>
        <v>48591.105513000002</v>
      </c>
      <c r="F9" s="279">
        <f>SUM(F10,F14)</f>
        <v>23157.140848410003</v>
      </c>
      <c r="G9" s="279">
        <f>SUM(G10,G14)</f>
        <v>28156.054557239997</v>
      </c>
      <c r="H9" s="279">
        <f>IFERROR(IF(G9/E9*100&lt;-500,"-",IF(G9/E9*100&gt;500,"-",G9/E9*100)),"-")</f>
        <v>57.94487336721977</v>
      </c>
      <c r="I9" s="279">
        <f t="shared" ref="I9:I22" si="0">IF(IFERROR((G9-F9)/F9*100,"")&gt;500,"-",IFERROR((G9-F9)/F9*100,""))</f>
        <v>21.586921034654523</v>
      </c>
      <c r="J9" s="279">
        <f t="shared" ref="J9:J22" si="1">IFERROR((G9-F9)/$F$62*100,"-")</f>
        <v>19.467599567462493</v>
      </c>
      <c r="K9" s="279"/>
      <c r="L9" s="280"/>
      <c r="M9" s="274"/>
      <c r="N9" s="274"/>
      <c r="O9" s="274"/>
      <c r="P9" s="274"/>
    </row>
    <row r="10" spans="2:16" ht="15" customHeight="1">
      <c r="C10" s="873" t="str">
        <f>IF(Indice_index!$Z$1=1,"Impostos Diretos","Direct taxes")</f>
        <v>Impostos Diretos</v>
      </c>
      <c r="D10" s="72">
        <f t="shared" ref="D10:G10" si="2">SUM(D11:D13)</f>
        <v>19956.94299525</v>
      </c>
      <c r="E10" s="72">
        <f t="shared" si="2"/>
        <v>20904.899710000002</v>
      </c>
      <c r="F10" s="72">
        <f t="shared" si="2"/>
        <v>9499.6362817300014</v>
      </c>
      <c r="G10" s="72">
        <f t="shared" si="2"/>
        <v>11970.641093509999</v>
      </c>
      <c r="H10" s="72">
        <f t="shared" ref="H10:H60" si="3">IFERROR(IF(G10/E10*100&lt;-500,"-",IF(G10/E10*100&gt;500,"-",G10/E10*100)),"-")</f>
        <v>57.262370351309364</v>
      </c>
      <c r="I10" s="884">
        <f t="shared" si="0"/>
        <v>26.011572848660659</v>
      </c>
      <c r="J10" s="69">
        <f t="shared" si="1"/>
        <v>9.622997116360505</v>
      </c>
      <c r="K10" s="69"/>
      <c r="L10" s="70"/>
      <c r="M10" s="66"/>
      <c r="N10" s="66"/>
      <c r="O10" s="66"/>
      <c r="P10" s="66"/>
    </row>
    <row r="11" spans="2:16" ht="15" customHeight="1">
      <c r="C11" s="874" t="str">
        <f>IF(Indice_index!$Z$1=1,"Imposto sobre o Rendimento Pessoas Singulares (IRS)","Personal income tax (IRS)")</f>
        <v>Imposto sobre o Rendimento Pessoas Singulares (IRS)</v>
      </c>
      <c r="D11" s="72">
        <v>14534.07338527</v>
      </c>
      <c r="E11" s="72">
        <v>15202.600006000001</v>
      </c>
      <c r="F11" s="72">
        <v>6551.45510044</v>
      </c>
      <c r="G11" s="72">
        <v>7336.3245066099998</v>
      </c>
      <c r="H11" s="72">
        <f>IFERROR(IF(G11/E11*100&lt;-500,"-",IF(G11/E11*100&gt;500,"-",G11/E11*100)),"-")</f>
        <v>48.257038294203475</v>
      </c>
      <c r="I11" s="884">
        <f t="shared" si="0"/>
        <v>11.980077618440635</v>
      </c>
      <c r="J11" s="69">
        <f t="shared" si="1"/>
        <v>3.0565687271376873</v>
      </c>
      <c r="K11" s="69"/>
      <c r="L11" s="70"/>
      <c r="M11" s="66"/>
      <c r="N11" s="66"/>
      <c r="O11" s="66"/>
      <c r="P11" s="66"/>
    </row>
    <row r="12" spans="2:16" ht="15" customHeight="1">
      <c r="C12" s="874" t="str">
        <f>IF(Indice_index!$Z$1=1,"Imposto sobre o Rendimento Pessoas Coletivas (IRC)","Corporate income tax (IRC)")</f>
        <v>Imposto sobre o Rendimento Pessoas Coletivas (IRC)</v>
      </c>
      <c r="D12" s="72">
        <v>4933.5586337100003</v>
      </c>
      <c r="E12" s="72">
        <v>5211.299704</v>
      </c>
      <c r="F12" s="72">
        <v>2751.3366775600002</v>
      </c>
      <c r="G12" s="72">
        <v>4385.1133664400004</v>
      </c>
      <c r="H12" s="72">
        <f t="shared" si="3"/>
        <v>84.146251712872129</v>
      </c>
      <c r="I12" s="884">
        <f t="shared" si="0"/>
        <v>59.38119831735392</v>
      </c>
      <c r="J12" s="69">
        <f t="shared" si="1"/>
        <v>6.362524383165395</v>
      </c>
      <c r="K12" s="69"/>
      <c r="L12" s="66"/>
      <c r="M12" s="66"/>
      <c r="N12" s="66"/>
      <c r="O12" s="66"/>
      <c r="P12" s="66"/>
    </row>
    <row r="13" spans="2:16" ht="15" customHeight="1">
      <c r="C13" s="874" t="str">
        <f>IF(Indice_index!$Z$1=1,"Outros","Others")</f>
        <v>Outros</v>
      </c>
      <c r="D13" s="72">
        <v>489.31097627000003</v>
      </c>
      <c r="E13" s="72">
        <v>491</v>
      </c>
      <c r="F13" s="72">
        <v>196.84450373000001</v>
      </c>
      <c r="G13" s="72">
        <v>249.20322046000001</v>
      </c>
      <c r="H13" s="72">
        <f t="shared" si="3"/>
        <v>50.754220052953158</v>
      </c>
      <c r="I13" s="884">
        <f t="shared" si="0"/>
        <v>26.599023969608705</v>
      </c>
      <c r="J13" s="69">
        <f t="shared" si="1"/>
        <v>0.20390400605742962</v>
      </c>
      <c r="K13" s="69"/>
      <c r="L13" s="66"/>
      <c r="M13" s="66"/>
      <c r="N13" s="66"/>
      <c r="O13" s="66"/>
      <c r="P13" s="66"/>
    </row>
    <row r="14" spans="2:16" ht="15" customHeight="1">
      <c r="C14" s="873" t="str">
        <f>IF(Indice_index!$Z$1=1,"Impostos Indiretos","Indirect taxes")</f>
        <v>Impostos Indiretos</v>
      </c>
      <c r="D14" s="72">
        <f t="shared" ref="D14:E14" si="4">SUM(D15:D22)</f>
        <v>25634.280838840004</v>
      </c>
      <c r="E14" s="72">
        <f t="shared" si="4"/>
        <v>27686.205802999997</v>
      </c>
      <c r="F14" s="72">
        <f t="shared" ref="F14:G14" si="5">SUM(F15:F22)</f>
        <v>13657.50456668</v>
      </c>
      <c r="G14" s="72">
        <f t="shared" si="5"/>
        <v>16185.413463729998</v>
      </c>
      <c r="H14" s="72">
        <f t="shared" si="3"/>
        <v>58.460207869928468</v>
      </c>
      <c r="I14" s="884">
        <f t="shared" si="0"/>
        <v>18.50930296020034</v>
      </c>
      <c r="J14" s="69">
        <f t="shared" si="1"/>
        <v>9.8446024511019949</v>
      </c>
      <c r="K14" s="69"/>
      <c r="L14" s="66"/>
      <c r="M14" s="66"/>
      <c r="N14" s="66"/>
      <c r="O14" s="66"/>
      <c r="P14" s="66"/>
    </row>
    <row r="15" spans="2:16" ht="15" customHeight="1">
      <c r="C15" s="874" t="str">
        <f>IF(Indice_index!$Z$1=1,"Imposto sobre os produtos petrolíferos e energéticos (ISP)","Tax on oil and energy products (ISP)")</f>
        <v>Imposto sobre os produtos petrolíferos e energéticos (ISP)</v>
      </c>
      <c r="D15" s="885">
        <v>3364.0679735099998</v>
      </c>
      <c r="E15" s="885">
        <v>3309.6347569999998</v>
      </c>
      <c r="F15" s="72">
        <v>1828.77107632</v>
      </c>
      <c r="G15" s="72">
        <v>1801.2665124600001</v>
      </c>
      <c r="H15" s="72">
        <f t="shared" si="3"/>
        <v>54.424933405423502</v>
      </c>
      <c r="I15" s="884">
        <f t="shared" si="0"/>
        <v>-1.5039916267347608</v>
      </c>
      <c r="J15" s="69">
        <f t="shared" si="1"/>
        <v>-0.10711283824691231</v>
      </c>
      <c r="K15" s="69"/>
      <c r="L15" s="66"/>
      <c r="M15" s="66"/>
      <c r="N15" s="66"/>
      <c r="O15" s="66"/>
      <c r="P15" s="66"/>
    </row>
    <row r="16" spans="2:16" ht="15" customHeight="1">
      <c r="C16" s="874" t="str">
        <f>IF(Indice_index!$Z$1=1,"Imposto sobre o Valor Acrescentado (IVA)","Value-added tax (IVA)")</f>
        <v>Imposto sobre o Valor Acrescentado (IVA)</v>
      </c>
      <c r="D16" s="885">
        <v>17728.253620750002</v>
      </c>
      <c r="E16" s="885">
        <v>19546.306274999999</v>
      </c>
      <c r="F16" s="72">
        <v>9289.3360691800008</v>
      </c>
      <c r="G16" s="72">
        <v>11584.47287175</v>
      </c>
      <c r="H16" s="72">
        <f t="shared" si="3"/>
        <v>59.266813426364365</v>
      </c>
      <c r="I16" s="884">
        <f t="shared" si="0"/>
        <v>24.707221113301784</v>
      </c>
      <c r="J16" s="69">
        <f t="shared" si="1"/>
        <v>8.9381027214083684</v>
      </c>
      <c r="K16" s="69"/>
      <c r="L16" s="66"/>
      <c r="M16" s="66"/>
      <c r="N16" s="66"/>
      <c r="O16" s="66"/>
      <c r="P16" s="66"/>
    </row>
    <row r="17" spans="3:16" ht="15" customHeight="1">
      <c r="C17" s="874" t="str">
        <f>IF(Indice_index!$Z$1=1,"Imposto sobre Veículos (ISV)","Tax on vehicles (ISV)")</f>
        <v>Imposto sobre Veículos (ISV)</v>
      </c>
      <c r="D17" s="885">
        <v>421.86715766999998</v>
      </c>
      <c r="E17" s="885">
        <v>482.11346900000001</v>
      </c>
      <c r="F17" s="72">
        <v>257.94265564</v>
      </c>
      <c r="G17" s="72">
        <v>263.18255270999998</v>
      </c>
      <c r="H17" s="72">
        <f t="shared" si="3"/>
        <v>54.589338326492587</v>
      </c>
      <c r="I17" s="884">
        <f t="shared" si="0"/>
        <v>2.0314193699366627</v>
      </c>
      <c r="J17" s="69">
        <f t="shared" si="1"/>
        <v>2.04060769749424E-2</v>
      </c>
      <c r="K17" s="69"/>
      <c r="L17" s="66"/>
      <c r="M17" s="66"/>
      <c r="N17" s="66"/>
      <c r="O17" s="66"/>
      <c r="P17" s="66"/>
    </row>
    <row r="18" spans="3:16" ht="15" customHeight="1">
      <c r="C18" s="874" t="str">
        <f>IF(Indice_index!$Z$1=1,"Imposto de consumo sobre o tabaco","Tax on tobacco")</f>
        <v>Imposto de consumo sobre o tabaco</v>
      </c>
      <c r="D18" s="885">
        <v>1413.60926199</v>
      </c>
      <c r="E18" s="885">
        <v>1433.6002309999999</v>
      </c>
      <c r="F18" s="72">
        <v>747.90220597999996</v>
      </c>
      <c r="G18" s="72">
        <v>826.52312853000001</v>
      </c>
      <c r="H18" s="72">
        <f t="shared" si="3"/>
        <v>57.653668760464925</v>
      </c>
      <c r="I18" s="884">
        <f t="shared" si="0"/>
        <v>10.512192893853088</v>
      </c>
      <c r="J18" s="69">
        <f t="shared" si="1"/>
        <v>0.3061786473977991</v>
      </c>
      <c r="K18" s="69"/>
      <c r="L18" s="66"/>
      <c r="M18" s="66"/>
      <c r="N18" s="66"/>
      <c r="O18" s="66"/>
      <c r="P18" s="66"/>
    </row>
    <row r="19" spans="3:16" ht="15" customHeight="1">
      <c r="C19" s="874" t="str">
        <f>IF(Indice_index!$Z$1=1,"Imposto sobre álcool e bebidas alcoólicas (IABA)","Tax on alcoholic beverages (IABA)")</f>
        <v>Imposto sobre álcool e bebidas alcoólicas (IABA)</v>
      </c>
      <c r="D19" s="885">
        <v>256.87236737000001</v>
      </c>
      <c r="E19" s="885">
        <v>286.79578700000002</v>
      </c>
      <c r="F19" s="72">
        <v>123.89087639</v>
      </c>
      <c r="G19" s="72">
        <v>165.66202536</v>
      </c>
      <c r="H19" s="72">
        <f t="shared" si="3"/>
        <v>57.76306098945588</v>
      </c>
      <c r="I19" s="884">
        <f t="shared" si="0"/>
        <v>33.716081593052323</v>
      </c>
      <c r="J19" s="69">
        <f t="shared" si="1"/>
        <v>0.16267214218648929</v>
      </c>
      <c r="K19" s="69"/>
      <c r="L19" s="66"/>
      <c r="M19" s="66"/>
      <c r="N19" s="66"/>
      <c r="O19" s="66"/>
      <c r="P19" s="66"/>
    </row>
    <row r="20" spans="3:16" ht="15" customHeight="1">
      <c r="C20" s="874" t="str">
        <f>IF(Indice_index!$Z$1=1,"Imposto do selo","Stamp tax")</f>
        <v>Imposto do selo</v>
      </c>
      <c r="D20" s="885">
        <v>1778.41239243</v>
      </c>
      <c r="E20" s="885">
        <v>1938.1549379999999</v>
      </c>
      <c r="F20" s="72">
        <v>1018.8196709699999</v>
      </c>
      <c r="G20" s="72">
        <v>1120.28510878</v>
      </c>
      <c r="H20" s="72">
        <f t="shared" si="3"/>
        <v>57.801628074999641</v>
      </c>
      <c r="I20" s="884">
        <f t="shared" si="0"/>
        <v>9.9591164855893108</v>
      </c>
      <c r="J20" s="69">
        <f t="shared" si="1"/>
        <v>0.39514355083450109</v>
      </c>
      <c r="K20" s="69"/>
      <c r="L20" s="66"/>
      <c r="M20" s="66"/>
      <c r="N20" s="66"/>
      <c r="O20" s="66"/>
      <c r="P20" s="66"/>
    </row>
    <row r="21" spans="3:16" ht="15" customHeight="1">
      <c r="C21" s="874" t="str">
        <f>IF(Indice_index!$Z$1=1,"Imposto Único de Circulação (IUC)","Tax on vehicle circulation (IUC)")</f>
        <v>Imposto Único de Circulação (IUC)</v>
      </c>
      <c r="D21" s="885">
        <v>401.18201901999998</v>
      </c>
      <c r="E21" s="885">
        <v>408.600346</v>
      </c>
      <c r="F21" s="72">
        <v>230.74034717000001</v>
      </c>
      <c r="G21" s="72">
        <v>257.71061335000002</v>
      </c>
      <c r="H21" s="72">
        <f t="shared" si="3"/>
        <v>63.071560235536374</v>
      </c>
      <c r="I21" s="884">
        <f t="shared" si="0"/>
        <v>11.688578313583548</v>
      </c>
      <c r="J21" s="69">
        <f t="shared" si="1"/>
        <v>0.1050320875298735</v>
      </c>
      <c r="K21" s="69"/>
      <c r="L21" s="66"/>
      <c r="M21" s="66"/>
      <c r="N21" s="66"/>
      <c r="O21" s="66"/>
      <c r="P21" s="66"/>
    </row>
    <row r="22" spans="3:16" ht="15" customHeight="1">
      <c r="C22" s="874" t="str">
        <f>IF(Indice_index!$Z$1=1,"Outros","Others")</f>
        <v>Outros</v>
      </c>
      <c r="D22" s="885">
        <v>270.0160461000001</v>
      </c>
      <c r="E22" s="885">
        <f>221.898526-E20-E21+2405.856758</f>
        <v>281</v>
      </c>
      <c r="F22" s="72">
        <v>160.10166502999999</v>
      </c>
      <c r="G22" s="72">
        <v>166.31065078999998</v>
      </c>
      <c r="H22" s="72">
        <f t="shared" si="3"/>
        <v>59.18528497864768</v>
      </c>
      <c r="I22" s="884">
        <f t="shared" si="0"/>
        <v>3.8781518973188351</v>
      </c>
      <c r="J22" s="69">
        <f t="shared" si="1"/>
        <v>2.4180063016940416E-2</v>
      </c>
      <c r="K22" s="69"/>
      <c r="L22" s="66"/>
      <c r="M22" s="66"/>
      <c r="N22" s="66"/>
      <c r="O22" s="66"/>
      <c r="P22" s="66"/>
    </row>
    <row r="23" spans="3:16" ht="4.5" customHeight="1">
      <c r="C23" s="874"/>
      <c r="D23" s="72"/>
      <c r="E23" s="72"/>
      <c r="F23" s="72"/>
      <c r="G23" s="72"/>
      <c r="H23" s="72"/>
      <c r="I23" s="886"/>
      <c r="J23" s="69"/>
      <c r="K23" s="69"/>
      <c r="L23" s="66"/>
      <c r="M23" s="66"/>
      <c r="N23" s="66"/>
      <c r="O23" s="66"/>
      <c r="P23" s="66"/>
    </row>
    <row r="24" spans="3:16" s="278" customFormat="1" ht="15" customHeight="1">
      <c r="C24" s="883" t="str">
        <f>IF(Indice_index!$Z$1=1,"Contribuições para Segurança Social, CGA e ADSE","Social security, CGA and ADSE contributions")</f>
        <v>Contribuições para Segurança Social, CGA e ADSE</v>
      </c>
      <c r="D24" s="279">
        <f>SUM(D25:D26)</f>
        <v>66.578526589999996</v>
      </c>
      <c r="E24" s="279">
        <f>SUM(E25:E26)</f>
        <v>75.073003999999997</v>
      </c>
      <c r="F24" s="279">
        <f>SUM(F25:F26)</f>
        <v>37.152121209999997</v>
      </c>
      <c r="G24" s="279">
        <f>SUM(G25:G26)</f>
        <v>39.057319120000002</v>
      </c>
      <c r="H24" s="279">
        <f t="shared" si="3"/>
        <v>52.025784288583957</v>
      </c>
      <c r="I24" s="279">
        <f>IF(IFERROR((G24-F24)/F24*100,"")&gt;500,"-",IFERROR((G24-F24)/F24*100,""))</f>
        <v>5.1280999521696096</v>
      </c>
      <c r="J24" s="279">
        <f>IFERROR((G24-F24)/$F$62*100,"-")</f>
        <v>7.4195379574430488E-3</v>
      </c>
      <c r="K24" s="279"/>
      <c r="L24" s="274"/>
      <c r="M24" s="274"/>
      <c r="N24" s="274"/>
      <c r="O24" s="274"/>
      <c r="P24" s="274"/>
    </row>
    <row r="25" spans="3:16" ht="15" customHeight="1">
      <c r="C25" s="874" t="str">
        <f>IF(Indice_index!$Z$1=1,"Comparticipações para a ADSE","ADSE co-payments")</f>
        <v>Comparticipações para a ADSE</v>
      </c>
      <c r="D25" s="72">
        <v>0</v>
      </c>
      <c r="E25" s="72">
        <v>0</v>
      </c>
      <c r="F25" s="72">
        <v>0</v>
      </c>
      <c r="G25" s="72">
        <v>0</v>
      </c>
      <c r="H25" s="887" t="str">
        <f t="shared" si="3"/>
        <v>-</v>
      </c>
      <c r="I25" s="886" t="str">
        <f>IF(IFERROR((G25-F25)/F25*100,"")&gt;500,"-",IFERROR((G25-F25)/F25*100,""))</f>
        <v>-</v>
      </c>
      <c r="J25" s="69">
        <f>IFERROR((G25-F25)/$F$62*100,"-")</f>
        <v>0</v>
      </c>
      <c r="K25" s="69"/>
      <c r="L25" s="66"/>
      <c r="M25" s="66"/>
      <c r="N25" s="66"/>
      <c r="O25" s="66"/>
      <c r="P25" s="66"/>
    </row>
    <row r="26" spans="3:16" ht="15" customHeight="1">
      <c r="C26" s="874" t="str">
        <f>IF(Indice_index!$Z$1=1,"Outros","Others")</f>
        <v>Outros</v>
      </c>
      <c r="D26" s="72">
        <v>66.578526589999996</v>
      </c>
      <c r="E26" s="72">
        <v>75.073003999999997</v>
      </c>
      <c r="F26" s="72">
        <v>37.152121209999997</v>
      </c>
      <c r="G26" s="72">
        <v>39.057319120000002</v>
      </c>
      <c r="H26" s="72">
        <f t="shared" si="3"/>
        <v>52.025784288583957</v>
      </c>
      <c r="I26" s="886">
        <f>IF(IFERROR((G26-F26)/F26*100,"")&gt;500,"-",IFERROR((G26-F26)/F26*100,""))</f>
        <v>5.1280999521696096</v>
      </c>
      <c r="J26" s="69">
        <f>IFERROR((G26-F26)/$F$62*100,"-")</f>
        <v>7.4195379574430488E-3</v>
      </c>
      <c r="K26" s="69"/>
      <c r="M26" s="66"/>
      <c r="N26" s="66"/>
      <c r="O26" s="66"/>
      <c r="P26" s="66"/>
    </row>
    <row r="27" spans="3:16" ht="4.5" customHeight="1">
      <c r="C27" s="786"/>
      <c r="D27" s="888"/>
      <c r="E27" s="888"/>
      <c r="F27" s="888"/>
      <c r="G27" s="888"/>
      <c r="H27" s="888"/>
      <c r="I27" s="884"/>
      <c r="J27" s="71"/>
      <c r="K27" s="71"/>
      <c r="M27" s="66"/>
      <c r="N27" s="66"/>
      <c r="O27" s="66"/>
      <c r="P27" s="66"/>
    </row>
    <row r="28" spans="3:16" s="278" customFormat="1" ht="15" customHeight="1">
      <c r="C28" s="883" t="str">
        <f>IF(Indice_index!$Z$1=1,"Receita não fiscal","Non-tax revenue")</f>
        <v>Receita não fiscal</v>
      </c>
      <c r="D28" s="279">
        <f>+D29+D52</f>
        <v>4416.3290454100006</v>
      </c>
      <c r="E28" s="279">
        <f>+E29+E52</f>
        <v>5051.4053809999996</v>
      </c>
      <c r="F28" s="279">
        <f>+F29+F52</f>
        <v>2483.8277021499998</v>
      </c>
      <c r="G28" s="279">
        <f>+G29+G52</f>
        <v>3015.1343397099999</v>
      </c>
      <c r="H28" s="279">
        <f t="shared" si="3"/>
        <v>59.68901943706426</v>
      </c>
      <c r="I28" s="279">
        <f t="shared" ref="I28:I50" si="6">IF(IFERROR((G28-F28)/F28*100,"")&gt;500,"-",IFERROR((G28-F28)/F28*100,""))</f>
        <v>21.390639821759834</v>
      </c>
      <c r="J28" s="279">
        <f t="shared" ref="J28:J50" si="7">IFERROR((G28-F28)/$F$62*100,"-")</f>
        <v>2.0691025030663854</v>
      </c>
      <c r="K28" s="279"/>
      <c r="L28" s="280"/>
      <c r="M28" s="274"/>
      <c r="N28" s="274"/>
      <c r="O28" s="274"/>
      <c r="P28" s="274"/>
    </row>
    <row r="29" spans="3:16" ht="15" customHeight="1">
      <c r="C29" s="873" t="str">
        <f>IF(Indice_index!$Z$1=1,"Correntes","Current")</f>
        <v>Correntes</v>
      </c>
      <c r="D29" s="72">
        <f>SUM(D30,D35,D39,D44:D45,D49:D51)</f>
        <v>4331.561351450001</v>
      </c>
      <c r="E29" s="72">
        <f>SUM(E30,E35,E39,E44:E45,E49:E51)</f>
        <v>4521.331741</v>
      </c>
      <c r="F29" s="72">
        <f>SUM(F30,F35,F39,F44:F45,F49:F51)</f>
        <v>2419.8222629799998</v>
      </c>
      <c r="G29" s="72">
        <f>SUM(G30,G35,G39,G44:G45,G49:G51)</f>
        <v>2736.2779019499999</v>
      </c>
      <c r="H29" s="72">
        <f t="shared" si="3"/>
        <v>60.519290746509277</v>
      </c>
      <c r="I29" s="886">
        <f t="shared" si="6"/>
        <v>13.077639784183425</v>
      </c>
      <c r="J29" s="69">
        <f t="shared" si="7"/>
        <v>1.232394079828065</v>
      </c>
      <c r="K29" s="69"/>
      <c r="L29" s="68"/>
      <c r="M29" s="66"/>
      <c r="N29" s="66"/>
      <c r="O29" s="66"/>
      <c r="P29" s="66"/>
    </row>
    <row r="30" spans="3:16" ht="15" customHeight="1">
      <c r="C30" s="874" t="str">
        <f>IF(Indice_index!$Z$1=1,"Taxas, Multas e Outras Penalidades","Taxes, fines and other penalties")</f>
        <v>Taxas, Multas e Outras Penalidades</v>
      </c>
      <c r="D30" s="72">
        <f t="shared" ref="D30:G30" si="8">SUM(D31:D34)</f>
        <v>857.09185406000006</v>
      </c>
      <c r="E30" s="72">
        <f t="shared" ref="E30" si="9">SUM(E31:E34)</f>
        <v>1005.0051129999999</v>
      </c>
      <c r="F30" s="72">
        <f t="shared" si="8"/>
        <v>442.81277368999997</v>
      </c>
      <c r="G30" s="72">
        <f t="shared" si="8"/>
        <v>566.68861211000001</v>
      </c>
      <c r="H30" s="72">
        <f t="shared" si="3"/>
        <v>56.386639707573316</v>
      </c>
      <c r="I30" s="886">
        <f t="shared" si="6"/>
        <v>27.974766262438898</v>
      </c>
      <c r="J30" s="69">
        <f t="shared" si="7"/>
        <v>0.48241785293962952</v>
      </c>
      <c r="K30" s="69"/>
      <c r="M30" s="66"/>
      <c r="N30" s="66"/>
      <c r="O30" s="66"/>
      <c r="P30" s="66"/>
    </row>
    <row r="31" spans="3:16" ht="15" customHeight="1">
      <c r="C31" s="889" t="str">
        <f>IF(Indice_index!$Z$1=1,"Taxas","Taxes")</f>
        <v>Taxas</v>
      </c>
      <c r="D31" s="72">
        <v>546.63159624000002</v>
      </c>
      <c r="E31" s="72">
        <v>626.43151399999999</v>
      </c>
      <c r="F31" s="72">
        <v>291.88252720000003</v>
      </c>
      <c r="G31" s="72">
        <v>386.19874441000002</v>
      </c>
      <c r="H31" s="72">
        <f t="shared" si="3"/>
        <v>61.650593205947814</v>
      </c>
      <c r="I31" s="886">
        <f t="shared" si="6"/>
        <v>32.313074069477906</v>
      </c>
      <c r="J31" s="69">
        <f t="shared" si="7"/>
        <v>0.36730186922787261</v>
      </c>
      <c r="K31" s="69"/>
      <c r="M31" s="66"/>
      <c r="N31" s="66"/>
      <c r="O31" s="66"/>
      <c r="P31" s="66"/>
    </row>
    <row r="32" spans="3:16" ht="15" customHeight="1">
      <c r="C32" s="889" t="str">
        <f>IF(Indice_index!$Z$1=1,"Juros de mora e compensatórios","Default and compensatory interests")</f>
        <v>Juros de mora e compensatórios</v>
      </c>
      <c r="D32" s="72">
        <v>67.454711520000004</v>
      </c>
      <c r="E32" s="72">
        <v>64.604410999999999</v>
      </c>
      <c r="F32" s="72">
        <v>26.178492970000001</v>
      </c>
      <c r="G32" s="72">
        <v>44.855365759999998</v>
      </c>
      <c r="H32" s="72">
        <f t="shared" si="3"/>
        <v>69.430809856001943</v>
      </c>
      <c r="I32" s="886">
        <f t="shared" si="6"/>
        <v>71.344339077896109</v>
      </c>
      <c r="J32" s="69">
        <f t="shared" si="7"/>
        <v>7.2734578315666862E-2</v>
      </c>
      <c r="K32" s="69"/>
      <c r="M32" s="66"/>
      <c r="N32" s="66"/>
      <c r="O32" s="66"/>
      <c r="P32" s="66"/>
    </row>
    <row r="33" spans="3:16" ht="15" customHeight="1">
      <c r="C33" s="889" t="str">
        <f>IF(Indice_index!$Z$1=1,"Multas do Código da Estrada","Highway code fines")</f>
        <v>Multas do Código da Estrada</v>
      </c>
      <c r="D33" s="72">
        <v>82.447458960000006</v>
      </c>
      <c r="E33" s="72">
        <v>127.320525</v>
      </c>
      <c r="F33" s="72">
        <v>47.275668199999998</v>
      </c>
      <c r="G33" s="72">
        <v>42.565438219999997</v>
      </c>
      <c r="H33" s="72">
        <f t="shared" si="3"/>
        <v>33.431717486241908</v>
      </c>
      <c r="I33" s="886">
        <f t="shared" si="6"/>
        <v>-9.9633281968080176</v>
      </c>
      <c r="J33" s="69">
        <f t="shared" si="7"/>
        <v>-1.8343359470143508E-2</v>
      </c>
      <c r="K33" s="69"/>
      <c r="M33" s="66"/>
      <c r="N33" s="66"/>
      <c r="O33" s="66"/>
      <c r="P33" s="66"/>
    </row>
    <row r="34" spans="3:16" ht="15" customHeight="1">
      <c r="C34" s="889" t="str">
        <f>IF(Indice_index!$Z$1=1,"Outras multas e penalidades diversas","Other fines and diverse penalties")</f>
        <v>Outras multas e penalidades diversas</v>
      </c>
      <c r="D34" s="72">
        <v>160.55808733999999</v>
      </c>
      <c r="E34" s="72">
        <v>186.648663</v>
      </c>
      <c r="F34" s="72">
        <v>77.476085319999996</v>
      </c>
      <c r="G34" s="72">
        <v>93.069063720000003</v>
      </c>
      <c r="H34" s="72">
        <f t="shared" si="3"/>
        <v>49.863236212948394</v>
      </c>
      <c r="I34" s="886">
        <f t="shared" si="6"/>
        <v>20.126182596340826</v>
      </c>
      <c r="J34" s="69">
        <f t="shared" si="7"/>
        <v>6.0724764866233405E-2</v>
      </c>
      <c r="K34" s="69"/>
      <c r="M34" s="66"/>
      <c r="N34" s="66"/>
      <c r="O34" s="66"/>
      <c r="P34" s="66"/>
    </row>
    <row r="35" spans="3:16" ht="15" customHeight="1">
      <c r="C35" s="874" t="str">
        <f>IF(Indice_index!$Z$1=1,"Rendimentos da Propriedade","Property income")</f>
        <v>Rendimentos da Propriedade</v>
      </c>
      <c r="D35" s="72">
        <f>SUM(D36:D38)</f>
        <v>759.19899399999997</v>
      </c>
      <c r="E35" s="72">
        <f>SUM(E36:E38)</f>
        <v>694.07876799999997</v>
      </c>
      <c r="F35" s="72">
        <f>SUM(F36:F38)</f>
        <v>505.04088146999999</v>
      </c>
      <c r="G35" s="72">
        <f>SUM(G36:G38)</f>
        <v>719.98077540999998</v>
      </c>
      <c r="H35" s="72">
        <f t="shared" si="3"/>
        <v>103.73185416471348</v>
      </c>
      <c r="I35" s="886">
        <f t="shared" si="6"/>
        <v>42.558909946930243</v>
      </c>
      <c r="J35" s="69">
        <f t="shared" si="7"/>
        <v>0.83705461426661376</v>
      </c>
      <c r="K35" s="69"/>
      <c r="M35" s="66"/>
      <c r="N35" s="66"/>
      <c r="O35" s="66"/>
      <c r="P35" s="66"/>
    </row>
    <row r="36" spans="3:16" ht="15" customHeight="1">
      <c r="C36" s="889" t="str">
        <f>IF(Indice_index!$Z$1=1,"Juros","Interests")</f>
        <v>Juros</v>
      </c>
      <c r="D36" s="72">
        <v>110.78467236</v>
      </c>
      <c r="E36" s="72">
        <v>179.26851599999998</v>
      </c>
      <c r="F36" s="72">
        <v>99.048207810000008</v>
      </c>
      <c r="G36" s="72">
        <v>107.99124533000001</v>
      </c>
      <c r="H36" s="72">
        <f t="shared" si="3"/>
        <v>60.23993936001569</v>
      </c>
      <c r="I36" s="886">
        <f t="shared" si="6"/>
        <v>9.0289745950326079</v>
      </c>
      <c r="J36" s="69">
        <f t="shared" si="7"/>
        <v>3.4827461223950841E-2</v>
      </c>
      <c r="K36" s="69"/>
      <c r="L36" s="72"/>
      <c r="M36" s="66"/>
      <c r="N36" s="66"/>
      <c r="O36" s="66"/>
      <c r="P36" s="66"/>
    </row>
    <row r="37" spans="3:16" ht="15" customHeight="1">
      <c r="C37" s="889" t="str">
        <f>IF(Indice_index!$Z$1=1,"Dividendos e participações nos lucros","Dividends and profit participations")</f>
        <v>Dividendos e participações nos lucros</v>
      </c>
      <c r="D37" s="887">
        <v>644.85672493000004</v>
      </c>
      <c r="E37" s="887">
        <v>511.55187100000001</v>
      </c>
      <c r="F37" s="887">
        <v>404.35137896999998</v>
      </c>
      <c r="G37" s="887">
        <v>610.75845484000001</v>
      </c>
      <c r="H37" s="887">
        <f t="shared" si="3"/>
        <v>119.39325989485043</v>
      </c>
      <c r="I37" s="886">
        <f t="shared" si="6"/>
        <v>51.046462706712816</v>
      </c>
      <c r="J37" s="69">
        <f t="shared" si="7"/>
        <v>0.80382469771987508</v>
      </c>
      <c r="K37" s="69"/>
      <c r="M37" s="66"/>
      <c r="N37" s="66"/>
      <c r="O37" s="66"/>
      <c r="P37" s="66"/>
    </row>
    <row r="38" spans="3:16" s="67" customFormat="1" ht="15" customHeight="1">
      <c r="C38" s="889" t="str">
        <f>IF(Indice_index!$Z$1=1,"Outros","Others")</f>
        <v>Outros</v>
      </c>
      <c r="D38" s="72">
        <v>3.5575967099999999</v>
      </c>
      <c r="E38" s="72">
        <v>3.258381</v>
      </c>
      <c r="F38" s="72">
        <v>1.6412946900000001</v>
      </c>
      <c r="G38" s="72">
        <v>1.23107524</v>
      </c>
      <c r="H38" s="72">
        <f t="shared" si="3"/>
        <v>37.781807590947771</v>
      </c>
      <c r="I38" s="886">
        <f t="shared" si="6"/>
        <v>-24.993649982502532</v>
      </c>
      <c r="J38" s="69">
        <f t="shared" si="7"/>
        <v>-1.5975446772122494E-3</v>
      </c>
      <c r="K38" s="69"/>
      <c r="M38" s="66"/>
      <c r="N38" s="66"/>
      <c r="O38" s="66"/>
      <c r="P38" s="66"/>
    </row>
    <row r="39" spans="3:16" s="67" customFormat="1" ht="15" customHeight="1">
      <c r="C39" s="874" t="str">
        <f>IF(Indice_index!$Z$1=1,"Transferências Correntes","Current transfers")</f>
        <v>Transferências Correntes</v>
      </c>
      <c r="D39" s="72">
        <f>SUM(D40:D43)</f>
        <v>1214.3733370100001</v>
      </c>
      <c r="E39" s="72">
        <f>SUM(E40:E43)</f>
        <v>1338.8009099999999</v>
      </c>
      <c r="F39" s="72">
        <f>SUM(F40:F43)</f>
        <v>699.28612495999994</v>
      </c>
      <c r="G39" s="72">
        <f>SUM(G40:G43)</f>
        <v>551.11108692000005</v>
      </c>
      <c r="H39" s="72">
        <f t="shared" si="3"/>
        <v>41.164528855899874</v>
      </c>
      <c r="I39" s="886">
        <f t="shared" si="6"/>
        <v>-21.189472056016513</v>
      </c>
      <c r="J39" s="69">
        <f t="shared" si="7"/>
        <v>-0.57704782968365931</v>
      </c>
      <c r="K39" s="69"/>
      <c r="L39" s="73"/>
      <c r="M39" s="66"/>
      <c r="N39" s="66"/>
      <c r="O39" s="66"/>
      <c r="P39" s="66"/>
    </row>
    <row r="40" spans="3:16" s="67" customFormat="1" ht="15" customHeight="1">
      <c r="C40" s="889" t="str">
        <f>IF(Indice_index!$Z$1=1,"Administração Central","Central Administration")</f>
        <v>Administração Central</v>
      </c>
      <c r="D40" s="72">
        <v>528.42067895000002</v>
      </c>
      <c r="E40" s="72">
        <v>559.4232750000001</v>
      </c>
      <c r="F40" s="72">
        <v>269.97812766000004</v>
      </c>
      <c r="G40" s="72">
        <v>229.44389605999996</v>
      </c>
      <c r="H40" s="72">
        <f t="shared" si="3"/>
        <v>41.014363597939308</v>
      </c>
      <c r="I40" s="886">
        <f t="shared" si="6"/>
        <v>-15.013894625955521</v>
      </c>
      <c r="J40" s="69">
        <f t="shared" si="7"/>
        <v>-0.15785513324019301</v>
      </c>
      <c r="K40" s="69"/>
      <c r="M40" s="66"/>
      <c r="N40" s="66"/>
      <c r="O40" s="66"/>
      <c r="P40" s="66"/>
    </row>
    <row r="41" spans="3:16" ht="15" customHeight="1">
      <c r="C41" s="889" t="str">
        <f>IF(Indice_index!$Z$1=1,"Outros subsectores das AP","Other General Government subsectors")</f>
        <v>Outros subsectores das AP</v>
      </c>
      <c r="D41" s="72">
        <v>215.78015270999998</v>
      </c>
      <c r="E41" s="72">
        <v>260.91179099999999</v>
      </c>
      <c r="F41" s="72">
        <v>121.62167019999998</v>
      </c>
      <c r="G41" s="72">
        <v>157.07006742000002</v>
      </c>
      <c r="H41" s="72">
        <f t="shared" si="3"/>
        <v>60.20044813536235</v>
      </c>
      <c r="I41" s="886">
        <f t="shared" si="6"/>
        <v>29.14644829470533</v>
      </c>
      <c r="J41" s="69">
        <f t="shared" si="7"/>
        <v>0.13804903276652666</v>
      </c>
      <c r="K41" s="69"/>
      <c r="M41" s="66"/>
      <c r="N41" s="66"/>
      <c r="O41" s="66"/>
      <c r="P41" s="66"/>
    </row>
    <row r="42" spans="3:16" s="67" customFormat="1" ht="15" customHeight="1">
      <c r="C42" s="889" t="str">
        <f>IF(Indice_index!$Z$1=1,"União Europeia","European Union")</f>
        <v>União Europeia</v>
      </c>
      <c r="D42" s="72">
        <v>456.44551322000001</v>
      </c>
      <c r="E42" s="72">
        <v>485.50868800000001</v>
      </c>
      <c r="F42" s="72">
        <v>298.16771333999998</v>
      </c>
      <c r="G42" s="72">
        <v>150.39865816</v>
      </c>
      <c r="H42" s="72">
        <f t="shared" si="3"/>
        <v>30.977542086744286</v>
      </c>
      <c r="I42" s="886">
        <f t="shared" si="6"/>
        <v>-49.55903961724362</v>
      </c>
      <c r="J42" s="69">
        <f t="shared" si="7"/>
        <v>-0.57546678383848482</v>
      </c>
      <c r="K42" s="69"/>
      <c r="M42" s="66"/>
      <c r="N42" s="66"/>
      <c r="O42" s="66"/>
      <c r="P42" s="66"/>
    </row>
    <row r="43" spans="3:16" ht="15" customHeight="1">
      <c r="C43" s="889" t="str">
        <f>IF(Indice_index!$Z$1=1,"Outros","Others")</f>
        <v>Outros</v>
      </c>
      <c r="D43" s="72">
        <v>13.726992130000001</v>
      </c>
      <c r="E43" s="72">
        <v>32.957155999999998</v>
      </c>
      <c r="F43" s="72">
        <v>9.5186137599999991</v>
      </c>
      <c r="G43" s="72">
        <v>14.198465280000001</v>
      </c>
      <c r="H43" s="72">
        <f t="shared" si="3"/>
        <v>43.081585316402915</v>
      </c>
      <c r="I43" s="886">
        <f t="shared" si="6"/>
        <v>49.165263325066377</v>
      </c>
      <c r="J43" s="69">
        <f t="shared" si="7"/>
        <v>1.8225054628491305E-2</v>
      </c>
      <c r="K43" s="69"/>
      <c r="M43" s="66"/>
      <c r="N43" s="66"/>
      <c r="O43" s="66"/>
      <c r="P43" s="66"/>
    </row>
    <row r="44" spans="3:16" s="67" customFormat="1" ht="15" customHeight="1">
      <c r="C44" s="874" t="str">
        <f>IF(Indice_index!$Z$1=1,"Venda de Bens e Serviços Correntes","Sale of current goods and services")</f>
        <v>Venda de Bens e Serviços Correntes</v>
      </c>
      <c r="D44" s="72">
        <v>736.75581270999999</v>
      </c>
      <c r="E44" s="72">
        <v>821.02860499999997</v>
      </c>
      <c r="F44" s="72">
        <v>216.07029997000001</v>
      </c>
      <c r="G44" s="72">
        <v>331.32020598999998</v>
      </c>
      <c r="H44" s="72">
        <f t="shared" si="3"/>
        <v>40.354282904674193</v>
      </c>
      <c r="I44" s="886">
        <f t="shared" si="6"/>
        <v>53.33907808523508</v>
      </c>
      <c r="J44" s="69">
        <f t="shared" si="7"/>
        <v>0.44882531511234514</v>
      </c>
      <c r="K44" s="69"/>
      <c r="M44" s="66"/>
      <c r="N44" s="66"/>
      <c r="O44" s="66"/>
      <c r="P44" s="66"/>
    </row>
    <row r="45" spans="3:16" ht="15" customHeight="1">
      <c r="C45" s="874" t="str">
        <f>IF(Indice_index!$Z$1=1,"Outras Receitas Correntes","Other current revenue")</f>
        <v>Outras Receitas Correntes</v>
      </c>
      <c r="D45" s="887">
        <f t="shared" ref="D45:E45" si="10">SUM(D46:D48)</f>
        <v>351.11166080999999</v>
      </c>
      <c r="E45" s="887">
        <f t="shared" si="10"/>
        <v>408.08124099999998</v>
      </c>
      <c r="F45" s="887">
        <f t="shared" ref="F45:G45" si="11">SUM(F46:F48)</f>
        <v>277.04832497000001</v>
      </c>
      <c r="G45" s="887">
        <f t="shared" si="11"/>
        <v>135.26571294000001</v>
      </c>
      <c r="H45" s="887">
        <f t="shared" si="3"/>
        <v>33.146760828440044</v>
      </c>
      <c r="I45" s="886">
        <f t="shared" si="6"/>
        <v>-51.176130390015103</v>
      </c>
      <c r="J45" s="69">
        <f t="shared" si="7"/>
        <v>-0.55215338319471674</v>
      </c>
      <c r="K45" s="69"/>
      <c r="M45" s="66"/>
      <c r="N45" s="66"/>
      <c r="O45" s="66"/>
      <c r="P45" s="66"/>
    </row>
    <row r="46" spans="3:16" ht="15" customHeight="1">
      <c r="C46" s="889" t="str">
        <f>IF(Indice_index!$Z$1=1,"Prémios e taxas por garantias de riscos","Premiums and rates on risk guarantees")</f>
        <v>Prémios e taxas por garantias de riscos</v>
      </c>
      <c r="D46" s="887">
        <v>31.280779299999999</v>
      </c>
      <c r="E46" s="887">
        <v>23.531946000000001</v>
      </c>
      <c r="F46" s="887">
        <v>16.406086120000001</v>
      </c>
      <c r="G46" s="887">
        <v>9.93840623</v>
      </c>
      <c r="H46" s="887">
        <f t="shared" si="3"/>
        <v>42.233677699243401</v>
      </c>
      <c r="I46" s="886">
        <f t="shared" si="6"/>
        <v>-39.422442639231988</v>
      </c>
      <c r="J46" s="69">
        <f>IFERROR((G46-F46)/$F$62*100,"-")</f>
        <v>-2.5187512640325097E-2</v>
      </c>
      <c r="K46" s="69"/>
      <c r="M46" s="66"/>
      <c r="N46" s="66"/>
      <c r="O46" s="66"/>
      <c r="P46" s="66"/>
    </row>
    <row r="47" spans="3:16" ht="15" customHeight="1">
      <c r="C47" s="889" t="str">
        <f>IF(Indice_index!$Z$1=1,"Subsídios","Subsidies")</f>
        <v>Subsídios</v>
      </c>
      <c r="D47" s="72">
        <v>252.35391096000001</v>
      </c>
      <c r="E47" s="72">
        <v>313.19213500000001</v>
      </c>
      <c r="F47" s="72">
        <v>209.28569379000001</v>
      </c>
      <c r="G47" s="72">
        <v>89.231954380000005</v>
      </c>
      <c r="H47" s="72">
        <f t="shared" si="3"/>
        <v>28.491122352098657</v>
      </c>
      <c r="I47" s="886">
        <f t="shared" si="6"/>
        <v>-57.36356711054674</v>
      </c>
      <c r="J47" s="69">
        <f t="shared" si="7"/>
        <v>-0.46753320051955599</v>
      </c>
      <c r="K47" s="69"/>
      <c r="M47" s="66"/>
      <c r="N47" s="66"/>
      <c r="O47" s="66"/>
      <c r="P47" s="66"/>
    </row>
    <row r="48" spans="3:16" ht="15" customHeight="1">
      <c r="C48" s="889" t="str">
        <f>IF(Indice_index!$Z$1=1,"Outras","Others")</f>
        <v>Outras</v>
      </c>
      <c r="D48" s="72">
        <v>67.476970550000004</v>
      </c>
      <c r="E48" s="72">
        <v>71.357159999999993</v>
      </c>
      <c r="F48" s="72">
        <v>51.356545060000002</v>
      </c>
      <c r="G48" s="72">
        <v>36.095352330000004</v>
      </c>
      <c r="H48" s="72">
        <f t="shared" si="3"/>
        <v>50.584065187011376</v>
      </c>
      <c r="I48" s="886">
        <f t="shared" si="6"/>
        <v>-29.716159278569659</v>
      </c>
      <c r="J48" s="69">
        <f t="shared" si="7"/>
        <v>-5.9432670034835683E-2</v>
      </c>
      <c r="K48" s="69"/>
      <c r="M48" s="66"/>
      <c r="N48" s="66"/>
      <c r="O48" s="66"/>
      <c r="P48" s="66"/>
    </row>
    <row r="49" spans="3:16" ht="15" customHeight="1">
      <c r="C49" s="874" t="str">
        <f>IF(Indice_index!$Z$1=1,"Recursos Próprios Comunitários","Community own resources")</f>
        <v>Recursos Próprios Comunitários</v>
      </c>
      <c r="D49" s="72">
        <v>238.33935378000001</v>
      </c>
      <c r="E49" s="72">
        <v>247.25</v>
      </c>
      <c r="F49" s="72">
        <v>119.22621474</v>
      </c>
      <c r="G49" s="72">
        <v>207.43244854</v>
      </c>
      <c r="H49" s="72">
        <f t="shared" si="3"/>
        <v>83.895833585439846</v>
      </c>
      <c r="I49" s="886">
        <f t="shared" si="6"/>
        <v>73.982247941322171</v>
      </c>
      <c r="J49" s="69">
        <f t="shared" si="7"/>
        <v>0.34350735759635287</v>
      </c>
      <c r="K49" s="69"/>
      <c r="M49" s="66"/>
      <c r="N49" s="66"/>
      <c r="O49" s="66"/>
      <c r="P49" s="66"/>
    </row>
    <row r="50" spans="3:16" ht="15" customHeight="1">
      <c r="C50" s="874" t="str">
        <f>IF(Indice_index!$Z$1=1,"Reposições Não Abatidas nos Pagamentos","Refunds not deducted from payments")</f>
        <v>Reposições Não Abatidas nos Pagamentos</v>
      </c>
      <c r="D50" s="72">
        <v>174.68589734</v>
      </c>
      <c r="E50" s="72">
        <v>5.1884009999999998</v>
      </c>
      <c r="F50" s="72">
        <v>160.33519486</v>
      </c>
      <c r="G50" s="72">
        <v>216.84606962999999</v>
      </c>
      <c r="H50" s="887" t="str">
        <f t="shared" si="3"/>
        <v>-</v>
      </c>
      <c r="I50" s="886">
        <f t="shared" si="6"/>
        <v>35.245458627685352</v>
      </c>
      <c r="J50" s="69">
        <f t="shared" si="7"/>
        <v>0.22007402914079643</v>
      </c>
      <c r="K50" s="69"/>
      <c r="M50" s="66"/>
      <c r="N50" s="66"/>
      <c r="O50" s="66"/>
      <c r="P50" s="66"/>
    </row>
    <row r="51" spans="3:16" ht="15" customHeight="1">
      <c r="C51" s="874" t="str">
        <f>IF(Indice_index!$Z$1=1,"Diferenças de consolidação","Consolidation differences")</f>
        <v>Diferenças de consolidação</v>
      </c>
      <c r="D51" s="72">
        <v>4.4417399999999996E-3</v>
      </c>
      <c r="E51" s="72">
        <v>1.898703</v>
      </c>
      <c r="F51" s="72">
        <v>2.4483199999999999E-3</v>
      </c>
      <c r="G51" s="72">
        <v>7.6329904099999997</v>
      </c>
      <c r="H51" s="887">
        <f t="shared" si="3"/>
        <v>402.01076261005539</v>
      </c>
      <c r="I51" s="886"/>
      <c r="J51" s="69"/>
      <c r="K51" s="69"/>
      <c r="M51" s="66"/>
      <c r="N51" s="66"/>
      <c r="O51" s="66"/>
      <c r="P51" s="66"/>
    </row>
    <row r="52" spans="3:16" ht="15" customHeight="1">
      <c r="C52" s="873" t="s">
        <v>5</v>
      </c>
      <c r="D52" s="887">
        <f>SUM(D53:D54,D59:D60)</f>
        <v>84.767693959999988</v>
      </c>
      <c r="E52" s="887">
        <f>SUM(E53:E54,E59:E60)</f>
        <v>530.07363999999995</v>
      </c>
      <c r="F52" s="887">
        <f>SUM(F53:F54,F59:F60)</f>
        <v>64.005439170000002</v>
      </c>
      <c r="G52" s="887">
        <f>SUM(G53:G54,G59:G60)</f>
        <v>278.85643776000001</v>
      </c>
      <c r="H52" s="887">
        <f t="shared" si="3"/>
        <v>52.607112807948731</v>
      </c>
      <c r="I52" s="886">
        <f t="shared" ref="I52:I59" si="12">IF(IFERROR((G52-F52)/F52*100,"")&gt;500,"-",IFERROR((G52-F52)/F52*100,""))</f>
        <v>335.67615717681514</v>
      </c>
      <c r="J52" s="69">
        <f t="shared" ref="J52:J59" si="13">IFERROR((G52-F52)/$F$62*100,"-")</f>
        <v>0.83670842323832051</v>
      </c>
      <c r="K52" s="69"/>
      <c r="L52" s="66"/>
      <c r="M52" s="66"/>
      <c r="N52" s="66"/>
      <c r="O52" s="66"/>
      <c r="P52" s="66"/>
    </row>
    <row r="53" spans="3:16" ht="15" customHeight="1">
      <c r="C53" s="874" t="str">
        <f>IF(Indice_index!$Z$1=1,"Venda de Bens de Investimento","Sale of investment goods")</f>
        <v>Venda de Bens de Investimento</v>
      </c>
      <c r="D53" s="72">
        <v>36.8988175</v>
      </c>
      <c r="E53" s="72">
        <v>53.822319</v>
      </c>
      <c r="F53" s="72">
        <v>30.722280609999999</v>
      </c>
      <c r="G53" s="72">
        <v>33.67608027</v>
      </c>
      <c r="H53" s="72">
        <f t="shared" si="3"/>
        <v>62.568987913731476</v>
      </c>
      <c r="I53" s="886">
        <f t="shared" si="12"/>
        <v>9.6145194996967422</v>
      </c>
      <c r="J53" s="69">
        <f t="shared" si="13"/>
        <v>1.1503176956588368E-2</v>
      </c>
      <c r="K53" s="69"/>
      <c r="M53" s="66"/>
      <c r="N53" s="66"/>
      <c r="O53" s="66"/>
      <c r="P53" s="66"/>
    </row>
    <row r="54" spans="3:16" ht="15" customHeight="1">
      <c r="C54" s="874" t="str">
        <f>IF(Indice_index!$Z$1=1,"Transferências de Capital","Capital transfers")</f>
        <v>Transferências de Capital</v>
      </c>
      <c r="D54" s="887">
        <f>SUM(D55:D58)</f>
        <v>45.685864639999998</v>
      </c>
      <c r="E54" s="887">
        <f>SUM(E55:E58)</f>
        <v>469.99793599999998</v>
      </c>
      <c r="F54" s="887">
        <f>SUM(F55:F58)</f>
        <v>24.367803729999999</v>
      </c>
      <c r="G54" s="887">
        <f>SUM(G55:G58)</f>
        <v>232.92298134999999</v>
      </c>
      <c r="H54" s="887">
        <f t="shared" si="3"/>
        <v>49.558298773039716</v>
      </c>
      <c r="I54" s="886" t="str">
        <f t="shared" si="12"/>
        <v>-</v>
      </c>
      <c r="J54" s="69">
        <f t="shared" si="13"/>
        <v>0.81219019213225074</v>
      </c>
      <c r="K54" s="69"/>
      <c r="M54" s="66"/>
      <c r="N54" s="66"/>
      <c r="O54" s="66"/>
      <c r="P54" s="66"/>
    </row>
    <row r="55" spans="3:16" ht="15" customHeight="1">
      <c r="C55" s="889" t="str">
        <f>IF(Indice_index!$Z$1=1,"Administração Central","Central Administration")</f>
        <v>Administração Central</v>
      </c>
      <c r="D55" s="72">
        <v>17.407786689999998</v>
      </c>
      <c r="E55" s="72">
        <v>33.988917999999998</v>
      </c>
      <c r="F55" s="72">
        <v>7.4140094699999999</v>
      </c>
      <c r="G55" s="72">
        <v>8.0433720300000004</v>
      </c>
      <c r="H55" s="72">
        <f t="shared" si="3"/>
        <v>23.664689855675903</v>
      </c>
      <c r="I55" s="886">
        <f t="shared" si="12"/>
        <v>8.4888286499585579</v>
      </c>
      <c r="J55" s="69">
        <f t="shared" si="13"/>
        <v>2.4509681531791725E-3</v>
      </c>
      <c r="K55" s="69"/>
      <c r="L55" s="74"/>
      <c r="M55" s="66"/>
      <c r="N55" s="66"/>
      <c r="O55" s="66"/>
      <c r="P55" s="66"/>
    </row>
    <row r="56" spans="3:16" ht="15" customHeight="1">
      <c r="C56" s="889" t="str">
        <f>IF(Indice_index!$Z$1=1,"Outros subsectores das AP","Other General Government subsectors")</f>
        <v>Outros subsectores das AP</v>
      </c>
      <c r="D56" s="72">
        <v>3.0124069999999999E-2</v>
      </c>
      <c r="E56" s="72">
        <v>0</v>
      </c>
      <c r="F56" s="72">
        <v>1.2405589999999999E-2</v>
      </c>
      <c r="G56" s="72">
        <v>1.867427E-2</v>
      </c>
      <c r="H56" s="887" t="str">
        <f>IFERROR(IF(G56/E56*100&lt;-500,"-",IF(G56/E56*100&gt;500,"-",G56/E56*100)),"-")</f>
        <v>-</v>
      </c>
      <c r="I56" s="886">
        <f t="shared" si="12"/>
        <v>50.531091225810307</v>
      </c>
      <c r="J56" s="69">
        <f t="shared" si="13"/>
        <v>2.4412534235387627E-5</v>
      </c>
      <c r="K56" s="69"/>
      <c r="L56" s="75"/>
      <c r="M56" s="66"/>
      <c r="N56" s="66"/>
      <c r="O56" s="66"/>
      <c r="P56" s="66"/>
    </row>
    <row r="57" spans="3:16" ht="15" customHeight="1">
      <c r="C57" s="889" t="str">
        <f>IF(Indice_index!$Z$1=1,"União Europeia","European Union")</f>
        <v>União Europeia</v>
      </c>
      <c r="D57" s="72">
        <v>18.856822619999999</v>
      </c>
      <c r="E57" s="72">
        <v>435.52218199999999</v>
      </c>
      <c r="F57" s="72">
        <v>8.8468693999999992</v>
      </c>
      <c r="G57" s="72">
        <v>222.83810559</v>
      </c>
      <c r="H57" s="72">
        <f t="shared" si="3"/>
        <v>51.165730426561829</v>
      </c>
      <c r="I57" s="886" t="str">
        <f t="shared" si="12"/>
        <v>-</v>
      </c>
      <c r="J57" s="69">
        <f t="shared" si="13"/>
        <v>0.83336019378262971</v>
      </c>
      <c r="K57" s="69"/>
      <c r="L57" s="75"/>
      <c r="M57" s="66"/>
      <c r="N57" s="66"/>
      <c r="O57" s="66"/>
      <c r="P57" s="66"/>
    </row>
    <row r="58" spans="3:16" ht="15" customHeight="1">
      <c r="C58" s="889" t="str">
        <f>IF(Indice_index!$Z$1=1,"Outros","Others")</f>
        <v>Outros</v>
      </c>
      <c r="D58" s="72">
        <v>9.3911312599999999</v>
      </c>
      <c r="E58" s="72">
        <v>0.48683600000000005</v>
      </c>
      <c r="F58" s="72">
        <v>8.0945192699999993</v>
      </c>
      <c r="G58" s="72">
        <v>2.0228294600000001</v>
      </c>
      <c r="H58" s="72">
        <f t="shared" si="3"/>
        <v>415.50531595855682</v>
      </c>
      <c r="I58" s="886">
        <f t="shared" si="12"/>
        <v>-75.009887647101735</v>
      </c>
      <c r="J58" s="69">
        <f t="shared" si="13"/>
        <v>-2.364538233779347E-2</v>
      </c>
      <c r="K58" s="69"/>
      <c r="M58" s="66"/>
      <c r="N58" s="66"/>
      <c r="O58" s="66"/>
      <c r="P58" s="66"/>
    </row>
    <row r="59" spans="3:16" ht="15" customHeight="1">
      <c r="C59" s="874" t="str">
        <f>IF(Indice_index!$Z$1=1,"Outras Receitas de Capital","Other capital revenue")</f>
        <v>Outras Receitas de Capital</v>
      </c>
      <c r="D59" s="72">
        <v>1.50296685</v>
      </c>
      <c r="E59" s="72">
        <v>6.2533849999999997</v>
      </c>
      <c r="F59" s="72">
        <v>7.9932602599999996</v>
      </c>
      <c r="G59" s="72">
        <v>12.25737614</v>
      </c>
      <c r="H59" s="72">
        <f t="shared" si="3"/>
        <v>196.01185821758935</v>
      </c>
      <c r="I59" s="886">
        <f t="shared" si="12"/>
        <v>53.346391100744675</v>
      </c>
      <c r="J59" s="69">
        <f t="shared" si="13"/>
        <v>1.6606027888512422E-2</v>
      </c>
      <c r="K59" s="69"/>
      <c r="M59" s="66"/>
      <c r="N59" s="66"/>
      <c r="O59" s="66"/>
      <c r="P59" s="66"/>
    </row>
    <row r="60" spans="3:16" ht="15" customHeight="1">
      <c r="C60" s="874" t="str">
        <f>IF(Indice_index!$Z$1=1,"Diferenças de consolidação","Consolidation differences")</f>
        <v>Diferenças de consolidação</v>
      </c>
      <c r="D60" s="72">
        <v>0.68004496999999997</v>
      </c>
      <c r="E60" s="72">
        <v>0</v>
      </c>
      <c r="F60" s="72">
        <v>0.92209457000000006</v>
      </c>
      <c r="G60" s="72">
        <v>0</v>
      </c>
      <c r="H60" s="887" t="str">
        <f t="shared" si="3"/>
        <v>-</v>
      </c>
      <c r="I60" s="886"/>
      <c r="J60" s="69"/>
      <c r="K60" s="69"/>
      <c r="M60" s="66"/>
      <c r="N60" s="66"/>
      <c r="O60" s="66"/>
      <c r="P60" s="66"/>
    </row>
    <row r="61" spans="3:16" ht="4.5" customHeight="1">
      <c r="C61" s="786"/>
      <c r="D61" s="72"/>
      <c r="E61" s="72"/>
      <c r="F61" s="72"/>
      <c r="G61" s="72"/>
      <c r="H61" s="72"/>
      <c r="I61" s="884"/>
      <c r="J61" s="69"/>
      <c r="K61" s="69"/>
      <c r="M61" s="66"/>
      <c r="N61" s="66"/>
      <c r="O61" s="66"/>
      <c r="P61" s="66"/>
    </row>
    <row r="62" spans="3:16" s="278" customFormat="1" ht="15" customHeight="1">
      <c r="C62" s="890" t="str">
        <f>IF(Indice_index!$Z$1=1,"Receita efetiva","Effective Revenue")</f>
        <v>Receita efetiva</v>
      </c>
      <c r="D62" s="891">
        <f>+D9+D24+D28</f>
        <v>50074.131406090004</v>
      </c>
      <c r="E62" s="891">
        <f>+E9+E24+E28</f>
        <v>53717.583897999997</v>
      </c>
      <c r="F62" s="891">
        <f>+F9+F24+F28</f>
        <v>25678.120671770004</v>
      </c>
      <c r="G62" s="891">
        <f>+G9+G24+G28</f>
        <v>31210.246216069994</v>
      </c>
      <c r="H62" s="891">
        <f>IFERROR(IF(G62/E62*100&lt;-500,"-",IF(G62/E62*100&gt;500,"-",G62/E62*100)),"-")</f>
        <v>58.100614270613185</v>
      </c>
      <c r="I62" s="892">
        <f>IFERROR((G62-F62)/F62*100,"-")</f>
        <v>21.544121608486304</v>
      </c>
      <c r="J62" s="892"/>
      <c r="K62" s="281"/>
      <c r="L62" s="677"/>
      <c r="M62" s="274"/>
      <c r="N62" s="274"/>
      <c r="O62" s="274"/>
      <c r="P62" s="274"/>
    </row>
    <row r="63" spans="3:16" ht="15" customHeight="1">
      <c r="C63" s="893" t="str">
        <f>IF(Indice_index!$Z$1=1,"   Por memória:","   Memo item:")</f>
        <v xml:space="preserve">   Por memória:</v>
      </c>
      <c r="D63" s="894"/>
      <c r="E63" s="894"/>
      <c r="F63" s="894"/>
      <c r="G63" s="894"/>
      <c r="H63" s="894"/>
      <c r="I63" s="882"/>
      <c r="J63" s="67"/>
      <c r="K63" s="67"/>
      <c r="L63" s="70"/>
      <c r="M63" s="66"/>
      <c r="N63" s="66"/>
      <c r="O63" s="66"/>
      <c r="P63" s="66"/>
    </row>
    <row r="64" spans="3:16" ht="15" customHeight="1">
      <c r="C64" s="874" t="str">
        <f>IF(Indice_index!$Z$1=1,"Ativos Financeiros","Financial assets")</f>
        <v>Ativos Financeiros</v>
      </c>
      <c r="D64" s="72">
        <f>SUM(D65:D66)</f>
        <v>643.73246323000001</v>
      </c>
      <c r="E64" s="72">
        <f>SUM(E65:E66)</f>
        <v>3347.2469719999999</v>
      </c>
      <c r="F64" s="72">
        <f>SUM(F65:F66)</f>
        <v>421.52231954000001</v>
      </c>
      <c r="G64" s="72">
        <f>SUM(G65:G66)</f>
        <v>223.95782659</v>
      </c>
      <c r="H64" s="72"/>
      <c r="I64" s="884">
        <f>IF(IFERROR((G64-F64)/F64*100,"")&gt;500,"-",IFERROR((G64-F64)/F64*100,""))</f>
        <v>-46.869283971866238</v>
      </c>
      <c r="J64" s="67"/>
      <c r="K64" s="67"/>
      <c r="L64" s="68"/>
      <c r="M64" s="66"/>
      <c r="N64" s="66"/>
      <c r="O64" s="66"/>
      <c r="P64" s="66"/>
    </row>
    <row r="65" spans="3:16" ht="15" customHeight="1">
      <c r="C65" s="889" t="str">
        <f>IF(Indice_index!$Z$1=1,"Alienação de partes sociais de empresas","Divestment of company shares")</f>
        <v>Alienação de partes sociais de empresas</v>
      </c>
      <c r="D65" s="895">
        <v>1.3794E-4</v>
      </c>
      <c r="E65" s="895">
        <v>0</v>
      </c>
      <c r="F65" s="895">
        <v>0</v>
      </c>
      <c r="G65" s="895">
        <v>0</v>
      </c>
      <c r="H65" s="895"/>
      <c r="I65" s="884" t="str">
        <f>IF(IFERROR((G65-F65)/F65*100,"")&gt;500,"-",IFERROR((G65-F65)/F65*100,""))</f>
        <v>-</v>
      </c>
      <c r="J65" s="67"/>
      <c r="K65" s="67"/>
      <c r="L65" s="76"/>
      <c r="M65" s="66"/>
      <c r="N65" s="66"/>
      <c r="O65" s="66"/>
      <c r="P65" s="66"/>
    </row>
    <row r="66" spans="3:16" ht="15" customHeight="1">
      <c r="C66" s="889" t="str">
        <f>IF(Indice_index!$Z$1=1,"Outros ativos","Other assets")</f>
        <v>Outros ativos</v>
      </c>
      <c r="D66" s="896">
        <v>643.73232529000006</v>
      </c>
      <c r="E66" s="896">
        <v>3347.2469719999999</v>
      </c>
      <c r="F66" s="896">
        <v>421.52231954000001</v>
      </c>
      <c r="G66" s="896">
        <v>223.95782659</v>
      </c>
      <c r="H66" s="896"/>
      <c r="I66" s="884">
        <f>IF(IFERROR((G66-F66)/F66*100,"")&gt;500,"-",IFERROR((G66-F66)/F66*100,""))</f>
        <v>-46.869283971866238</v>
      </c>
      <c r="J66" s="67"/>
      <c r="K66" s="67"/>
      <c r="L66" s="68"/>
      <c r="M66" s="66"/>
      <c r="N66" s="66"/>
      <c r="O66" s="66"/>
      <c r="P66" s="66"/>
    </row>
    <row r="67" spans="3:16" ht="15" customHeight="1">
      <c r="C67" s="874" t="str">
        <f>IF(Indice_index!$Z$1=1,"Passivos Financeiros","Financial liabilities")</f>
        <v>Passivos Financeiros</v>
      </c>
      <c r="D67" s="896">
        <v>63645.434409809997</v>
      </c>
      <c r="E67" s="896">
        <v>99026.885108000002</v>
      </c>
      <c r="F67" s="896">
        <v>40959.194550610002</v>
      </c>
      <c r="G67" s="896">
        <v>33507.969426219999</v>
      </c>
      <c r="H67" s="896"/>
      <c r="I67" s="884">
        <f>IF(IFERROR((G67-F67)/F67*100,"")&gt;500,"-",IFERROR((G67-F67)/F67*100,""))</f>
        <v>-18.191825318203268</v>
      </c>
      <c r="J67" s="67"/>
      <c r="K67" s="67"/>
      <c r="L67" s="76"/>
      <c r="M67" s="66"/>
      <c r="N67" s="66"/>
      <c r="O67" s="66"/>
      <c r="P67" s="66"/>
    </row>
    <row r="68" spans="3:16" ht="15" customHeight="1">
      <c r="C68" s="897" t="str">
        <f>IF(Indice_index!$Z$1=1,"Saldo da Gerência Anterior","Previous management balance")</f>
        <v>Saldo da Gerência Anterior</v>
      </c>
      <c r="D68" s="898">
        <v>-7.0201009699999997</v>
      </c>
      <c r="E68" s="898">
        <v>0</v>
      </c>
      <c r="F68" s="898">
        <v>-6.9932465099999996</v>
      </c>
      <c r="G68" s="898">
        <v>0</v>
      </c>
      <c r="H68" s="898"/>
      <c r="I68" s="899">
        <f>IF(IFERROR((G68-F68)/F68*100,"")&gt;500,"-",IFERROR((G68-F68)/F68*100,""))</f>
        <v>-100</v>
      </c>
      <c r="J68" s="900"/>
      <c r="K68" s="67"/>
      <c r="M68" s="66"/>
      <c r="N68" s="66"/>
      <c r="O68" s="66"/>
      <c r="P68" s="66"/>
    </row>
    <row r="69" spans="3:16" ht="4.5" customHeight="1">
      <c r="C69" s="874"/>
      <c r="D69" s="874"/>
      <c r="E69" s="874"/>
      <c r="F69" s="72"/>
      <c r="G69" s="72"/>
      <c r="H69" s="72"/>
      <c r="I69" s="882"/>
      <c r="J69" s="67"/>
      <c r="K69" s="67"/>
      <c r="L69" s="68"/>
      <c r="M69" s="66"/>
      <c r="N69" s="66"/>
      <c r="O69" s="66"/>
      <c r="P69" s="66"/>
    </row>
    <row r="70" spans="3:16" ht="15" customHeight="1">
      <c r="C70" s="782" t="str">
        <f>IF(Indice_index!$Z$1=1,"Notas:","Notes:")</f>
        <v>Notas:</v>
      </c>
      <c r="D70" s="782"/>
      <c r="E70" s="782"/>
      <c r="F70" s="77"/>
      <c r="G70" s="901"/>
      <c r="H70" s="901"/>
      <c r="I70" s="77"/>
      <c r="J70" s="77"/>
      <c r="K70" s="77"/>
    </row>
    <row r="71" spans="3:16" ht="15" customHeight="1">
      <c r="C71" s="1701" t="str">
        <f>IF(Indice_index!$Z$1=1,"Valores registados no Sistema Central de Receitas (SCR).","Amounts accounted for on the Central Revenue System (SCR).")</f>
        <v>Valores registados no Sistema Central de Receitas (SCR).</v>
      </c>
      <c r="D71" s="1701"/>
      <c r="E71" s="1701"/>
      <c r="F71" s="1701"/>
      <c r="G71" s="1701"/>
      <c r="H71" s="1701"/>
      <c r="I71" s="1701"/>
      <c r="J71" s="1701"/>
      <c r="K71" s="77"/>
    </row>
    <row r="72" spans="3:16" ht="15.75" customHeight="1">
      <c r="C72" s="1702" t="str">
        <f>IF(Indice_index!$Z$1=1,"As cobranças líquidas negativas, ou inferiores ao mês anterior, resultam de estornos ou de pagamentos de reembolso e/ou restituição.","Negative net collections or inferior than those of the previous month result from reversals or reimbursement and/or restitution payments.")</f>
        <v>As cobranças líquidas negativas, ou inferiores ao mês anterior, resultam de estornos ou de pagamentos de reembolso e/ou restituição.</v>
      </c>
      <c r="D72" s="1702"/>
      <c r="E72" s="1702"/>
      <c r="F72" s="1702"/>
      <c r="G72" s="1702"/>
      <c r="H72" s="1702"/>
      <c r="I72" s="1702"/>
      <c r="J72" s="1702"/>
      <c r="K72" s="78"/>
    </row>
    <row r="73" spans="3:16" ht="4.5" customHeight="1">
      <c r="C73" s="421"/>
      <c r="D73" s="421"/>
      <c r="E73" s="421"/>
    </row>
    <row r="74" spans="3:16" ht="15" customHeight="1">
      <c r="C74" s="786" t="str">
        <f>IF(Indice_index!$Z$1=1,"Fonte: Direção-Geral do Orçamento","Source: Budget General Directorate")</f>
        <v>Fonte: Direção-Geral do Orçamento</v>
      </c>
      <c r="D74" s="786"/>
      <c r="E74" s="786"/>
      <c r="L74" s="75"/>
    </row>
    <row r="75" spans="3:16" ht="11.25" customHeight="1">
      <c r="C75" s="623"/>
      <c r="D75" s="623"/>
      <c r="E75" s="695"/>
      <c r="F75" s="623"/>
      <c r="G75" s="623"/>
      <c r="H75" s="697"/>
      <c r="I75" s="623"/>
      <c r="J75" s="623"/>
      <c r="K75" s="79"/>
      <c r="L75" s="75"/>
    </row>
    <row r="91" spans="6:6">
      <c r="F91" s="80"/>
    </row>
  </sheetData>
  <mergeCells count="4">
    <mergeCell ref="F6:G6"/>
    <mergeCell ref="I6:J6"/>
    <mergeCell ref="C71:J71"/>
    <mergeCell ref="C72:J72"/>
  </mergeCells>
  <printOptions horizontalCentered="1"/>
  <pageMargins left="0.70866141732283472" right="0.70866141732283472" top="0.74803149606299213" bottom="0.74803149606299213" header="0.74803149606299213" footer="0.35433070866141736"/>
  <pageSetup paperSize="9" scale="62" orientation="portrait" r:id="rId1"/>
  <headerFooter differentOddEven="1">
    <oddFooter>&amp;R&amp;G</oddFooter>
    <evenFooter>&amp;L&amp;G</evenFooter>
  </headerFooter>
  <ignoredErrors>
    <ignoredError sqref="D8 G6:H6 J6 I7 I6 J7 D6:E6" unlockedFormula="1"/>
    <ignoredError sqref="E29:G29 F35:G35 E39:G39 E52:G52 E54:G54 G62 E45:G45 D52 F63:G64 D54 D64:E64 D45 D39 D29" formulaRange="1"/>
    <ignoredError sqref="D7:E7 H7" numberStoredAsText="1" unlockedFormula="1"/>
    <ignoredError sqref="F7:G7" numberStoredAsText="1"/>
    <ignoredError sqref="E30" formula="1"/>
  </ignoredErrors>
  <drawing r:id="rId2"/>
  <legacyDrawingHF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Folha13">
    <pageSetUpPr fitToPage="1"/>
  </sheetPr>
  <dimension ref="B1:W130"/>
  <sheetViews>
    <sheetView showGridLines="0" zoomScaleNormal="100" zoomScaleSheetLayoutView="100" workbookViewId="0">
      <selection activeCell="B2" sqref="B2"/>
    </sheetView>
  </sheetViews>
  <sheetFormatPr defaultColWidth="9.140625" defaultRowHeight="12"/>
  <cols>
    <col min="1" max="1" width="2.42578125" style="53" customWidth="1"/>
    <col min="2" max="2" width="4.42578125" style="53" customWidth="1"/>
    <col min="3" max="3" width="40" style="63" customWidth="1"/>
    <col min="4" max="6" width="9.42578125" style="63" customWidth="1"/>
    <col min="7" max="10" width="9.42578125" style="53" customWidth="1"/>
    <col min="11" max="14" width="8.5703125" style="53" customWidth="1"/>
    <col min="15" max="15" width="9.5703125" style="50" bestFit="1" customWidth="1"/>
    <col min="16" max="17" width="9.140625" style="50" customWidth="1"/>
    <col min="18" max="16384" width="9.140625" style="53"/>
  </cols>
  <sheetData>
    <row r="1" spans="2:23" s="50" customFormat="1" ht="15" customHeight="1">
      <c r="B1" s="49"/>
      <c r="C1" s="49"/>
      <c r="D1" s="49"/>
      <c r="E1" s="49"/>
    </row>
    <row r="2" spans="2:23" ht="38.25" customHeight="1">
      <c r="B2" s="8"/>
      <c r="C2" s="1703" t="str">
        <f>IF(Indice_index!$Z$1=1,"9 - Execução Orçamental dos Serviços e Fundos Autónomos 
(inclui Entidades Públicas Reclassificadas da Administração Central)","9 - Autonomous Services and Funds Budget Execution (including State Owned Enterprises)")</f>
        <v>9 - Execução Orçamental dos Serviços e Fundos Autónomos 
(inclui Entidades Públicas Reclassificadas da Administração Central)</v>
      </c>
      <c r="D2" s="1703"/>
      <c r="E2" s="1703"/>
      <c r="F2" s="1703"/>
      <c r="G2" s="1703"/>
      <c r="H2" s="1703"/>
      <c r="I2" s="1703"/>
      <c r="J2" s="1703"/>
      <c r="O2" s="81"/>
      <c r="Q2" s="81"/>
    </row>
    <row r="3" spans="2:23" ht="15" customHeight="1">
      <c r="C3" s="54"/>
      <c r="D3" s="54"/>
      <c r="E3" s="54"/>
      <c r="F3" s="82"/>
      <c r="O3" s="81"/>
    </row>
    <row r="4" spans="2:23" ht="15" customHeight="1">
      <c r="C4" s="53"/>
      <c r="D4" s="53"/>
      <c r="E4" s="53"/>
    </row>
    <row r="5" spans="2:23" s="272" customFormat="1" ht="15" customHeight="1">
      <c r="C5" s="741" t="str">
        <f>+'5 - Conta AC + SS'!C5</f>
        <v>Período: janeiro a julho</v>
      </c>
      <c r="D5" s="741"/>
      <c r="E5" s="741"/>
      <c r="F5" s="766"/>
      <c r="G5" s="766"/>
      <c r="J5" s="707" t="str">
        <f>IF(Indice_index!$Z$1=1,"€ Milhões","€ Millions")</f>
        <v>€ Milhões</v>
      </c>
      <c r="K5" s="251"/>
      <c r="O5" s="249"/>
      <c r="P5" s="249"/>
      <c r="Q5" s="249"/>
    </row>
    <row r="6" spans="2:23" ht="30.75" customHeight="1">
      <c r="C6" s="763"/>
      <c r="D6" s="709" t="str">
        <f>IF(Indice_index!$Z$1=1,"CGE","Final execution")</f>
        <v>CGE</v>
      </c>
      <c r="E6" s="709" t="str">
        <f>IF(Indice_index!$Z$1=1,"Orçamento Inicial","Budget")</f>
        <v>Orçamento Inicial</v>
      </c>
      <c r="F6" s="1704" t="str">
        <f>IF(Indice_index!$Z$1=1,"Execução Acumulada","Accumulated Execution")</f>
        <v>Execução Acumulada</v>
      </c>
      <c r="G6" s="1704"/>
      <c r="H6" s="767" t="str">
        <f>IF(Indice_index!$Z$1=1,"Grau de Execução (%)","Execution Degree (%)")</f>
        <v>Grau de Execução (%)</v>
      </c>
      <c r="I6" s="1694" t="str">
        <f>IF(Indice_index!$Z$1=1,"Variação Homóloga Acumulada","YOY Change Rate")</f>
        <v>Variação Homóloga Acumulada</v>
      </c>
      <c r="J6" s="1695"/>
      <c r="K6" s="97"/>
      <c r="M6" s="83"/>
      <c r="N6" s="83"/>
      <c r="O6" s="84"/>
      <c r="P6" s="85"/>
      <c r="Q6" s="56"/>
      <c r="R6" s="56"/>
      <c r="S6" s="85"/>
      <c r="T6" s="85"/>
      <c r="U6" s="1705"/>
      <c r="V6" s="1705"/>
      <c r="W6" s="86"/>
    </row>
    <row r="7" spans="2:23" ht="30.75" customHeight="1">
      <c r="C7" s="759"/>
      <c r="D7" s="712" t="s">
        <v>67</v>
      </c>
      <c r="E7" s="712" t="s">
        <v>74</v>
      </c>
      <c r="F7" s="713" t="s">
        <v>67</v>
      </c>
      <c r="G7" s="713" t="s">
        <v>74</v>
      </c>
      <c r="H7" s="714" t="s">
        <v>74</v>
      </c>
      <c r="I7" s="714" t="str">
        <f>IF(Indice_index!$Z$1=1,"Relativa (%)","Relative change (%)")</f>
        <v>Relativa (%)</v>
      </c>
      <c r="J7" s="715" t="str">
        <f>IF(Indice_index!$Z$1=1,"Contributo VHA (p.p.)","YOY Change Rate Contrib. (p.p.)")</f>
        <v>Contributo VHA (p.p.)</v>
      </c>
      <c r="K7" s="97"/>
      <c r="M7" s="83"/>
      <c r="N7" s="83"/>
      <c r="O7" s="84"/>
      <c r="P7" s="85"/>
      <c r="Q7" s="56"/>
      <c r="R7" s="56"/>
      <c r="S7" s="85"/>
      <c r="T7" s="85"/>
      <c r="U7" s="229"/>
      <c r="V7" s="229"/>
      <c r="W7" s="86"/>
    </row>
    <row r="8" spans="2:23" s="87" customFormat="1" ht="4.5" customHeight="1">
      <c r="C8" s="768"/>
      <c r="D8" s="768"/>
      <c r="E8" s="768"/>
      <c r="F8" s="112"/>
      <c r="G8" s="112"/>
      <c r="H8" s="112"/>
      <c r="I8" s="112"/>
      <c r="J8" s="112"/>
      <c r="K8" s="97"/>
      <c r="L8" s="88"/>
    </row>
    <row r="9" spans="2:23" s="272" customFormat="1" ht="15" customHeight="1">
      <c r="C9" s="769" t="str">
        <f>IF(Indice_index!$Z$1=1,"Receita corrente","Current revenue")</f>
        <v>Receita corrente</v>
      </c>
      <c r="D9" s="769">
        <f>SUM(D10:D21)-D10-D15</f>
        <v>33002.916678409994</v>
      </c>
      <c r="E9" s="769">
        <f>SUM(E10:E21)-E10-E15</f>
        <v>35774.327892000001</v>
      </c>
      <c r="F9" s="770">
        <f>SUM(F10:F21)-F10-F15</f>
        <v>18351.021755380003</v>
      </c>
      <c r="G9" s="770">
        <f>SUM(G10:G21)-G10-G15</f>
        <v>19157.304375890002</v>
      </c>
      <c r="H9" s="282">
        <f>IFERROR(IF(G9/E9*100&lt;-500,"-",IF(G9/E9*100&gt;500,"-",G9/E9*100)),"-")</f>
        <v>53.550424297905643</v>
      </c>
      <c r="I9" s="282">
        <f>IF(IFERROR((G9-F9)/F9*100,"")&gt;500,"-",IFERROR((G9-F9)/F9*100,""))</f>
        <v>4.3936660925902924</v>
      </c>
      <c r="J9" s="279">
        <f t="shared" ref="J9:J18" si="0">IFERROR((G9-F9)/$F$32*100,"-")</f>
        <v>3.9881999214176909</v>
      </c>
      <c r="K9" s="532"/>
      <c r="L9" s="283"/>
      <c r="M9" s="283"/>
      <c r="N9" s="284"/>
      <c r="O9" s="284"/>
      <c r="P9" s="284"/>
    </row>
    <row r="10" spans="2:23" ht="15" customHeight="1">
      <c r="C10" s="771" t="str">
        <f>IF(Indice_index!$Z$1=1,"Receita Fiscal","Tax")</f>
        <v>Receita Fiscal</v>
      </c>
      <c r="D10" s="221">
        <f>D11+D12</f>
        <v>567.70099941000012</v>
      </c>
      <c r="E10" s="221">
        <f>E11+E12</f>
        <v>636.04550600000005</v>
      </c>
      <c r="F10" s="114">
        <f>F11+F12</f>
        <v>309.77405198000002</v>
      </c>
      <c r="G10" s="114">
        <f>G11+G12</f>
        <v>347.74387093000001</v>
      </c>
      <c r="H10" s="222">
        <f>IFERROR(IF(G10/E10*100&lt;-500,"-",IF(G10/E10*100&gt;500,"-",G10/E10*100)),"-")</f>
        <v>54.672797409875884</v>
      </c>
      <c r="I10" s="222">
        <f t="shared" ref="I10:I28" si="1">IF(IFERROR((G10-F10)/F10*100,"")&gt;500,"-",IFERROR((G10-F10)/F10*100,""))</f>
        <v>12.257262578097224</v>
      </c>
      <c r="J10" s="222">
        <f t="shared" si="0"/>
        <v>0.18781408044842748</v>
      </c>
      <c r="K10" s="333"/>
      <c r="L10" s="89"/>
      <c r="N10" s="90"/>
      <c r="O10" s="90"/>
      <c r="P10" s="90"/>
      <c r="Q10" s="53"/>
    </row>
    <row r="11" spans="2:23" ht="15" customHeight="1">
      <c r="C11" s="758" t="str">
        <f>IF(Indice_index!$Z$1=1,"Impostos diretos","Direct taxes")</f>
        <v>Impostos diretos</v>
      </c>
      <c r="D11" s="221">
        <v>1.5595100000000001E-3</v>
      </c>
      <c r="E11" s="221">
        <v>0</v>
      </c>
      <c r="F11" s="223">
        <v>0</v>
      </c>
      <c r="G11" s="223">
        <v>0</v>
      </c>
      <c r="H11" s="222" t="str">
        <f t="shared" ref="H11:H20" si="2">IFERROR(IF(G11/E11*100&lt;-500,"-",IF(G11/E11*100&gt;500,"-",G11/E11*100)),"-")</f>
        <v>-</v>
      </c>
      <c r="I11" s="222" t="str">
        <f t="shared" si="1"/>
        <v>-</v>
      </c>
      <c r="J11" s="222">
        <f t="shared" si="0"/>
        <v>0</v>
      </c>
      <c r="K11" s="333"/>
      <c r="L11" s="89"/>
      <c r="M11" s="90"/>
      <c r="N11" s="90"/>
      <c r="O11" s="90"/>
      <c r="P11" s="90"/>
      <c r="Q11" s="53"/>
    </row>
    <row r="12" spans="2:23" ht="15" customHeight="1">
      <c r="C12" s="758" t="str">
        <f>IF(Indice_index!$Z$1=1,"Impostos indiretos","Indirect taxes")</f>
        <v>Impostos indiretos</v>
      </c>
      <c r="D12" s="221">
        <v>567.69943990000013</v>
      </c>
      <c r="E12" s="221">
        <v>636.04550600000005</v>
      </c>
      <c r="F12" s="223">
        <v>309.77405198000002</v>
      </c>
      <c r="G12" s="223">
        <v>347.74387093000001</v>
      </c>
      <c r="H12" s="222">
        <f t="shared" si="2"/>
        <v>54.672797409875884</v>
      </c>
      <c r="I12" s="222">
        <f t="shared" si="1"/>
        <v>12.257262578097224</v>
      </c>
      <c r="J12" s="222">
        <f t="shared" si="0"/>
        <v>0.18781408044842748</v>
      </c>
      <c r="K12" s="333"/>
      <c r="L12" s="89"/>
      <c r="M12" s="90"/>
      <c r="N12" s="90"/>
      <c r="O12" s="90"/>
      <c r="P12" s="90"/>
      <c r="Q12" s="53"/>
    </row>
    <row r="13" spans="2:23" ht="15" customHeight="1">
      <c r="C13" s="771" t="str">
        <f>IF(Indice_index!$Z$1=1,"Contribuições para Segurança Social, CGA e ADSE","Social security, CGA and ADSE contributions")</f>
        <v>Contribuições para Segurança Social, CGA e ADSE</v>
      </c>
      <c r="D13" s="221">
        <v>4185.2423433499998</v>
      </c>
      <c r="E13" s="221">
        <v>4120.2334600000004</v>
      </c>
      <c r="F13" s="223">
        <v>2375.86962597</v>
      </c>
      <c r="G13" s="223">
        <v>2292.0082486499991</v>
      </c>
      <c r="H13" s="222">
        <f t="shared" si="2"/>
        <v>55.628116001222871</v>
      </c>
      <c r="I13" s="222">
        <f t="shared" si="1"/>
        <v>-3.5297129271461043</v>
      </c>
      <c r="J13" s="222">
        <f t="shared" si="0"/>
        <v>-0.41481228781299156</v>
      </c>
      <c r="K13" s="333"/>
      <c r="L13" s="89"/>
      <c r="M13" s="90"/>
      <c r="N13" s="90"/>
      <c r="O13" s="90"/>
      <c r="P13" s="90"/>
      <c r="Q13" s="53"/>
    </row>
    <row r="14" spans="2:23" ht="15" customHeight="1">
      <c r="C14" s="771" t="str">
        <f>IF(Indice_index!$Z$1=1,"Taxas, Multas e Outras Penalidades","Taxes, fines and other penalties")</f>
        <v>Taxas, Multas e Outras Penalidades</v>
      </c>
      <c r="D14" s="221">
        <v>2476.7495912099989</v>
      </c>
      <c r="E14" s="221">
        <v>2259.533868</v>
      </c>
      <c r="F14" s="223">
        <v>1097.4642862799997</v>
      </c>
      <c r="G14" s="223">
        <v>1206.647657799999</v>
      </c>
      <c r="H14" s="222">
        <f t="shared" si="2"/>
        <v>53.402503714982998</v>
      </c>
      <c r="I14" s="222">
        <f t="shared" si="1"/>
        <v>9.9486947215467794</v>
      </c>
      <c r="J14" s="222">
        <f t="shared" si="0"/>
        <v>0.54006511195881568</v>
      </c>
      <c r="K14" s="333"/>
      <c r="L14" s="89"/>
      <c r="M14" s="90"/>
      <c r="N14" s="90"/>
      <c r="O14" s="90"/>
      <c r="P14" s="90"/>
      <c r="Q14" s="53"/>
    </row>
    <row r="15" spans="2:23" ht="15" customHeight="1">
      <c r="C15" s="771" t="str">
        <f>IF(Indice_index!$Z$1=1,"Transferências Correntes","Current transfers")</f>
        <v>Transferências Correntes</v>
      </c>
      <c r="D15" s="221">
        <f>SUM(D16:D19)</f>
        <v>22582.773708600002</v>
      </c>
      <c r="E15" s="221">
        <f>SUM(E16:E19)</f>
        <v>24412.603299999999</v>
      </c>
      <c r="F15" s="221">
        <f>SUM(F16:F19)</f>
        <v>12942.811633859999</v>
      </c>
      <c r="G15" s="221">
        <f>SUM(G16:G19)</f>
        <v>13279.647816920004</v>
      </c>
      <c r="H15" s="222">
        <f t="shared" si="2"/>
        <v>54.396688684651686</v>
      </c>
      <c r="I15" s="222">
        <f t="shared" si="1"/>
        <v>2.602496216346061</v>
      </c>
      <c r="J15" s="222">
        <f t="shared" si="0"/>
        <v>1.6661279861902765</v>
      </c>
      <c r="K15" s="333"/>
      <c r="L15" s="91"/>
      <c r="M15" s="92"/>
      <c r="N15" s="90"/>
      <c r="O15" s="90"/>
      <c r="P15" s="90"/>
      <c r="Q15" s="53"/>
    </row>
    <row r="16" spans="2:23" ht="15" customHeight="1">
      <c r="C16" s="758" t="str">
        <f>IF(Indice_index!$Z$1=1,"Administração Central","Central Administration")</f>
        <v>Administração Central</v>
      </c>
      <c r="D16" s="221">
        <v>19688.556962950002</v>
      </c>
      <c r="E16" s="221">
        <v>20380.660312</v>
      </c>
      <c r="F16" s="114">
        <v>11200.367381489999</v>
      </c>
      <c r="G16" s="114">
        <v>11887.102109130003</v>
      </c>
      <c r="H16" s="222">
        <f t="shared" si="2"/>
        <v>58.325402254660773</v>
      </c>
      <c r="I16" s="222">
        <f t="shared" si="1"/>
        <v>6.1313589478762793</v>
      </c>
      <c r="J16" s="222">
        <f t="shared" si="0"/>
        <v>3.3968676951963332</v>
      </c>
      <c r="K16" s="333"/>
      <c r="L16" s="91"/>
      <c r="M16" s="90"/>
      <c r="N16" s="90"/>
      <c r="O16" s="90"/>
      <c r="P16" s="90"/>
      <c r="Q16" s="53"/>
    </row>
    <row r="17" spans="3:17" ht="15" customHeight="1">
      <c r="C17" s="772" t="str">
        <f>IF(Indice_index!$Z$1=1,"Outros subsectores das AP","Other General Government subsectors")</f>
        <v>Outros subsectores das AP</v>
      </c>
      <c r="D17" s="221">
        <v>1953.2891190800001</v>
      </c>
      <c r="E17" s="221">
        <v>1654.644951</v>
      </c>
      <c r="F17" s="223">
        <v>1099.8807528</v>
      </c>
      <c r="G17" s="223">
        <v>953.67678790000014</v>
      </c>
      <c r="H17" s="222">
        <f t="shared" si="2"/>
        <v>57.636339888121427</v>
      </c>
      <c r="I17" s="222">
        <f t="shared" si="1"/>
        <v>-13.292710553194423</v>
      </c>
      <c r="J17" s="222">
        <f t="shared" si="0"/>
        <v>-0.723183938848032</v>
      </c>
      <c r="K17" s="333"/>
      <c r="L17" s="91"/>
      <c r="M17" s="90"/>
      <c r="N17" s="90"/>
      <c r="O17" s="90"/>
      <c r="P17" s="90"/>
      <c r="Q17" s="53"/>
    </row>
    <row r="18" spans="3:17" ht="15" customHeight="1">
      <c r="C18" s="772" t="str">
        <f>IF(Indice_index!$Z$1=1,"União Europeia","European Union")</f>
        <v>União Europeia</v>
      </c>
      <c r="D18" s="221">
        <v>866.98542303000022</v>
      </c>
      <c r="E18" s="221">
        <v>2278.9706780000001</v>
      </c>
      <c r="F18" s="223">
        <v>603.33188286000006</v>
      </c>
      <c r="G18" s="223">
        <v>390.13753877000005</v>
      </c>
      <c r="H18" s="222">
        <f t="shared" si="2"/>
        <v>17.11902406363475</v>
      </c>
      <c r="I18" s="222">
        <f t="shared" si="1"/>
        <v>-35.336164082591779</v>
      </c>
      <c r="J18" s="222">
        <f t="shared" si="0"/>
        <v>-1.0545454468665303</v>
      </c>
      <c r="K18" s="333"/>
      <c r="L18" s="91"/>
      <c r="M18" s="90"/>
      <c r="N18" s="90"/>
      <c r="O18" s="90"/>
      <c r="P18" s="90"/>
      <c r="Q18" s="53"/>
    </row>
    <row r="19" spans="3:17" ht="15" customHeight="1">
      <c r="C19" s="772" t="str">
        <f>IF(Indice_index!$Z$1=1,"Outras transferências","Other transfers")</f>
        <v>Outras transferências</v>
      </c>
      <c r="D19" s="773">
        <v>73.942203540000037</v>
      </c>
      <c r="E19" s="773">
        <v>98.327358999999888</v>
      </c>
      <c r="F19" s="223">
        <v>39.231616709999912</v>
      </c>
      <c r="G19" s="223">
        <v>48.731381119999867</v>
      </c>
      <c r="H19" s="222">
        <f t="shared" si="2"/>
        <v>49.560347817335277</v>
      </c>
      <c r="I19" s="222">
        <f t="shared" si="1"/>
        <v>24.214562658027088</v>
      </c>
      <c r="J19" s="222">
        <f>IFERROR((G19-F19)/$F$32*100,"-")</f>
        <v>4.6989676708501668E-2</v>
      </c>
      <c r="K19" s="333"/>
      <c r="L19" s="91"/>
      <c r="M19" s="90"/>
      <c r="N19" s="90"/>
      <c r="O19" s="90"/>
      <c r="P19" s="90"/>
      <c r="Q19" s="53"/>
    </row>
    <row r="20" spans="3:17" ht="15" customHeight="1">
      <c r="C20" s="771" t="str">
        <f>IF(Indice_index!$Z$1=1,"Outras Receitas Correntes","Other current revenue")</f>
        <v>Outras Receitas Correntes</v>
      </c>
      <c r="D20" s="221">
        <v>3150.4906862000016</v>
      </c>
      <c r="E20" s="221">
        <v>4338.4852229999997</v>
      </c>
      <c r="F20" s="223">
        <v>1606.1882272300004</v>
      </c>
      <c r="G20" s="223">
        <v>2031.2316088900002</v>
      </c>
      <c r="H20" s="222">
        <f t="shared" si="2"/>
        <v>46.818912696109933</v>
      </c>
      <c r="I20" s="222">
        <f t="shared" si="1"/>
        <v>26.462862474905634</v>
      </c>
      <c r="J20" s="222">
        <f>IFERROR((G20-F20)/$F$32*100,"-")</f>
        <v>2.1024364636103408</v>
      </c>
      <c r="K20" s="333"/>
      <c r="L20" s="91"/>
      <c r="M20" s="90"/>
      <c r="N20" s="90"/>
      <c r="O20" s="90"/>
      <c r="P20" s="90"/>
      <c r="Q20" s="53"/>
    </row>
    <row r="21" spans="3:17" ht="15" customHeight="1">
      <c r="C21" s="744" t="str">
        <f>IF(Indice_index!$Z$1=1,"Diferenças de consolidação","Consolidation differences")</f>
        <v>Diferenças de consolidação</v>
      </c>
      <c r="D21" s="221">
        <v>39.959349639997612</v>
      </c>
      <c r="E21" s="221">
        <v>7.4265349999996033</v>
      </c>
      <c r="F21" s="223">
        <v>18.913930060001881</v>
      </c>
      <c r="G21" s="223">
        <v>2.5172699999999999E-2</v>
      </c>
      <c r="H21" s="222"/>
      <c r="I21" s="222"/>
      <c r="J21" s="222"/>
      <c r="K21" s="333"/>
      <c r="L21" s="91"/>
      <c r="M21" s="89"/>
      <c r="N21" s="90"/>
      <c r="O21" s="90"/>
      <c r="P21" s="90"/>
      <c r="Q21" s="53"/>
    </row>
    <row r="22" spans="3:17" s="272" customFormat="1" ht="15" customHeight="1">
      <c r="C22" s="769" t="str">
        <f>IF(Indice_index!$Z$1=1,"Receita de capital","Capital revenue")</f>
        <v>Receita de capital</v>
      </c>
      <c r="D22" s="285">
        <f>SUM(D23:D30)-D24</f>
        <v>3034.4154667399998</v>
      </c>
      <c r="E22" s="285">
        <f>SUM(E23:E30)-E24</f>
        <v>4634.738566</v>
      </c>
      <c r="F22" s="285">
        <f>SUM(F23:F30)-F24</f>
        <v>1865.6834348499997</v>
      </c>
      <c r="G22" s="285">
        <f>SUM(G23:G30)-G24</f>
        <v>1403.1429541400003</v>
      </c>
      <c r="H22" s="285">
        <f t="shared" ref="H22:H29" si="3">IFERROR(IF(G22/E22*100&lt;-500,"-",IF(G22/E22*100&gt;500,"-",G22/E22*100)),"-")</f>
        <v>30.27447900585641</v>
      </c>
      <c r="I22" s="285">
        <f t="shared" si="1"/>
        <v>-24.792013053768017</v>
      </c>
      <c r="J22" s="285">
        <f t="shared" ref="J22:J29" si="4">IFERROR((G22-F22)/$F$32*100,"-")</f>
        <v>-2.2879122802538987</v>
      </c>
      <c r="K22" s="532"/>
      <c r="L22" s="283"/>
      <c r="M22" s="283"/>
      <c r="N22" s="284"/>
      <c r="O22" s="284"/>
      <c r="P22" s="284"/>
    </row>
    <row r="23" spans="3:17" ht="15" customHeight="1">
      <c r="C23" s="771" t="str">
        <f>IF(Indice_index!$Z$1=1,"Venda de bens de investimento","Sale of investment goods")</f>
        <v>Venda de bens de investimento</v>
      </c>
      <c r="D23" s="223">
        <v>117.54567847</v>
      </c>
      <c r="E23" s="223">
        <v>128.73524900000001</v>
      </c>
      <c r="F23" s="223">
        <v>53.328706329999996</v>
      </c>
      <c r="G23" s="223">
        <v>50.347343679999994</v>
      </c>
      <c r="H23" s="223">
        <f t="shared" si="3"/>
        <v>39.109213732130186</v>
      </c>
      <c r="I23" s="223">
        <f t="shared" si="1"/>
        <v>-5.5905399833838452</v>
      </c>
      <c r="J23" s="223">
        <f t="shared" si="4"/>
        <v>-1.474702540273865E-2</v>
      </c>
      <c r="K23" s="333"/>
      <c r="L23" s="89"/>
      <c r="M23" s="92"/>
      <c r="N23" s="90"/>
      <c r="O23" s="90"/>
      <c r="P23" s="90"/>
      <c r="Q23" s="53"/>
    </row>
    <row r="24" spans="3:17" ht="15" customHeight="1">
      <c r="C24" s="771" t="str">
        <f>IF(Indice_index!$Z$1=1,"Transferências de capital","Capital transfers")</f>
        <v>Transferências de capital</v>
      </c>
      <c r="D24" s="223">
        <f>SUM(D25:D28)</f>
        <v>2891.6004543500003</v>
      </c>
      <c r="E24" s="223">
        <f>SUM(E25:E28)</f>
        <v>4468.6257059999989</v>
      </c>
      <c r="F24" s="223">
        <f>SUM(F25:F28)</f>
        <v>1807.4546262299996</v>
      </c>
      <c r="G24" s="223">
        <f>SUM(G25:G28)</f>
        <v>1344.2669379499998</v>
      </c>
      <c r="H24" s="223">
        <f t="shared" si="3"/>
        <v>30.082334623485252</v>
      </c>
      <c r="I24" s="223">
        <f t="shared" si="1"/>
        <v>-25.626518174130851</v>
      </c>
      <c r="J24" s="223">
        <f t="shared" si="4"/>
        <v>-2.2911136306416613</v>
      </c>
      <c r="K24" s="333"/>
      <c r="L24" s="89"/>
      <c r="M24" s="92"/>
      <c r="N24" s="90"/>
      <c r="O24" s="90"/>
      <c r="P24" s="90"/>
      <c r="Q24" s="53"/>
    </row>
    <row r="25" spans="3:17" ht="15" customHeight="1">
      <c r="C25" s="758" t="str">
        <f>IF(Indice_index!$Z$1=1,"Administração Central","Central Administration")</f>
        <v>Administração Central</v>
      </c>
      <c r="D25" s="223">
        <v>1898.9395623700002</v>
      </c>
      <c r="E25" s="223">
        <v>1470.751487</v>
      </c>
      <c r="F25" s="223">
        <v>1163.2625635499999</v>
      </c>
      <c r="G25" s="223">
        <v>556.78919057000007</v>
      </c>
      <c r="H25" s="223">
        <f t="shared" si="3"/>
        <v>37.857462357948997</v>
      </c>
      <c r="I25" s="223">
        <f t="shared" si="1"/>
        <v>-52.135553226194062</v>
      </c>
      <c r="J25" s="223">
        <f t="shared" si="4"/>
        <v>-2.9998625753967385</v>
      </c>
      <c r="K25" s="333"/>
      <c r="L25" s="89"/>
      <c r="M25" s="90"/>
      <c r="N25" s="90"/>
      <c r="O25" s="90"/>
      <c r="P25" s="90"/>
      <c r="Q25" s="53"/>
    </row>
    <row r="26" spans="3:17" ht="15" customHeight="1">
      <c r="C26" s="758" t="str">
        <f>IF(Indice_index!$Z$1=1,"Outros subsectores das AP","Other General Government subsectors")</f>
        <v>Outros subsectores das AP</v>
      </c>
      <c r="D26" s="223">
        <v>10.450267329999999</v>
      </c>
      <c r="E26" s="223">
        <v>35.408985000000001</v>
      </c>
      <c r="F26" s="223">
        <v>6.2667572099999997</v>
      </c>
      <c r="G26" s="223">
        <v>7.1570156599999999</v>
      </c>
      <c r="H26" s="223">
        <f t="shared" si="3"/>
        <v>20.212428173244728</v>
      </c>
      <c r="I26" s="223">
        <f t="shared" si="1"/>
        <v>14.206046606997882</v>
      </c>
      <c r="J26" s="223">
        <f t="shared" si="4"/>
        <v>4.4035783359507542E-3</v>
      </c>
      <c r="K26" s="333"/>
      <c r="L26" s="89"/>
      <c r="M26" s="93"/>
      <c r="N26" s="93"/>
      <c r="O26" s="90"/>
      <c r="P26" s="90"/>
      <c r="Q26" s="53"/>
    </row>
    <row r="27" spans="3:17" ht="15" customHeight="1">
      <c r="C27" s="758" t="str">
        <f>IF(Indice_index!$Z$1=1,"União Europeia","European Union")</f>
        <v>União Europeia</v>
      </c>
      <c r="D27" s="223">
        <v>765.82299568000008</v>
      </c>
      <c r="E27" s="223">
        <v>2726.0498779999998</v>
      </c>
      <c r="F27" s="223">
        <v>423.17285528999992</v>
      </c>
      <c r="G27" s="223">
        <v>533.79291297999998</v>
      </c>
      <c r="H27" s="223">
        <f t="shared" si="3"/>
        <v>19.581186583850176</v>
      </c>
      <c r="I27" s="223">
        <f t="shared" si="1"/>
        <v>26.140631731728693</v>
      </c>
      <c r="J27" s="223">
        <f t="shared" si="4"/>
        <v>0.54717154278659963</v>
      </c>
      <c r="K27" s="333"/>
      <c r="L27" s="89"/>
      <c r="M27" s="94"/>
      <c r="N27" s="90"/>
      <c r="O27" s="90"/>
      <c r="P27" s="90"/>
      <c r="Q27" s="53"/>
    </row>
    <row r="28" spans="3:17" ht="15" customHeight="1">
      <c r="C28" s="758" t="str">
        <f>IF(Indice_index!$Z$1=1,"Outras transferências","Other transfers")</f>
        <v>Outras transferências</v>
      </c>
      <c r="D28" s="223">
        <v>216.38762896999992</v>
      </c>
      <c r="E28" s="223">
        <v>236.41535599999997</v>
      </c>
      <c r="F28" s="223">
        <v>214.75245017999998</v>
      </c>
      <c r="G28" s="223">
        <v>246.52781873999993</v>
      </c>
      <c r="H28" s="223">
        <f t="shared" si="3"/>
        <v>104.27741366343393</v>
      </c>
      <c r="I28" s="223">
        <f t="shared" si="1"/>
        <v>14.796277543453707</v>
      </c>
      <c r="J28" s="223">
        <f t="shared" si="4"/>
        <v>0.15717382363252658</v>
      </c>
      <c r="K28" s="333"/>
      <c r="L28" s="89"/>
      <c r="M28" s="90"/>
      <c r="N28" s="90"/>
      <c r="O28" s="90"/>
      <c r="P28" s="90"/>
      <c r="Q28" s="53"/>
    </row>
    <row r="29" spans="3:17" ht="15" customHeight="1">
      <c r="C29" s="771" t="str">
        <f>IF(Indice_index!$Z$1=1,"Outras Receitas de Capital","Other capital revenue")</f>
        <v>Outras Receitas de Capital</v>
      </c>
      <c r="D29" s="223">
        <v>25.269333919999998</v>
      </c>
      <c r="E29" s="223">
        <v>37.377611000000002</v>
      </c>
      <c r="F29" s="223">
        <v>4.9001022900000004</v>
      </c>
      <c r="G29" s="223">
        <v>8.5286725099999998</v>
      </c>
      <c r="H29" s="223">
        <f t="shared" si="3"/>
        <v>22.817596635590217</v>
      </c>
      <c r="I29" s="223">
        <f>IF(IFERROR((G29-F29)/F29*100,"")&gt;500,"-",IFERROR((G29-F29)/F29*100,""))</f>
        <v>74.050907618910117</v>
      </c>
      <c r="J29" s="223">
        <f t="shared" si="4"/>
        <v>1.7948375790500005E-2</v>
      </c>
      <c r="K29" s="333"/>
      <c r="L29" s="89"/>
      <c r="M29" s="90"/>
      <c r="N29" s="90"/>
      <c r="O29" s="90"/>
      <c r="P29" s="90"/>
      <c r="Q29" s="53"/>
    </row>
    <row r="30" spans="3:17" ht="15" customHeight="1">
      <c r="C30" s="744" t="str">
        <f>IF(Indice_index!$Z$1=1,"Diferenças de consolidação","Consolidation differences")</f>
        <v>Diferenças de consolidação</v>
      </c>
      <c r="D30" s="223">
        <v>0</v>
      </c>
      <c r="E30" s="223">
        <v>0</v>
      </c>
      <c r="F30" s="223">
        <v>0</v>
      </c>
      <c r="G30" s="223">
        <v>0</v>
      </c>
      <c r="H30" s="223"/>
      <c r="I30" s="223"/>
      <c r="J30" s="223"/>
      <c r="K30" s="333"/>
      <c r="L30" s="89"/>
      <c r="M30" s="89"/>
      <c r="N30" s="90"/>
      <c r="O30" s="90"/>
      <c r="P30" s="90"/>
      <c r="Q30" s="53"/>
    </row>
    <row r="31" spans="3:17" ht="4.5" customHeight="1">
      <c r="C31" s="758"/>
      <c r="D31" s="758"/>
      <c r="E31" s="758"/>
      <c r="F31" s="224"/>
      <c r="G31" s="224"/>
      <c r="H31" s="224"/>
      <c r="I31" s="224"/>
      <c r="J31" s="224"/>
      <c r="K31" s="333"/>
      <c r="L31" s="89"/>
      <c r="M31" s="95"/>
      <c r="N31" s="90"/>
      <c r="O31" s="90"/>
      <c r="P31" s="90"/>
      <c r="Q31" s="53"/>
    </row>
    <row r="32" spans="3:17" s="272" customFormat="1" ht="15" customHeight="1">
      <c r="C32" s="774" t="str">
        <f>IF(Indice_index!$Z$1=1,"Receita efetiva","Effective revenue")</f>
        <v>Receita efetiva</v>
      </c>
      <c r="D32" s="774">
        <f>D9+D22</f>
        <v>36037.332145149994</v>
      </c>
      <c r="E32" s="774">
        <f>E9+E22</f>
        <v>40409.066458000001</v>
      </c>
      <c r="F32" s="775">
        <f>F9+F22</f>
        <v>20216.705190230001</v>
      </c>
      <c r="G32" s="775">
        <f>G9+G22</f>
        <v>20560.447330030001</v>
      </c>
      <c r="H32" s="775">
        <f>IFERROR(IF(G32/E32*100&lt;-500,"-",IF(G32/E32*100&gt;500,"-",G32/E32*100)),"-")</f>
        <v>50.880777835835254</v>
      </c>
      <c r="I32" s="775">
        <f t="shared" ref="I32" si="5">IFERROR(IF(F32=0,"-",(G32-F32)/F32*100),"-")</f>
        <v>1.700287641163797</v>
      </c>
      <c r="J32" s="775"/>
      <c r="K32" s="532"/>
      <c r="L32" s="283"/>
      <c r="M32" s="286"/>
      <c r="N32" s="284"/>
      <c r="O32" s="284"/>
      <c r="P32" s="284"/>
    </row>
    <row r="33" spans="3:17" ht="4.5" customHeight="1">
      <c r="C33" s="758"/>
      <c r="D33" s="758"/>
      <c r="E33" s="758"/>
      <c r="F33" s="745"/>
      <c r="G33" s="745"/>
      <c r="H33" s="745"/>
      <c r="I33" s="745"/>
      <c r="J33" s="776"/>
      <c r="K33" s="333"/>
      <c r="L33" s="89"/>
      <c r="M33" s="90"/>
      <c r="N33" s="90"/>
      <c r="O33" s="90"/>
      <c r="P33" s="90"/>
      <c r="Q33" s="53"/>
    </row>
    <row r="34" spans="3:17" s="272" customFormat="1" ht="15" customHeight="1">
      <c r="C34" s="769" t="str">
        <f>IF(Indice_index!$Z$1=1,"Despesa corrente","Current Expenditure")</f>
        <v>Despesa corrente</v>
      </c>
      <c r="D34" s="769">
        <f>SUM(D35:D48)-D35-D41</f>
        <v>32992.402133680058</v>
      </c>
      <c r="E34" s="769">
        <f>SUM(E35:E48)-E35-E41</f>
        <v>34862.401181999994</v>
      </c>
      <c r="F34" s="282">
        <f>SUM(F35:F48)-F35-F41</f>
        <v>17041.715583309975</v>
      </c>
      <c r="G34" s="282">
        <f>SUM(G35:G48)-G35-G41</f>
        <v>17690.435848080033</v>
      </c>
      <c r="H34" s="282">
        <f t="shared" ref="H34:H47" si="6">IFERROR(IF(G34/E34*100&lt;-500,"-",IF(G34/E34*100&gt;500,"-",G34/E34*100)),"-")</f>
        <v>50.743595530688467</v>
      </c>
      <c r="I34" s="282">
        <f t="shared" ref="I34:I56" si="7">IF(IFERROR((G34-F34)/F34*100,"")&gt;500,"-",IFERROR((G34-F34)/F34*100,""))</f>
        <v>3.806660553620496</v>
      </c>
      <c r="J34" s="282">
        <f>IFERROR((G34-F34)/$F$59*100,"-")</f>
        <v>3.3515421430620695</v>
      </c>
      <c r="K34" s="532"/>
      <c r="L34" s="353"/>
      <c r="M34" s="283"/>
      <c r="N34" s="284"/>
      <c r="O34" s="284"/>
      <c r="P34" s="284"/>
    </row>
    <row r="35" spans="3:17" ht="15" customHeight="1">
      <c r="C35" s="771" t="str">
        <f>IF(Indice_index!$Z$1=1,"Despesas com o pessoal","Employees")</f>
        <v>Despesas com o pessoal</v>
      </c>
      <c r="D35" s="223">
        <f t="shared" ref="D35:E35" si="8">SUM(D36:D38)</f>
        <v>8526.7632711000097</v>
      </c>
      <c r="E35" s="223">
        <f t="shared" si="8"/>
        <v>8939.8323110000001</v>
      </c>
      <c r="F35" s="223">
        <f t="shared" ref="F35:G35" si="9">SUM(F36:F38)</f>
        <v>4830.4983369499878</v>
      </c>
      <c r="G35" s="223">
        <f t="shared" si="9"/>
        <v>4920.3324079499998</v>
      </c>
      <c r="H35" s="223">
        <f t="shared" si="6"/>
        <v>55.038307618989521</v>
      </c>
      <c r="I35" s="223">
        <f t="shared" si="7"/>
        <v>1.8597267762798557</v>
      </c>
      <c r="J35" s="223">
        <f t="shared" ref="J35:J47" si="10">IFERROR((G35-F35)/$F$59*100,"-")</f>
        <v>0.46411788129678788</v>
      </c>
      <c r="K35" s="333"/>
      <c r="L35" s="354"/>
      <c r="M35" s="90"/>
      <c r="N35" s="90"/>
      <c r="O35" s="90"/>
      <c r="P35" s="90"/>
      <c r="Q35" s="53"/>
    </row>
    <row r="36" spans="3:17" ht="15" customHeight="1">
      <c r="C36" s="758" t="str">
        <f>IF(Indice_index!$Z$1=1,"Remunerações Certas e Permanentes","Certain and permanent wages")</f>
        <v>Remunerações Certas e Permanentes</v>
      </c>
      <c r="D36" s="223">
        <v>5947.1170754600089</v>
      </c>
      <c r="E36" s="223">
        <v>6322.896401</v>
      </c>
      <c r="F36" s="223">
        <v>3364.1345238199883</v>
      </c>
      <c r="G36" s="223">
        <v>3455.3182783499983</v>
      </c>
      <c r="H36" s="223">
        <f t="shared" si="6"/>
        <v>54.64771299753577</v>
      </c>
      <c r="I36" s="223">
        <f t="shared" si="7"/>
        <v>2.7104669532201249</v>
      </c>
      <c r="J36" s="223">
        <f t="shared" si="10"/>
        <v>0.47109087331853133</v>
      </c>
      <c r="K36" s="333"/>
      <c r="L36" s="354"/>
      <c r="M36" s="90"/>
      <c r="N36" s="90"/>
      <c r="O36" s="90"/>
      <c r="P36" s="90"/>
      <c r="Q36" s="53"/>
    </row>
    <row r="37" spans="3:17" ht="15" customHeight="1">
      <c r="C37" s="758" t="str">
        <f>IF(Indice_index!$Z$1=1,"Abonos Variáveis ou Eventuais","Variable or contingent bonuses")</f>
        <v>Abonos Variáveis ou Eventuais</v>
      </c>
      <c r="D37" s="223">
        <v>945.06633174000035</v>
      </c>
      <c r="E37" s="223">
        <v>913.04404199999999</v>
      </c>
      <c r="F37" s="223">
        <v>551.77852146999919</v>
      </c>
      <c r="G37" s="223">
        <v>539.12050816999999</v>
      </c>
      <c r="H37" s="223">
        <f t="shared" si="6"/>
        <v>59.046495390197187</v>
      </c>
      <c r="I37" s="223">
        <f t="shared" si="7"/>
        <v>-2.2940387868445562</v>
      </c>
      <c r="J37" s="223">
        <f t="shared" si="10"/>
        <v>-6.5396238296062545E-2</v>
      </c>
      <c r="K37" s="333"/>
      <c r="L37" s="354"/>
      <c r="M37" s="90"/>
      <c r="N37" s="90"/>
      <c r="O37" s="90"/>
      <c r="P37" s="90"/>
      <c r="Q37" s="53"/>
    </row>
    <row r="38" spans="3:17" ht="15" customHeight="1">
      <c r="C38" s="758" t="str">
        <f>IF(Indice_index!$Z$1=1,"Segurança social","Social security")</f>
        <v>Segurança social</v>
      </c>
      <c r="D38" s="223">
        <v>1634.5798639000004</v>
      </c>
      <c r="E38" s="223">
        <v>1703.8918679999999</v>
      </c>
      <c r="F38" s="223">
        <v>914.58529165999971</v>
      </c>
      <c r="G38" s="223">
        <v>925.89362143000108</v>
      </c>
      <c r="H38" s="223">
        <f t="shared" si="6"/>
        <v>54.339928420269977</v>
      </c>
      <c r="I38" s="223">
        <f t="shared" si="7"/>
        <v>1.236443432134843</v>
      </c>
      <c r="J38" s="223">
        <f t="shared" si="10"/>
        <v>5.8423246274319711E-2</v>
      </c>
      <c r="K38" s="333"/>
      <c r="L38" s="354"/>
      <c r="M38" s="90"/>
      <c r="N38" s="90"/>
      <c r="O38" s="90"/>
      <c r="P38" s="90"/>
      <c r="Q38" s="53"/>
    </row>
    <row r="39" spans="3:17" ht="15" customHeight="1">
      <c r="C39" s="771" t="str">
        <f>IF(Indice_index!$Z$1=1,"Aquisição de bens e serviços","Purchase of goods and services")</f>
        <v>Aquisição de bens e serviços</v>
      </c>
      <c r="D39" s="223">
        <v>9578.1575329900443</v>
      </c>
      <c r="E39" s="223">
        <v>10487.619370999999</v>
      </c>
      <c r="F39" s="223">
        <v>4531.2239521099882</v>
      </c>
      <c r="G39" s="223">
        <v>5081.1429977900261</v>
      </c>
      <c r="H39" s="223">
        <f t="shared" si="6"/>
        <v>48.448964612886563</v>
      </c>
      <c r="I39" s="223">
        <f t="shared" si="7"/>
        <v>12.136214221412853</v>
      </c>
      <c r="J39" s="223">
        <f t="shared" si="10"/>
        <v>2.8410964740286175</v>
      </c>
      <c r="K39" s="333"/>
      <c r="L39" s="354"/>
      <c r="M39" s="90"/>
      <c r="N39" s="90"/>
      <c r="O39" s="90"/>
      <c r="P39" s="90"/>
      <c r="Q39" s="53"/>
    </row>
    <row r="40" spans="3:17" ht="15" customHeight="1">
      <c r="C40" s="771" t="str">
        <f>IF(Indice_index!$Z$1=1,"Juros e outros encargos","Interests")</f>
        <v>Juros e outros encargos</v>
      </c>
      <c r="D40" s="223">
        <v>632.00897064999992</v>
      </c>
      <c r="E40" s="223">
        <v>509.19108900000003</v>
      </c>
      <c r="F40" s="223">
        <v>275.06050517999989</v>
      </c>
      <c r="G40" s="223">
        <v>133.61709542000003</v>
      </c>
      <c r="H40" s="223">
        <f t="shared" si="6"/>
        <v>26.241051406145093</v>
      </c>
      <c r="I40" s="223">
        <f t="shared" si="7"/>
        <v>-51.422653233127434</v>
      </c>
      <c r="J40" s="223">
        <f t="shared" si="10"/>
        <v>-0.73075187320850399</v>
      </c>
      <c r="K40" s="333"/>
      <c r="L40" s="354"/>
      <c r="M40" s="90"/>
      <c r="N40" s="90"/>
      <c r="O40" s="90"/>
      <c r="P40" s="90"/>
      <c r="Q40" s="53"/>
    </row>
    <row r="41" spans="3:17" ht="15" customHeight="1">
      <c r="C41" s="771" t="str">
        <f>IF(Indice_index!$Z$1=1,"Transferências correntes","Current transfers")</f>
        <v>Transferências correntes</v>
      </c>
      <c r="D41" s="114">
        <f>SUM(D42:D45)</f>
        <v>13047.552430199996</v>
      </c>
      <c r="E41" s="114">
        <f>SUM(E42:E45)</f>
        <v>13186.266441</v>
      </c>
      <c r="F41" s="114">
        <f>SUM(F42:F45)</f>
        <v>6793.3938522600019</v>
      </c>
      <c r="G41" s="114">
        <f>SUM(G42:G45)</f>
        <v>6977.6062078500008</v>
      </c>
      <c r="H41" s="223">
        <f t="shared" si="6"/>
        <v>52.915707710520401</v>
      </c>
      <c r="I41" s="223">
        <f t="shared" si="7"/>
        <v>2.7116395662635662</v>
      </c>
      <c r="J41" s="223">
        <f t="shared" si="10"/>
        <v>0.95171294402442608</v>
      </c>
      <c r="K41" s="333"/>
      <c r="L41" s="354"/>
      <c r="M41" s="92"/>
      <c r="N41" s="90"/>
      <c r="O41" s="90"/>
      <c r="P41" s="90"/>
      <c r="Q41" s="53"/>
    </row>
    <row r="42" spans="3:17" ht="15" customHeight="1">
      <c r="C42" s="758" t="str">
        <f>IF(Indice_index!$Z$1=1,"Administração Central","Central Administration")</f>
        <v>Administração Central</v>
      </c>
      <c r="D42" s="114">
        <v>548.32511082999997</v>
      </c>
      <c r="E42" s="114">
        <v>554.51140299999997</v>
      </c>
      <c r="F42" s="223">
        <v>272.66043731999997</v>
      </c>
      <c r="G42" s="223">
        <v>238.43007421999999</v>
      </c>
      <c r="H42" s="223">
        <f t="shared" si="6"/>
        <v>42.99822743591082</v>
      </c>
      <c r="I42" s="223">
        <f t="shared" si="7"/>
        <v>-12.554209710969733</v>
      </c>
      <c r="J42" s="223">
        <f t="shared" si="10"/>
        <v>-0.17684741903758994</v>
      </c>
      <c r="K42" s="333"/>
      <c r="L42" s="354"/>
      <c r="M42" s="90"/>
      <c r="N42" s="90"/>
      <c r="O42" s="90"/>
      <c r="P42" s="90"/>
      <c r="Q42" s="53"/>
    </row>
    <row r="43" spans="3:17" ht="15" customHeight="1">
      <c r="C43" s="758" t="str">
        <f>IF(Indice_index!$Z$1=1,"Outros subsectores das AP","Other General Government subsectors")</f>
        <v>Outros subsectores das AP</v>
      </c>
      <c r="D43" s="223">
        <v>662.19723092000027</v>
      </c>
      <c r="E43" s="223">
        <v>539.51204500000006</v>
      </c>
      <c r="F43" s="223">
        <v>339.13379091000002</v>
      </c>
      <c r="G43" s="223">
        <v>316.37637242999989</v>
      </c>
      <c r="H43" s="223">
        <f t="shared" si="6"/>
        <v>58.641206505408014</v>
      </c>
      <c r="I43" s="223">
        <f t="shared" si="7"/>
        <v>-6.7104544253567262</v>
      </c>
      <c r="J43" s="223">
        <f t="shared" si="10"/>
        <v>-0.11757370818384273</v>
      </c>
      <c r="K43" s="333"/>
      <c r="L43" s="354"/>
      <c r="M43" s="90"/>
      <c r="N43" s="90"/>
      <c r="O43" s="90"/>
      <c r="P43" s="90"/>
      <c r="Q43" s="53"/>
    </row>
    <row r="44" spans="3:17" ht="15" customHeight="1">
      <c r="C44" s="758" t="str">
        <f>IF(Indice_index!$Z$1=1,"União Europeia","European Union")</f>
        <v>União Europeia</v>
      </c>
      <c r="D44" s="223">
        <v>34.313346190000004</v>
      </c>
      <c r="E44" s="223">
        <v>26.985104</v>
      </c>
      <c r="F44" s="223">
        <v>15.392778850000001</v>
      </c>
      <c r="G44" s="223">
        <v>17.049291799999999</v>
      </c>
      <c r="H44" s="223">
        <f t="shared" si="6"/>
        <v>63.18038203595583</v>
      </c>
      <c r="I44" s="223">
        <f t="shared" si="7"/>
        <v>10.7616237856883</v>
      </c>
      <c r="J44" s="223">
        <f t="shared" si="10"/>
        <v>8.5581925892525557E-3</v>
      </c>
      <c r="K44" s="333"/>
      <c r="L44" s="354"/>
      <c r="M44" s="90"/>
      <c r="N44" s="90"/>
      <c r="O44" s="90"/>
      <c r="P44" s="90"/>
      <c r="Q44" s="53"/>
    </row>
    <row r="45" spans="3:17" ht="15" customHeight="1">
      <c r="C45" s="758" t="str">
        <f>IF(Indice_index!$Z$1=1,"Outras transferências","Other transfers")</f>
        <v>Outras transferências</v>
      </c>
      <c r="D45" s="223">
        <v>11802.716742259996</v>
      </c>
      <c r="E45" s="223">
        <v>12065.257889</v>
      </c>
      <c r="F45" s="223">
        <v>6166.2068451800023</v>
      </c>
      <c r="G45" s="223">
        <v>6405.7504694000008</v>
      </c>
      <c r="H45" s="223">
        <f t="shared" si="6"/>
        <v>53.092528384662039</v>
      </c>
      <c r="I45" s="223">
        <f t="shared" si="7"/>
        <v>3.8847808747649268</v>
      </c>
      <c r="J45" s="223">
        <f t="shared" si="10"/>
        <v>1.2375758786566038</v>
      </c>
      <c r="K45" s="333"/>
      <c r="L45" s="354"/>
      <c r="M45" s="90"/>
      <c r="N45" s="90"/>
      <c r="O45" s="90"/>
      <c r="P45" s="90"/>
      <c r="Q45" s="53"/>
    </row>
    <row r="46" spans="3:17" ht="15" customHeight="1">
      <c r="C46" s="771" t="str">
        <f>IF(Indice_index!$Z$1=1,"Subsídios","Subsidies")</f>
        <v>Subsídios</v>
      </c>
      <c r="D46" s="223">
        <v>966.79276689000005</v>
      </c>
      <c r="E46" s="223">
        <v>695.52698499999997</v>
      </c>
      <c r="F46" s="223">
        <v>522.94981715000006</v>
      </c>
      <c r="G46" s="223">
        <v>402.46966050999993</v>
      </c>
      <c r="H46" s="223">
        <f t="shared" si="6"/>
        <v>57.865427106325704</v>
      </c>
      <c r="I46" s="223">
        <f t="shared" si="7"/>
        <v>-23.038569416966116</v>
      </c>
      <c r="J46" s="223">
        <f t="shared" si="10"/>
        <v>-0.62244752370238787</v>
      </c>
      <c r="K46" s="333"/>
      <c r="L46" s="354"/>
      <c r="M46" s="90"/>
      <c r="N46" s="90"/>
      <c r="O46" s="90"/>
      <c r="P46" s="90"/>
      <c r="Q46" s="53"/>
    </row>
    <row r="47" spans="3:17" ht="15" customHeight="1">
      <c r="C47" s="771" t="str">
        <f>IF(Indice_index!$Z$1=1,"Outras despesas correntes","Other current expenditure")</f>
        <v>Outras despesas correntes</v>
      </c>
      <c r="D47" s="223">
        <v>234.45030436999991</v>
      </c>
      <c r="E47" s="223">
        <v>1043.964984</v>
      </c>
      <c r="F47" s="223">
        <v>88.589119659999994</v>
      </c>
      <c r="G47" s="223">
        <v>106.14654386999996</v>
      </c>
      <c r="H47" s="223">
        <f t="shared" si="6"/>
        <v>10.16763449893641</v>
      </c>
      <c r="I47" s="223">
        <f t="shared" si="7"/>
        <v>19.818939704316243</v>
      </c>
      <c r="J47" s="223">
        <f t="shared" si="10"/>
        <v>9.0708507748391148E-2</v>
      </c>
      <c r="K47" s="333"/>
      <c r="L47" s="354"/>
      <c r="M47" s="90"/>
      <c r="N47" s="90"/>
      <c r="O47" s="90"/>
      <c r="P47" s="90"/>
      <c r="Q47" s="53"/>
    </row>
    <row r="48" spans="3:17" ht="15" customHeight="1">
      <c r="C48" s="744" t="str">
        <f>IF(Indice_index!$Z$1=1,"Diferenças de consolidação","Consolidation differences")</f>
        <v>Diferenças de consolidação</v>
      </c>
      <c r="D48" s="223">
        <v>6.6768574800071292</v>
      </c>
      <c r="E48" s="223">
        <v>9.999994290410541E-7</v>
      </c>
      <c r="F48" s="223">
        <v>0</v>
      </c>
      <c r="G48" s="223">
        <v>69.120934690000468</v>
      </c>
      <c r="H48" s="223"/>
      <c r="I48" s="223"/>
      <c r="J48" s="223"/>
      <c r="K48" s="333"/>
      <c r="L48" s="354"/>
      <c r="M48" s="89"/>
      <c r="N48" s="90"/>
      <c r="O48" s="90"/>
      <c r="P48" s="90"/>
      <c r="Q48" s="53"/>
    </row>
    <row r="49" spans="3:17" s="272" customFormat="1" ht="15" customHeight="1">
      <c r="C49" s="769" t="str">
        <f>IF(Indice_index!$Z$1=1,"Despesa de capital","Capital expenditure")</f>
        <v>Despesa de capital</v>
      </c>
      <c r="D49" s="282">
        <f>SUM(D50:D57)-D51</f>
        <v>4196.3242257499969</v>
      </c>
      <c r="E49" s="282">
        <f>SUM(E50:E57)-E51</f>
        <v>6456.354714000001</v>
      </c>
      <c r="F49" s="282">
        <f>SUM(F50:F57)-F51</f>
        <v>2314.1581332999995</v>
      </c>
      <c r="G49" s="282">
        <f>SUM(G50:G57)-G51</f>
        <v>1932.2307279700005</v>
      </c>
      <c r="H49" s="282">
        <f t="shared" ref="H49:H56" si="11">IFERROR(IF(G49/E49*100&lt;-500,"-",IF(G49/E49*100&gt;500,"-",G49/E49*100)),"-")</f>
        <v>29.927580090668489</v>
      </c>
      <c r="I49" s="282">
        <f t="shared" si="7"/>
        <v>-16.503945855479149</v>
      </c>
      <c r="J49" s="282">
        <f t="shared" ref="J49:J56" si="12">IFERROR((G49-F49)/$F$59*100,"-")</f>
        <v>-1.9731860773727472</v>
      </c>
      <c r="K49" s="532"/>
      <c r="L49" s="353"/>
      <c r="M49" s="283"/>
      <c r="N49" s="284"/>
      <c r="O49" s="284"/>
      <c r="P49" s="284"/>
    </row>
    <row r="50" spans="3:17" ht="15" customHeight="1">
      <c r="C50" s="771" t="str">
        <f>IF(Indice_index!$Z$1=1,"Investimento","Investment")</f>
        <v>Investimento</v>
      </c>
      <c r="D50" s="223">
        <v>2743.4523255899981</v>
      </c>
      <c r="E50" s="223">
        <v>4535.5566200000003</v>
      </c>
      <c r="F50" s="223">
        <v>1474.0311433099996</v>
      </c>
      <c r="G50" s="223">
        <v>1441.0145672900003</v>
      </c>
      <c r="H50" s="223">
        <f t="shared" si="11"/>
        <v>31.771504316266263</v>
      </c>
      <c r="I50" s="223">
        <f t="shared" si="7"/>
        <v>-2.2398832053072635</v>
      </c>
      <c r="J50" s="223">
        <f t="shared" si="12"/>
        <v>-0.17057652112943164</v>
      </c>
      <c r="K50" s="333"/>
      <c r="L50" s="354"/>
      <c r="M50" s="90"/>
      <c r="N50" s="90"/>
      <c r="O50" s="90"/>
      <c r="P50" s="90"/>
      <c r="Q50" s="53"/>
    </row>
    <row r="51" spans="3:17" ht="15" customHeight="1">
      <c r="C51" s="771" t="str">
        <f>IF(Indice_index!$Z$1=1,"Transferências de capital","Capital transfers")</f>
        <v>Transferências de capital</v>
      </c>
      <c r="D51" s="223">
        <f>SUM(D52:D55)</f>
        <v>1285.30045563</v>
      </c>
      <c r="E51" s="223">
        <f>SUM(E52:E55)</f>
        <v>1702.7385810000001</v>
      </c>
      <c r="F51" s="223">
        <f>SUM(F52:F55)</f>
        <v>825.23507743999994</v>
      </c>
      <c r="G51" s="223">
        <f>SUM(G52:G55)</f>
        <v>453.15794019000009</v>
      </c>
      <c r="H51" s="223">
        <f t="shared" si="11"/>
        <v>26.613476974478683</v>
      </c>
      <c r="I51" s="223">
        <f t="shared" si="7"/>
        <v>-45.087411747478988</v>
      </c>
      <c r="J51" s="223">
        <f t="shared" si="12"/>
        <v>-1.9222957470047299</v>
      </c>
      <c r="K51" s="333"/>
      <c r="L51" s="354"/>
      <c r="M51" s="92"/>
      <c r="N51" s="90"/>
      <c r="O51" s="90"/>
      <c r="P51" s="90"/>
      <c r="Q51" s="53"/>
    </row>
    <row r="52" spans="3:17" ht="15" customHeight="1">
      <c r="C52" s="758" t="str">
        <f>IF(Indice_index!$Z$1=1,"Administração Central","Central Administration")</f>
        <v>Administração Central</v>
      </c>
      <c r="D52" s="114">
        <v>13.090126160000001</v>
      </c>
      <c r="E52" s="114">
        <v>38.736918000000003</v>
      </c>
      <c r="F52" s="223">
        <v>7.5610019499999996</v>
      </c>
      <c r="G52" s="223">
        <v>8.6092008500000023</v>
      </c>
      <c r="H52" s="223">
        <f t="shared" si="11"/>
        <v>22.224795607126001</v>
      </c>
      <c r="I52" s="223">
        <f t="shared" si="7"/>
        <v>13.863227478733858</v>
      </c>
      <c r="J52" s="223">
        <f t="shared" si="12"/>
        <v>5.4154047259592593E-3</v>
      </c>
      <c r="K52" s="333"/>
      <c r="L52" s="354"/>
      <c r="M52" s="90"/>
      <c r="N52" s="90"/>
      <c r="O52" s="90"/>
      <c r="P52" s="90"/>
      <c r="Q52" s="53"/>
    </row>
    <row r="53" spans="3:17" ht="15" customHeight="1">
      <c r="C53" s="758" t="str">
        <f>IF(Indice_index!$Z$1=1,"Outros subsectores das AP","Other General Government subsectors")</f>
        <v>Outros subsectores das AP</v>
      </c>
      <c r="D53" s="223">
        <v>43.079640700000013</v>
      </c>
      <c r="E53" s="223">
        <v>171.27997500000001</v>
      </c>
      <c r="F53" s="223">
        <v>7.3986395000000007</v>
      </c>
      <c r="G53" s="223">
        <v>18.023621340000002</v>
      </c>
      <c r="H53" s="223">
        <f t="shared" si="11"/>
        <v>10.522900496686786</v>
      </c>
      <c r="I53" s="223">
        <f t="shared" si="7"/>
        <v>143.60723806045692</v>
      </c>
      <c r="J53" s="223">
        <f t="shared" si="12"/>
        <v>5.4892804094306108E-2</v>
      </c>
      <c r="K53" s="333"/>
      <c r="L53" s="355"/>
      <c r="M53" s="90"/>
      <c r="N53" s="90"/>
      <c r="O53" s="90"/>
      <c r="P53" s="90"/>
      <c r="Q53" s="53"/>
    </row>
    <row r="54" spans="3:17" ht="15" customHeight="1">
      <c r="C54" s="758" t="str">
        <f>IF(Indice_index!$Z$1=1,"União Europeia","European Union")</f>
        <v>União Europeia</v>
      </c>
      <c r="D54" s="223">
        <v>140.22973721</v>
      </c>
      <c r="E54" s="223">
        <v>135.72310200000001</v>
      </c>
      <c r="F54" s="223">
        <v>140.17076920999997</v>
      </c>
      <c r="G54" s="223">
        <v>166.99238567</v>
      </c>
      <c r="H54" s="223">
        <f t="shared" si="11"/>
        <v>123.0390281457021</v>
      </c>
      <c r="I54" s="223">
        <f t="shared" si="7"/>
        <v>19.134957032173109</v>
      </c>
      <c r="J54" s="223">
        <f t="shared" si="12"/>
        <v>0.13857094157926558</v>
      </c>
      <c r="K54" s="333"/>
      <c r="L54" s="355"/>
      <c r="M54" s="90"/>
      <c r="N54" s="90"/>
      <c r="O54" s="90"/>
      <c r="P54" s="90"/>
      <c r="Q54" s="53"/>
    </row>
    <row r="55" spans="3:17" ht="15" customHeight="1">
      <c r="C55" s="758" t="str">
        <f>IF(Indice_index!$Z$1=1,"Outras transferências","Other transfers")</f>
        <v>Outras transferências</v>
      </c>
      <c r="D55" s="223">
        <v>1088.9009515600001</v>
      </c>
      <c r="E55" s="223">
        <v>1356.9985860000002</v>
      </c>
      <c r="F55" s="223">
        <v>670.10466678</v>
      </c>
      <c r="G55" s="223">
        <v>259.53273233000004</v>
      </c>
      <c r="H55" s="223">
        <f t="shared" si="11"/>
        <v>19.125497624505265</v>
      </c>
      <c r="I55" s="223">
        <f t="shared" si="7"/>
        <v>-61.26982168664609</v>
      </c>
      <c r="J55" s="223">
        <f t="shared" si="12"/>
        <v>-2.121174897404261</v>
      </c>
      <c r="K55" s="333"/>
      <c r="L55" s="355"/>
      <c r="M55" s="90"/>
      <c r="N55" s="90"/>
      <c r="O55" s="90"/>
      <c r="P55" s="90"/>
      <c r="Q55" s="53"/>
    </row>
    <row r="56" spans="3:17" ht="15" customHeight="1">
      <c r="C56" s="771" t="str">
        <f>IF(Indice_index!$Z$1=1,"Outras despesas de capital","Other capital expenditure")</f>
        <v>Outras despesas de capital</v>
      </c>
      <c r="D56" s="223">
        <v>115.82734792000001</v>
      </c>
      <c r="E56" s="223">
        <v>215.53838999999999</v>
      </c>
      <c r="F56" s="223">
        <v>7.1204401100000005</v>
      </c>
      <c r="G56" s="223">
        <v>16.148132589999999</v>
      </c>
      <c r="H56" s="223">
        <f t="shared" si="11"/>
        <v>7.49199833496019</v>
      </c>
      <c r="I56" s="223">
        <f t="shared" si="7"/>
        <v>126.78559668413527</v>
      </c>
      <c r="J56" s="223">
        <f t="shared" si="12"/>
        <v>4.6640583691414605E-2</v>
      </c>
      <c r="K56" s="333"/>
      <c r="L56" s="354"/>
      <c r="M56" s="92"/>
      <c r="N56" s="90"/>
      <c r="O56" s="90"/>
      <c r="P56" s="90"/>
      <c r="Q56" s="53"/>
    </row>
    <row r="57" spans="3:17" ht="15" customHeight="1">
      <c r="C57" s="744" t="str">
        <f>IF(Indice_index!$Z$1=1,"Diferenças de consolidação","Consolidation differences")</f>
        <v>Diferenças de consolidação</v>
      </c>
      <c r="D57" s="223">
        <v>51.744096609999815</v>
      </c>
      <c r="E57" s="223">
        <v>2.5211229999999887</v>
      </c>
      <c r="F57" s="223">
        <v>7.7714724399999966</v>
      </c>
      <c r="G57" s="223">
        <v>21.910087900000008</v>
      </c>
      <c r="H57" s="223"/>
      <c r="I57" s="223"/>
      <c r="J57" s="223"/>
      <c r="K57" s="333"/>
      <c r="L57" s="354"/>
      <c r="M57" s="89"/>
      <c r="N57" s="90"/>
      <c r="O57" s="90"/>
      <c r="P57" s="90"/>
      <c r="Q57" s="53"/>
    </row>
    <row r="58" spans="3:17" ht="4.5" customHeight="1">
      <c r="C58" s="771"/>
      <c r="D58" s="771"/>
      <c r="E58" s="771"/>
      <c r="F58" s="224"/>
      <c r="G58" s="224"/>
      <c r="H58" s="224"/>
      <c r="I58" s="224"/>
      <c r="J58" s="224"/>
      <c r="K58" s="333"/>
      <c r="L58" s="90"/>
      <c r="M58" s="90"/>
      <c r="N58" s="96"/>
      <c r="O58" s="90"/>
      <c r="P58" s="90"/>
      <c r="Q58" s="53"/>
    </row>
    <row r="59" spans="3:17" s="272" customFormat="1" ht="15" customHeight="1">
      <c r="C59" s="774" t="str">
        <f>IF(Indice_index!$Z$1=1,"Despesa efetiva","Effective Expenditure")</f>
        <v>Despesa efetiva</v>
      </c>
      <c r="D59" s="774">
        <f>+D34+D49</f>
        <v>37188.726359430053</v>
      </c>
      <c r="E59" s="774">
        <f>+E34+E49</f>
        <v>41318.755895999995</v>
      </c>
      <c r="F59" s="775">
        <f>+F34+F49</f>
        <v>19355.873716609975</v>
      </c>
      <c r="G59" s="775">
        <f>+G34+G49</f>
        <v>19622.666576050033</v>
      </c>
      <c r="H59" s="775">
        <f>IFERROR(IF(G59/E59*100&lt;-500,"-",IF(G59/E59*100&gt;500,"-",G59/E59*100)),"-")</f>
        <v>47.490942431666177</v>
      </c>
      <c r="I59" s="775">
        <f t="shared" ref="I59" si="13">IFERROR(IF(F59=0,"-",(G59-F59)/F59*100),"-")</f>
        <v>1.378356065689319</v>
      </c>
      <c r="J59" s="775"/>
      <c r="K59" s="532"/>
      <c r="L59" s="356"/>
      <c r="M59" s="283"/>
      <c r="N59" s="284"/>
      <c r="O59" s="284"/>
      <c r="P59" s="284"/>
    </row>
    <row r="60" spans="3:17" ht="4.5" customHeight="1">
      <c r="C60" s="777"/>
      <c r="D60" s="777"/>
      <c r="E60" s="777"/>
      <c r="F60" s="745"/>
      <c r="G60" s="745"/>
      <c r="H60" s="112"/>
      <c r="I60" s="112"/>
      <c r="J60" s="112"/>
      <c r="K60" s="333"/>
      <c r="L60" s="357"/>
      <c r="M60" s="90"/>
      <c r="N60" s="90"/>
      <c r="O60" s="90"/>
      <c r="P60" s="90"/>
      <c r="Q60" s="53"/>
    </row>
    <row r="61" spans="3:17" s="272" customFormat="1" ht="15" customHeight="1">
      <c r="C61" s="748" t="str">
        <f>IF(Indice_index!$Z$1=1,"Saldo global","Overall Balance")</f>
        <v>Saldo global</v>
      </c>
      <c r="D61" s="748">
        <f>+(D9+D22)-(D34+D49)</f>
        <v>-1151.3942142800588</v>
      </c>
      <c r="E61" s="748">
        <f>+(E9+E22)-(E34+E49)</f>
        <v>-909.68943799999397</v>
      </c>
      <c r="F61" s="750">
        <f>+(F9+F22)-(F34+F49)</f>
        <v>860.83147362002637</v>
      </c>
      <c r="G61" s="750">
        <f>+(G9+G22)-(G34+G49)</f>
        <v>937.78075397996872</v>
      </c>
      <c r="H61" s="750"/>
      <c r="I61" s="750"/>
      <c r="J61" s="750"/>
      <c r="K61" s="532"/>
      <c r="L61" s="356"/>
      <c r="M61" s="287"/>
      <c r="N61" s="288"/>
      <c r="O61" s="284"/>
      <c r="P61" s="284"/>
    </row>
    <row r="62" spans="3:17" ht="4.5" customHeight="1">
      <c r="C62" s="778"/>
      <c r="D62" s="778"/>
      <c r="E62" s="778"/>
      <c r="F62" s="779"/>
      <c r="G62" s="223"/>
      <c r="H62" s="225"/>
      <c r="I62" s="225"/>
      <c r="J62" s="225"/>
      <c r="K62" s="333"/>
      <c r="L62" s="357"/>
      <c r="M62" s="90"/>
      <c r="N62" s="90"/>
      <c r="O62" s="90"/>
      <c r="P62" s="90"/>
      <c r="Q62" s="53"/>
    </row>
    <row r="63" spans="3:17" ht="15" customHeight="1">
      <c r="C63" s="771" t="str">
        <f>IF(Indice_index!$Z$1=1,"Despesa  primária","Primary Expenditure")</f>
        <v>Despesa  primária</v>
      </c>
      <c r="D63" s="114">
        <f>D59-D40</f>
        <v>36556.717388780053</v>
      </c>
      <c r="E63" s="114">
        <f>E59-E40</f>
        <v>40809.564806999995</v>
      </c>
      <c r="F63" s="114">
        <f>F59-F40</f>
        <v>19080.813211429973</v>
      </c>
      <c r="G63" s="114">
        <f>G59-G40</f>
        <v>19489.049480630034</v>
      </c>
      <c r="H63" s="223">
        <f>IFERROR(IF(G63/E63*100&lt;-500,"-",IF(G63/E63*100&gt;500,"-",G63/E63*100)),"-")</f>
        <v>47.75608260661263</v>
      </c>
      <c r="I63" s="223">
        <f t="shared" ref="I63" si="14">IFERROR(IF(F63=0,"-",(G63-F63)/F63*100),"-")</f>
        <v>2.1395118996055942</v>
      </c>
      <c r="J63" s="223"/>
      <c r="K63" s="333"/>
      <c r="L63" s="357"/>
      <c r="M63" s="90"/>
      <c r="N63" s="90"/>
      <c r="O63" s="90"/>
      <c r="P63" s="90"/>
      <c r="Q63" s="53"/>
    </row>
    <row r="64" spans="3:17" ht="15" customHeight="1">
      <c r="C64" s="754" t="str">
        <f>IF(Indice_index!$Z$1=1,"Saldo corrente","Current balance")</f>
        <v>Saldo corrente</v>
      </c>
      <c r="D64" s="114">
        <f>+D9-D34</f>
        <v>10.51454472993646</v>
      </c>
      <c r="E64" s="114">
        <f>+E9-E34</f>
        <v>911.92671000000701</v>
      </c>
      <c r="F64" s="114">
        <f>+F9-F34</f>
        <v>1309.306172070028</v>
      </c>
      <c r="G64" s="114">
        <f>+G9-G34</f>
        <v>1466.8685278099692</v>
      </c>
      <c r="H64" s="225"/>
      <c r="I64" s="225"/>
      <c r="J64" s="225"/>
      <c r="K64" s="333"/>
      <c r="L64" s="357"/>
      <c r="M64" s="97"/>
      <c r="N64" s="90"/>
      <c r="O64" s="90"/>
      <c r="P64" s="90"/>
      <c r="Q64" s="53"/>
    </row>
    <row r="65" spans="3:19" ht="15" customHeight="1">
      <c r="C65" s="754" t="str">
        <f>IF(Indice_index!$Z$1=1,"Saldo de capital","Capital balance")</f>
        <v>Saldo de capital</v>
      </c>
      <c r="D65" s="114">
        <f>D22-D49</f>
        <v>-1161.9087590099971</v>
      </c>
      <c r="E65" s="114">
        <f>E22-E49</f>
        <v>-1821.616148000001</v>
      </c>
      <c r="F65" s="114">
        <f>F22-F49</f>
        <v>-448.47469844999978</v>
      </c>
      <c r="G65" s="114">
        <f>G22-G49</f>
        <v>-529.08777383000029</v>
      </c>
      <c r="H65" s="225"/>
      <c r="I65" s="225"/>
      <c r="J65" s="225"/>
      <c r="K65" s="333"/>
      <c r="L65" s="357"/>
      <c r="M65" s="97"/>
      <c r="N65" s="90"/>
      <c r="O65" s="90"/>
      <c r="P65" s="90"/>
      <c r="Q65" s="53"/>
    </row>
    <row r="66" spans="3:19" ht="15" customHeight="1">
      <c r="C66" s="754" t="str">
        <f>IF(Indice_index!$Z$1=1,"Saldo primário","Primary balance")</f>
        <v>Saldo primário</v>
      </c>
      <c r="D66" s="114">
        <f>D61+D40</f>
        <v>-519.38524363005888</v>
      </c>
      <c r="E66" s="114">
        <f>E61+E40</f>
        <v>-400.49834899999394</v>
      </c>
      <c r="F66" s="114">
        <f>F61+F40</f>
        <v>1135.8919788000262</v>
      </c>
      <c r="G66" s="114">
        <f>G61+G40</f>
        <v>1071.3978493999687</v>
      </c>
      <c r="H66" s="225"/>
      <c r="I66" s="225"/>
      <c r="J66" s="225"/>
      <c r="K66" s="333"/>
      <c r="L66" s="357"/>
      <c r="M66" s="97"/>
      <c r="N66" s="90"/>
      <c r="O66" s="90"/>
      <c r="P66" s="90"/>
      <c r="Q66" s="53"/>
    </row>
    <row r="67" spans="3:19" ht="4.5" customHeight="1">
      <c r="C67" s="136"/>
      <c r="D67" s="136"/>
      <c r="E67" s="136"/>
      <c r="F67" s="114"/>
      <c r="G67" s="114"/>
      <c r="H67" s="225"/>
      <c r="I67" s="225"/>
      <c r="J67" s="225"/>
      <c r="K67" s="333"/>
      <c r="L67" s="357"/>
      <c r="M67" s="97"/>
      <c r="N67" s="90"/>
      <c r="O67" s="90"/>
      <c r="P67" s="90"/>
      <c r="Q67" s="53"/>
    </row>
    <row r="68" spans="3:19" ht="15" customHeight="1">
      <c r="C68" s="136" t="str">
        <f>IF(Indice_index!$Z$1=1,"Ativos financeiros líquidos de reembolsos","Financial assets net of reimbursements")</f>
        <v>Ativos financeiros líquidos de reembolsos</v>
      </c>
      <c r="D68" s="136">
        <v>3783.0859037799974</v>
      </c>
      <c r="E68" s="136">
        <v>2345.1231200000002</v>
      </c>
      <c r="F68" s="114">
        <v>-1008.5299054599986</v>
      </c>
      <c r="G68" s="114">
        <v>-3968.40915903</v>
      </c>
      <c r="H68" s="780"/>
      <c r="I68" s="780"/>
      <c r="J68" s="225"/>
      <c r="K68" s="533"/>
      <c r="L68" s="357"/>
      <c r="M68" s="90"/>
      <c r="N68" s="90"/>
      <c r="O68" s="90"/>
      <c r="P68" s="90"/>
      <c r="Q68" s="53"/>
    </row>
    <row r="69" spans="3:19" ht="15" customHeight="1">
      <c r="C69" s="781" t="str">
        <f>IF(Indice_index!$Z$1=1,"dos quais Receitas de:","of which revenue from:")</f>
        <v>dos quais Receitas de:</v>
      </c>
      <c r="D69" s="781"/>
      <c r="E69" s="781"/>
      <c r="F69" s="114"/>
      <c r="G69" s="114"/>
      <c r="H69" s="114"/>
      <c r="I69" s="114"/>
      <c r="J69" s="225"/>
      <c r="K69" s="333"/>
      <c r="L69" s="357"/>
      <c r="M69" s="90"/>
      <c r="N69" s="90"/>
      <c r="O69" s="90"/>
      <c r="P69" s="90"/>
      <c r="Q69" s="53"/>
    </row>
    <row r="70" spans="3:19" ht="15" customHeight="1">
      <c r="C70" s="757" t="str">
        <f>IF(Indice_index!$Z$1=1,"Alienação de partes de Capital","Disposal of Capital Shares")</f>
        <v>Alienação de partes de Capital</v>
      </c>
      <c r="D70" s="114">
        <v>0</v>
      </c>
      <c r="E70" s="114">
        <v>0</v>
      </c>
      <c r="F70" s="114">
        <v>0</v>
      </c>
      <c r="G70" s="114">
        <v>0</v>
      </c>
      <c r="H70" s="223"/>
      <c r="I70" s="223" t="str">
        <f>IF(F70=0,"-",(G70-F70)/F70*100)</f>
        <v>-</v>
      </c>
      <c r="J70" s="225"/>
      <c r="K70" s="333"/>
      <c r="L70" s="357"/>
      <c r="M70" s="90"/>
      <c r="N70" s="90"/>
      <c r="O70" s="90"/>
      <c r="P70" s="90"/>
      <c r="Q70" s="53"/>
    </row>
    <row r="71" spans="3:19" ht="15" customHeight="1">
      <c r="C71" s="758" t="str">
        <f>IF(Indice_index!$Z$1=1,"Outros Ativos","Other Assets")</f>
        <v>Outros Ativos</v>
      </c>
      <c r="D71" s="114">
        <v>2588.6264850300013</v>
      </c>
      <c r="E71" s="114">
        <v>7202.56185</v>
      </c>
      <c r="F71" s="114">
        <v>2063.7397612499994</v>
      </c>
      <c r="G71" s="114">
        <v>4948.0846592500002</v>
      </c>
      <c r="H71" s="223"/>
      <c r="I71" s="223">
        <f>IF(IFERROR((G71-F71)/F71*100,"")&gt;500,"-",IFERROR((G71-F71)/F71*100,""))</f>
        <v>139.7630143178985</v>
      </c>
      <c r="J71" s="225"/>
      <c r="K71" s="333"/>
      <c r="L71" s="357"/>
      <c r="M71" s="90"/>
      <c r="N71" s="90"/>
      <c r="O71" s="90"/>
      <c r="P71" s="90"/>
      <c r="Q71" s="53"/>
    </row>
    <row r="72" spans="3:19" ht="15" customHeight="1">
      <c r="C72" s="136" t="str">
        <f>IF(Indice_index!$Z$1=1,"Passivos financeiros líquidos de amortizações","Financial liabilities net of amortizations")</f>
        <v>Passivos financeiros líquidos de amortizações</v>
      </c>
      <c r="D72" s="136">
        <v>1925.5570962700008</v>
      </c>
      <c r="E72" s="136">
        <v>3270.0491839999995</v>
      </c>
      <c r="F72" s="114">
        <v>518.39331459999994</v>
      </c>
      <c r="G72" s="114">
        <v>745.4981276799997</v>
      </c>
      <c r="H72" s="114"/>
      <c r="I72" s="114"/>
      <c r="J72" s="225"/>
      <c r="K72" s="333"/>
      <c r="L72" s="357"/>
      <c r="M72" s="90"/>
      <c r="N72" s="90"/>
      <c r="O72" s="90"/>
      <c r="P72" s="90"/>
      <c r="Q72" s="53"/>
    </row>
    <row r="73" spans="3:19" ht="15" customHeight="1">
      <c r="C73" s="759" t="str">
        <f>IF(Indice_index!$Z$1=1,"Poupança (+) / Utilização (-) de saldo da gerência anterior","Saving (+) / Usage (-) of balance from previous management")</f>
        <v>Poupança (+) / Utilização (-) de saldo da gerência anterior</v>
      </c>
      <c r="D73" s="759">
        <f>D61-D68+D72</f>
        <v>-3008.9230217900554</v>
      </c>
      <c r="E73" s="759">
        <f>E61-E68+E72</f>
        <v>15.236626000005344</v>
      </c>
      <c r="F73" s="735">
        <f>F61-F68+F72</f>
        <v>2387.754693680025</v>
      </c>
      <c r="G73" s="735">
        <f>G61-G68+G72</f>
        <v>5651.6880406899681</v>
      </c>
      <c r="H73" s="735"/>
      <c r="I73" s="735"/>
      <c r="J73" s="735"/>
      <c r="K73" s="333"/>
      <c r="L73" s="357"/>
      <c r="M73" s="58"/>
      <c r="N73" s="58"/>
      <c r="O73" s="58"/>
      <c r="Q73" s="53"/>
    </row>
    <row r="74" spans="3:19" ht="4.5" customHeight="1">
      <c r="F74" s="755"/>
      <c r="K74" s="333"/>
    </row>
    <row r="75" spans="3:19" ht="15" customHeight="1">
      <c r="C75" s="782" t="str">
        <f>IF(Indice_index!$Z$1=1,"Notas:","Notes:")</f>
        <v>Notas:</v>
      </c>
      <c r="D75" s="782"/>
      <c r="E75" s="782"/>
      <c r="F75" s="58"/>
      <c r="G75" s="58"/>
    </row>
    <row r="76" spans="3:19" s="22" customFormat="1" ht="15" customHeight="1">
      <c r="C76" s="1691" t="str">
        <f>+'5 - Conta AC + SS'!$C$64</f>
        <v>Os dados de 2021 são mensalmente revistos e atualizados face ao publicado nas Sínteses de Execução Orçamental de 2021.</v>
      </c>
      <c r="D76" s="1691"/>
      <c r="E76" s="1691"/>
      <c r="F76" s="1691"/>
      <c r="G76" s="1691"/>
      <c r="H76" s="1691"/>
      <c r="I76" s="1691"/>
      <c r="J76" s="1691"/>
      <c r="K76" s="63"/>
      <c r="R76" s="24"/>
      <c r="S76" s="24"/>
    </row>
    <row r="77" spans="3:19" s="63" customFormat="1" ht="4.5" customHeight="1">
      <c r="C77" s="739"/>
      <c r="D77" s="739"/>
      <c r="E77" s="739"/>
      <c r="F77" s="697"/>
      <c r="G77" s="697"/>
      <c r="H77" s="697"/>
      <c r="I77" s="697"/>
      <c r="J77" s="697"/>
      <c r="K77" s="79"/>
      <c r="L77" s="53"/>
      <c r="O77" s="98"/>
      <c r="P77" s="98"/>
    </row>
    <row r="78" spans="3:19" ht="15" customHeight="1">
      <c r="C78" s="1707" t="str">
        <f>IF(Indice_index!$Z$1=1,"Entidades em incumprimento no reporte de execução orçamental no mês em análise:","Non reporting entities are identified below:")</f>
        <v>Entidades em incumprimento no reporte de execução orçamental no mês em análise:</v>
      </c>
      <c r="D78" s="1707"/>
      <c r="E78" s="1707"/>
      <c r="F78" s="1707"/>
      <c r="G78" s="1707"/>
      <c r="H78" s="1707"/>
      <c r="I78" s="1707"/>
      <c r="J78" s="1707"/>
    </row>
    <row r="79" spans="3:19" ht="15" hidden="1" customHeight="1">
      <c r="C79" s="783" t="s">
        <v>67</v>
      </c>
      <c r="D79" s="784"/>
      <c r="E79" s="784"/>
      <c r="F79" s="785"/>
      <c r="G79" s="785"/>
      <c r="H79" s="785"/>
      <c r="I79" s="785"/>
      <c r="J79" s="785"/>
      <c r="K79" s="217"/>
      <c r="M79" s="50"/>
      <c r="N79" s="50"/>
      <c r="P79" s="53"/>
      <c r="Q79" s="53"/>
    </row>
    <row r="80" spans="3:19" ht="15" hidden="1" customHeight="1">
      <c r="C80" s="1709"/>
      <c r="D80" s="1709"/>
      <c r="E80" s="1709"/>
      <c r="F80" s="1709"/>
      <c r="G80" s="1709"/>
      <c r="H80" s="1709"/>
      <c r="I80" s="1709"/>
      <c r="J80" s="1709"/>
      <c r="K80" s="220"/>
      <c r="L80" s="220"/>
      <c r="M80" s="50"/>
      <c r="N80" s="50"/>
      <c r="P80" s="53"/>
      <c r="Q80" s="53"/>
    </row>
    <row r="81" spans="3:22" ht="12.75" customHeight="1">
      <c r="C81" s="783" t="s">
        <v>74</v>
      </c>
      <c r="D81" s="784"/>
      <c r="E81" s="784"/>
      <c r="F81" s="785"/>
      <c r="G81" s="785"/>
      <c r="H81" s="785"/>
      <c r="I81" s="785"/>
      <c r="J81" s="785"/>
      <c r="K81" s="217"/>
    </row>
    <row r="82" spans="3:22" ht="27" customHeight="1">
      <c r="C82" s="1709" t="s">
        <v>584</v>
      </c>
      <c r="D82" s="1709"/>
      <c r="E82" s="1709"/>
      <c r="F82" s="1709"/>
      <c r="G82" s="1709"/>
      <c r="H82" s="1709"/>
      <c r="I82" s="1709"/>
      <c r="J82" s="1709"/>
      <c r="K82" s="219"/>
      <c r="L82" s="219"/>
    </row>
    <row r="83" spans="3:22" ht="4.5" customHeight="1">
      <c r="C83" s="534"/>
      <c r="D83" s="534"/>
      <c r="E83" s="534"/>
      <c r="F83" s="534"/>
      <c r="G83" s="534"/>
      <c r="H83" s="534"/>
      <c r="I83" s="534"/>
      <c r="J83" s="534"/>
      <c r="K83" s="534"/>
    </row>
    <row r="84" spans="3:22" ht="24.75" customHeight="1">
      <c r="C84" s="1710" t="str">
        <f>+'10 - EPR'!C84:J84</f>
        <v>Para as entidades identificadas considera-se na execução orçamental uma estimativa de execução para os meses em falta, esta estimativa consiste na correspondente previsão mensal.</v>
      </c>
      <c r="D84" s="1710"/>
      <c r="E84" s="1710"/>
      <c r="F84" s="1710"/>
      <c r="G84" s="1710"/>
      <c r="H84" s="1710"/>
      <c r="I84" s="1710"/>
      <c r="J84" s="1710"/>
      <c r="K84" s="219"/>
      <c r="M84" s="99"/>
      <c r="N84" s="99"/>
      <c r="O84" s="53"/>
      <c r="P84" s="53"/>
      <c r="Q84" s="53"/>
      <c r="T84" s="50"/>
      <c r="U84" s="50"/>
      <c r="V84" s="50"/>
    </row>
    <row r="85" spans="3:22" s="100" customFormat="1" ht="4.5" customHeight="1">
      <c r="C85" s="535"/>
      <c r="D85" s="535"/>
      <c r="E85" s="535"/>
      <c r="F85" s="535"/>
      <c r="G85" s="535"/>
      <c r="H85" s="535"/>
      <c r="I85" s="535"/>
      <c r="J85" s="535"/>
      <c r="K85" s="535"/>
      <c r="M85" s="455"/>
      <c r="N85" s="455"/>
      <c r="T85" s="104"/>
      <c r="U85" s="104"/>
      <c r="V85" s="104"/>
    </row>
    <row r="86" spans="3:22" ht="18" customHeight="1">
      <c r="C86" s="1709" t="str">
        <f>+'10 - EPR'!C86:J86</f>
        <v>Esta estimativa apenas é utilizada para os meses em que haja falta de reporte. Nos restantes meses, é utilizada a informação efetivamente reportada pelas entidades.</v>
      </c>
      <c r="D86" s="1709"/>
      <c r="E86" s="1709"/>
      <c r="F86" s="1709"/>
      <c r="G86" s="1709"/>
      <c r="H86" s="1709"/>
      <c r="I86" s="1709"/>
      <c r="J86" s="1709"/>
      <c r="K86" s="219"/>
      <c r="L86" s="99"/>
      <c r="M86" s="99"/>
      <c r="N86" s="99"/>
      <c r="O86" s="53"/>
      <c r="P86" s="53"/>
      <c r="Q86" s="53"/>
      <c r="T86" s="50"/>
      <c r="U86" s="50"/>
      <c r="V86" s="50"/>
    </row>
    <row r="87" spans="3:22" s="345" customFormat="1" ht="4.5" customHeight="1">
      <c r="C87" s="679"/>
      <c r="D87" s="679"/>
      <c r="E87" s="679"/>
      <c r="F87" s="679"/>
      <c r="G87" s="679"/>
      <c r="H87" s="700"/>
      <c r="I87" s="679"/>
      <c r="J87" s="679"/>
      <c r="K87" s="344"/>
      <c r="L87" s="344"/>
      <c r="M87" s="344"/>
      <c r="N87" s="344"/>
      <c r="O87" s="344"/>
      <c r="P87" s="344"/>
      <c r="T87" s="346"/>
      <c r="U87" s="346"/>
      <c r="V87" s="346"/>
    </row>
    <row r="88" spans="3:22">
      <c r="C88" s="786" t="str">
        <f>IF(Indice_index!$Z$1=1,"Fonte: Direção-Geral do Orçamento","Source: Budget General Directorate")</f>
        <v>Fonte: Direção-Geral do Orçamento</v>
      </c>
      <c r="D88" s="786"/>
      <c r="E88" s="786"/>
      <c r="F88" s="680"/>
      <c r="G88" s="680"/>
      <c r="H88" s="680"/>
      <c r="I88" s="680"/>
      <c r="J88" s="680"/>
    </row>
    <row r="89" spans="3:22" s="345" customFormat="1" ht="12.75" customHeight="1">
      <c r="C89" s="681"/>
      <c r="D89" s="681"/>
      <c r="E89" s="681"/>
      <c r="F89" s="374"/>
      <c r="G89" s="682"/>
      <c r="H89" s="679"/>
      <c r="I89" s="102"/>
      <c r="J89" s="102"/>
      <c r="K89" s="380"/>
      <c r="L89" s="347"/>
      <c r="M89" s="347"/>
      <c r="N89" s="347"/>
      <c r="O89" s="347"/>
      <c r="P89" s="347"/>
      <c r="Q89" s="347"/>
      <c r="R89" s="347"/>
      <c r="S89" s="347"/>
    </row>
    <row r="90" spans="3:22" s="345" customFormat="1" ht="12.75" customHeight="1">
      <c r="C90" s="375"/>
      <c r="D90" s="375"/>
      <c r="E90" s="375"/>
      <c r="F90" s="374"/>
      <c r="G90" s="102"/>
      <c r="H90" s="680"/>
      <c r="I90" s="376"/>
      <c r="J90" s="102"/>
      <c r="K90" s="102"/>
      <c r="O90" s="346"/>
      <c r="P90" s="346"/>
      <c r="Q90" s="346"/>
    </row>
    <row r="91" spans="3:22" s="345" customFormat="1" ht="12.75" customHeight="1">
      <c r="C91" s="1706"/>
      <c r="D91" s="1706"/>
      <c r="E91" s="1706"/>
      <c r="F91" s="1706"/>
      <c r="G91" s="1706"/>
      <c r="H91" s="1706"/>
      <c r="I91" s="1706"/>
      <c r="J91" s="1706"/>
      <c r="K91" s="1706"/>
      <c r="O91" s="346"/>
      <c r="P91" s="346"/>
      <c r="Q91" s="346"/>
    </row>
    <row r="92" spans="3:22" s="345" customFormat="1" ht="12.75" customHeight="1">
      <c r="C92" s="1706"/>
      <c r="D92" s="1706"/>
      <c r="E92" s="1706"/>
      <c r="F92" s="1706"/>
      <c r="G92" s="1706"/>
      <c r="H92" s="1706"/>
      <c r="I92" s="1706"/>
      <c r="J92" s="1706"/>
      <c r="K92" s="1706"/>
      <c r="O92" s="346"/>
      <c r="P92" s="346"/>
      <c r="Q92" s="346"/>
    </row>
    <row r="93" spans="3:22" s="345" customFormat="1" ht="12.75" customHeight="1">
      <c r="C93" s="1706"/>
      <c r="D93" s="1706"/>
      <c r="E93" s="1706"/>
      <c r="F93" s="1706"/>
      <c r="G93" s="1706"/>
      <c r="H93" s="1706"/>
      <c r="I93" s="1706"/>
      <c r="J93" s="1706"/>
      <c r="K93" s="1706"/>
      <c r="O93" s="346"/>
      <c r="P93" s="346"/>
      <c r="Q93" s="346"/>
    </row>
    <row r="94" spans="3:22" s="345" customFormat="1" ht="12.75" customHeight="1">
      <c r="C94" s="1706"/>
      <c r="D94" s="1706"/>
      <c r="E94" s="1706"/>
      <c r="F94" s="1706"/>
      <c r="G94" s="1706"/>
      <c r="H94" s="1706"/>
      <c r="I94" s="1706"/>
      <c r="J94" s="1706"/>
      <c r="K94" s="1706"/>
      <c r="O94" s="346"/>
      <c r="P94" s="346"/>
      <c r="Q94" s="346"/>
    </row>
    <row r="95" spans="3:22" s="345" customFormat="1" ht="12.75" customHeight="1">
      <c r="C95" s="1708"/>
      <c r="D95" s="1708"/>
      <c r="E95" s="1708"/>
      <c r="F95" s="1708"/>
      <c r="G95" s="1708"/>
      <c r="H95" s="1708"/>
      <c r="I95" s="1708"/>
      <c r="J95" s="1708"/>
      <c r="K95" s="1708"/>
      <c r="O95" s="346"/>
      <c r="P95" s="346"/>
      <c r="Q95" s="346"/>
    </row>
    <row r="96" spans="3:22" s="345" customFormat="1" ht="12.75" customHeight="1">
      <c r="C96" s="1708"/>
      <c r="D96" s="1708"/>
      <c r="E96" s="1708"/>
      <c r="F96" s="1708"/>
      <c r="G96" s="1708"/>
      <c r="H96" s="1708"/>
      <c r="I96" s="1708"/>
      <c r="J96" s="1708"/>
      <c r="K96" s="1708"/>
      <c r="O96" s="346"/>
      <c r="P96" s="346"/>
      <c r="Q96" s="346"/>
    </row>
    <row r="97" spans="3:18" s="100" customFormat="1">
      <c r="C97" s="1706"/>
      <c r="D97" s="1706"/>
      <c r="E97" s="1706"/>
      <c r="F97" s="1706"/>
      <c r="G97" s="1706"/>
      <c r="H97" s="1706"/>
      <c r="I97" s="1706"/>
      <c r="J97" s="1706"/>
      <c r="K97" s="1706"/>
      <c r="O97" s="104"/>
      <c r="P97" s="104"/>
      <c r="Q97" s="104"/>
    </row>
    <row r="98" spans="3:18" s="100" customFormat="1" ht="12.75" customHeight="1">
      <c r="C98" s="381"/>
      <c r="D98" s="381"/>
      <c r="E98" s="381"/>
      <c r="F98" s="106"/>
      <c r="G98" s="102"/>
      <c r="H98" s="102"/>
      <c r="I98" s="102"/>
      <c r="J98" s="102"/>
      <c r="K98" s="102"/>
      <c r="O98" s="104"/>
      <c r="P98" s="104"/>
      <c r="Q98" s="104"/>
    </row>
    <row r="99" spans="3:18" s="345" customFormat="1">
      <c r="C99" s="381"/>
      <c r="D99" s="381"/>
      <c r="E99" s="381"/>
      <c r="F99" s="106"/>
      <c r="G99" s="382"/>
      <c r="H99" s="382"/>
      <c r="I99" s="382"/>
      <c r="J99" s="382"/>
      <c r="K99" s="102"/>
      <c r="O99" s="346"/>
      <c r="P99" s="346"/>
      <c r="Q99" s="346"/>
    </row>
    <row r="100" spans="3:18" s="348" customFormat="1">
      <c r="C100" s="381"/>
      <c r="D100" s="381"/>
      <c r="E100" s="381"/>
      <c r="F100" s="106"/>
      <c r="G100" s="102"/>
      <c r="H100" s="102"/>
      <c r="I100" s="102"/>
      <c r="J100" s="102"/>
      <c r="K100" s="382"/>
      <c r="O100" s="346"/>
      <c r="P100" s="346"/>
      <c r="Q100" s="346"/>
    </row>
    <row r="101" spans="3:18" s="345" customFormat="1" ht="15">
      <c r="C101" s="383"/>
      <c r="D101" s="383"/>
      <c r="E101" s="383"/>
      <c r="F101" s="351"/>
      <c r="H101" s="382"/>
      <c r="O101" s="346"/>
      <c r="P101" s="346"/>
      <c r="Q101" s="346"/>
    </row>
    <row r="102" spans="3:18" s="349" customFormat="1">
      <c r="C102" s="351"/>
      <c r="D102" s="351"/>
      <c r="E102" s="351"/>
      <c r="F102" s="351"/>
      <c r="G102" s="345"/>
      <c r="H102" s="102"/>
      <c r="I102" s="345"/>
      <c r="J102" s="345"/>
      <c r="P102" s="346"/>
      <c r="Q102" s="346"/>
      <c r="R102" s="346"/>
    </row>
    <row r="103" spans="3:18" s="350" customFormat="1">
      <c r="C103" s="351"/>
      <c r="D103" s="351"/>
      <c r="E103" s="351"/>
      <c r="F103" s="351"/>
      <c r="G103" s="345"/>
      <c r="H103" s="345"/>
      <c r="I103" s="345"/>
      <c r="J103" s="345"/>
      <c r="P103" s="346"/>
      <c r="Q103" s="346"/>
      <c r="R103" s="346"/>
    </row>
    <row r="104" spans="3:18" s="350" customFormat="1">
      <c r="C104" s="351"/>
      <c r="D104" s="351"/>
      <c r="E104" s="351"/>
      <c r="F104" s="351"/>
      <c r="G104" s="345"/>
      <c r="H104" s="345"/>
      <c r="I104" s="345"/>
      <c r="J104" s="345"/>
      <c r="P104" s="346"/>
      <c r="Q104" s="346"/>
      <c r="R104" s="346"/>
    </row>
    <row r="105" spans="3:18" s="350" customFormat="1">
      <c r="C105" s="351"/>
      <c r="D105" s="351"/>
      <c r="E105" s="351"/>
      <c r="F105" s="351"/>
      <c r="G105" s="345"/>
      <c r="H105" s="345"/>
      <c r="I105" s="345"/>
      <c r="J105" s="345"/>
      <c r="P105" s="346"/>
      <c r="Q105" s="346"/>
      <c r="R105" s="346"/>
    </row>
    <row r="106" spans="3:18" s="350" customFormat="1">
      <c r="C106" s="351"/>
      <c r="D106" s="351"/>
      <c r="E106" s="351"/>
      <c r="F106" s="351"/>
      <c r="G106" s="345"/>
      <c r="H106" s="345"/>
      <c r="I106" s="345"/>
      <c r="J106" s="345"/>
      <c r="P106" s="346"/>
      <c r="Q106" s="346"/>
      <c r="R106" s="346"/>
    </row>
    <row r="107" spans="3:18" s="350" customFormat="1">
      <c r="C107" s="351"/>
      <c r="D107" s="351"/>
      <c r="E107" s="351"/>
      <c r="F107" s="351"/>
      <c r="G107" s="345"/>
      <c r="H107" s="345"/>
      <c r="I107" s="345"/>
      <c r="J107" s="345"/>
      <c r="P107" s="346"/>
      <c r="Q107" s="346"/>
      <c r="R107" s="346"/>
    </row>
    <row r="108" spans="3:18" s="350" customFormat="1">
      <c r="C108" s="351"/>
      <c r="D108" s="351"/>
      <c r="E108" s="351"/>
      <c r="F108" s="351"/>
      <c r="G108" s="345"/>
      <c r="H108" s="345"/>
      <c r="I108" s="345"/>
      <c r="J108" s="345"/>
      <c r="P108" s="346"/>
      <c r="Q108" s="346"/>
      <c r="R108" s="346"/>
    </row>
    <row r="109" spans="3:18" s="345" customFormat="1">
      <c r="C109" s="351"/>
      <c r="D109" s="351"/>
      <c r="E109" s="351"/>
      <c r="F109" s="351"/>
      <c r="O109" s="346"/>
      <c r="P109" s="346"/>
      <c r="Q109" s="346"/>
    </row>
    <row r="110" spans="3:18" s="345" customFormat="1">
      <c r="C110" s="351"/>
      <c r="D110" s="351"/>
      <c r="E110" s="351"/>
      <c r="F110" s="351"/>
      <c r="O110" s="346"/>
      <c r="P110" s="346"/>
      <c r="Q110" s="346"/>
    </row>
    <row r="111" spans="3:18" s="345" customFormat="1">
      <c r="C111" s="351"/>
      <c r="D111" s="351"/>
      <c r="E111" s="351"/>
      <c r="F111" s="351"/>
      <c r="O111" s="346"/>
      <c r="P111" s="346"/>
      <c r="Q111" s="346"/>
    </row>
    <row r="112" spans="3:18" s="345" customFormat="1">
      <c r="C112" s="351"/>
      <c r="D112" s="351"/>
      <c r="E112" s="351"/>
      <c r="F112" s="351"/>
      <c r="O112" s="346"/>
      <c r="P112" s="346"/>
      <c r="Q112" s="346"/>
    </row>
    <row r="113" spans="3:17" s="345" customFormat="1" ht="12" customHeight="1">
      <c r="C113" s="351"/>
      <c r="D113" s="351"/>
      <c r="E113" s="351"/>
      <c r="F113" s="351"/>
      <c r="O113" s="346"/>
      <c r="P113" s="346"/>
      <c r="Q113" s="346"/>
    </row>
    <row r="114" spans="3:17" s="345" customFormat="1">
      <c r="C114" s="351"/>
      <c r="D114" s="351"/>
      <c r="E114" s="351"/>
      <c r="F114" s="351"/>
      <c r="O114" s="346"/>
      <c r="P114" s="346"/>
      <c r="Q114" s="346"/>
    </row>
    <row r="115" spans="3:17" s="345" customFormat="1">
      <c r="C115" s="351"/>
      <c r="D115" s="351"/>
      <c r="E115" s="351"/>
      <c r="F115" s="351"/>
      <c r="O115" s="346"/>
      <c r="P115" s="346"/>
      <c r="Q115" s="346"/>
    </row>
    <row r="116" spans="3:17" s="345" customFormat="1">
      <c r="C116" s="351"/>
      <c r="D116" s="351"/>
      <c r="E116" s="351"/>
      <c r="F116" s="351"/>
      <c r="O116" s="346"/>
      <c r="P116" s="346"/>
      <c r="Q116" s="346"/>
    </row>
    <row r="117" spans="3:17" s="345" customFormat="1">
      <c r="C117" s="351"/>
      <c r="D117" s="351"/>
      <c r="E117" s="351"/>
      <c r="F117" s="351"/>
      <c r="O117" s="346"/>
      <c r="P117" s="346"/>
      <c r="Q117" s="346"/>
    </row>
    <row r="118" spans="3:17" s="105" customFormat="1">
      <c r="C118" s="63"/>
      <c r="D118" s="63"/>
      <c r="E118" s="63"/>
      <c r="F118" s="62"/>
      <c r="G118" s="63"/>
      <c r="H118" s="345"/>
      <c r="I118" s="63"/>
      <c r="J118" s="63"/>
      <c r="O118" s="50"/>
      <c r="P118" s="50"/>
      <c r="Q118" s="50"/>
    </row>
    <row r="119" spans="3:17" s="105" customFormat="1">
      <c r="C119" s="63"/>
      <c r="D119" s="63"/>
      <c r="E119" s="63"/>
      <c r="F119" s="62"/>
      <c r="G119" s="63"/>
      <c r="H119" s="345"/>
      <c r="I119" s="63"/>
      <c r="J119" s="63"/>
      <c r="O119" s="50"/>
      <c r="P119" s="50"/>
      <c r="Q119" s="50"/>
    </row>
    <row r="120" spans="3:17" s="105" customFormat="1">
      <c r="C120" s="63"/>
      <c r="D120" s="63"/>
      <c r="E120" s="63"/>
      <c r="F120" s="63"/>
      <c r="H120" s="63"/>
      <c r="O120" s="50"/>
      <c r="P120" s="50"/>
      <c r="Q120" s="50"/>
    </row>
    <row r="121" spans="3:17" s="105" customFormat="1">
      <c r="C121" s="63"/>
      <c r="D121" s="63"/>
      <c r="E121" s="63"/>
      <c r="F121" s="63"/>
      <c r="H121" s="63"/>
      <c r="O121" s="50"/>
      <c r="P121" s="50"/>
      <c r="Q121" s="50"/>
    </row>
    <row r="122" spans="3:17" s="105" customFormat="1">
      <c r="C122" s="63"/>
      <c r="D122" s="63"/>
      <c r="E122" s="63"/>
      <c r="F122" s="63"/>
      <c r="O122" s="50"/>
      <c r="P122" s="50"/>
      <c r="Q122" s="50"/>
    </row>
    <row r="123" spans="3:17" s="105" customFormat="1">
      <c r="C123" s="63"/>
      <c r="D123" s="63"/>
      <c r="E123" s="63"/>
      <c r="F123" s="63"/>
      <c r="O123" s="50"/>
      <c r="P123" s="50"/>
      <c r="Q123" s="50"/>
    </row>
    <row r="124" spans="3:17" s="105" customFormat="1">
      <c r="C124" s="63"/>
      <c r="D124" s="63"/>
      <c r="E124" s="63"/>
      <c r="F124" s="63"/>
      <c r="O124" s="50"/>
      <c r="P124" s="50"/>
      <c r="Q124" s="50"/>
    </row>
    <row r="125" spans="3:17" s="105" customFormat="1">
      <c r="C125" s="63"/>
      <c r="D125" s="63"/>
      <c r="E125" s="63"/>
      <c r="F125" s="63"/>
      <c r="O125" s="50"/>
      <c r="P125" s="50"/>
      <c r="Q125" s="50"/>
    </row>
    <row r="126" spans="3:17" s="105" customFormat="1">
      <c r="C126" s="63"/>
      <c r="D126" s="63"/>
      <c r="E126" s="63"/>
      <c r="F126" s="63"/>
      <c r="O126" s="50"/>
      <c r="P126" s="50"/>
      <c r="Q126" s="50"/>
    </row>
    <row r="127" spans="3:17" s="105" customFormat="1">
      <c r="C127" s="63"/>
      <c r="D127" s="63"/>
      <c r="E127" s="63"/>
      <c r="F127" s="63"/>
      <c r="O127" s="50"/>
      <c r="P127" s="50"/>
      <c r="Q127" s="50"/>
    </row>
    <row r="128" spans="3:17" s="105" customFormat="1">
      <c r="C128" s="63"/>
      <c r="D128" s="63"/>
      <c r="E128" s="63"/>
      <c r="F128" s="63"/>
      <c r="O128" s="50"/>
      <c r="P128" s="50"/>
      <c r="Q128" s="50"/>
    </row>
    <row r="129" spans="8:8">
      <c r="H129" s="105"/>
    </row>
    <row r="130" spans="8:8">
      <c r="H130" s="105"/>
    </row>
  </sheetData>
  <sheetProtection selectLockedCells="1"/>
  <mergeCells count="17">
    <mergeCell ref="C97:K97"/>
    <mergeCell ref="C78:J78"/>
    <mergeCell ref="C91:K91"/>
    <mergeCell ref="C92:K92"/>
    <mergeCell ref="C93:K93"/>
    <mergeCell ref="C94:K94"/>
    <mergeCell ref="C96:K96"/>
    <mergeCell ref="C80:J80"/>
    <mergeCell ref="C82:J82"/>
    <mergeCell ref="C86:J86"/>
    <mergeCell ref="C84:J84"/>
    <mergeCell ref="C95:K95"/>
    <mergeCell ref="C76:J76"/>
    <mergeCell ref="C2:J2"/>
    <mergeCell ref="F6:G6"/>
    <mergeCell ref="I6:J6"/>
    <mergeCell ref="U6:V6"/>
  </mergeCells>
  <printOptions horizontalCentered="1"/>
  <pageMargins left="0.70866141732283472" right="0.70866141732283472" top="0.74803149606299213" bottom="0.74803149606299213" header="0.74803149606299213" footer="0.35433070866141736"/>
  <pageSetup paperSize="9" scale="58" orientation="portrait" r:id="rId1"/>
  <headerFooter differentOddEven="1">
    <oddFooter>&amp;R&amp;G</oddFooter>
    <evenFooter>&amp;L&amp;G</evenFooter>
  </headerFooter>
  <ignoredErrors>
    <ignoredError sqref="F67:G67 I11:J57 I68:J72 F8:G8 F58:G62 F9:G10 I64:J67 I73:J73 I8:J8 I58:J63 I9:J10 F63:G63 F64:G66 F73:G73 J5 D10 D58:D67 G6 J6 I7 I6 J7 D73 D6:E6 E8:E14 H10:H73" unlockedFormula="1"/>
    <ignoredError sqref="F22:G22 F24:G24 F31:G35 F41:G41 F49:G49 F51:G51 F15:G15 D15 D22 D24 D31:D35 D41 D49 D51 E15:E66" formulaRange="1" unlockedFormula="1"/>
    <ignoredError sqref="E7:G7 D7" numberStoredAsText="1" unlockedFormula="1"/>
    <ignoredError sqref="I79:J79 F79:G79 D79 C81:D81 I81:J81 F81:G81 H7" numberStoredAsText="1"/>
    <ignoredError sqref="E67:E73" formulaRange="1"/>
  </ignoredErrors>
  <drawing r:id="rId2"/>
  <legacyDrawingHF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Folha14">
    <pageSetUpPr fitToPage="1"/>
  </sheetPr>
  <dimension ref="B1:AC112"/>
  <sheetViews>
    <sheetView showGridLines="0" zoomScaleNormal="100" zoomScaleSheetLayoutView="100" workbookViewId="0">
      <selection activeCell="B2" sqref="B2"/>
    </sheetView>
  </sheetViews>
  <sheetFormatPr defaultColWidth="9.140625" defaultRowHeight="12"/>
  <cols>
    <col min="1" max="1" width="2.42578125" style="110" customWidth="1"/>
    <col min="2" max="2" width="4.42578125" style="110" customWidth="1"/>
    <col min="3" max="3" width="39.5703125" style="63" customWidth="1"/>
    <col min="4" max="5" width="9.42578125" style="63" customWidth="1"/>
    <col min="6" max="6" width="9.42578125" style="111" customWidth="1"/>
    <col min="7" max="7" width="9.42578125" style="63" customWidth="1"/>
    <col min="8" max="10" width="9.42578125" style="53" customWidth="1"/>
    <col min="11" max="11" width="16.5703125" style="110" customWidth="1"/>
    <col min="12" max="14" width="8.5703125" style="110" customWidth="1"/>
    <col min="15" max="15" width="9.140625" style="110"/>
    <col min="16" max="16" width="9.5703125" style="110" bestFit="1" customWidth="1"/>
    <col min="17" max="17" width="9.5703125" style="50" bestFit="1" customWidth="1"/>
    <col min="18" max="19" width="9.140625" style="50" customWidth="1"/>
    <col min="20" max="16384" width="9.140625" style="110"/>
  </cols>
  <sheetData>
    <row r="1" spans="2:29" s="50" customFormat="1" ht="15" customHeight="1">
      <c r="B1" s="49"/>
      <c r="C1" s="49"/>
      <c r="D1" s="49"/>
      <c r="E1" s="49"/>
      <c r="F1" s="108"/>
    </row>
    <row r="2" spans="2:29" ht="24" customHeight="1">
      <c r="B2" s="8"/>
      <c r="C2" s="51" t="str">
        <f>IF(Indice_index!$Z$1=1,"10 - Execução Orçamental das Entidades Públicas Reclassificadas da Administração Central","10 - State Owned Enterprises Budget Execution")</f>
        <v>10 - Execução Orçamental das Entidades Públicas Reclassificadas da Administração Central</v>
      </c>
      <c r="D2" s="51"/>
      <c r="E2" s="51"/>
      <c r="F2" s="109"/>
      <c r="G2" s="51"/>
      <c r="H2" s="51"/>
      <c r="I2" s="51"/>
      <c r="J2" s="51"/>
      <c r="Q2" s="81"/>
      <c r="S2" s="81"/>
    </row>
    <row r="3" spans="2:29" s="53" customFormat="1" ht="15" customHeight="1">
      <c r="C3" s="54"/>
      <c r="D3" s="54"/>
      <c r="E3" s="54"/>
      <c r="F3" s="82"/>
      <c r="O3" s="81"/>
      <c r="P3" s="50"/>
      <c r="Q3" s="50"/>
    </row>
    <row r="4" spans="2:29" s="53" customFormat="1" ht="15" customHeight="1">
      <c r="F4" s="63"/>
      <c r="O4" s="50"/>
      <c r="P4" s="50"/>
      <c r="Q4" s="50"/>
    </row>
    <row r="5" spans="2:29" s="289" customFormat="1" ht="15" customHeight="1">
      <c r="C5" s="741" t="str">
        <f>+'5 - Conta AC + SS'!C5</f>
        <v>Período: janeiro a julho</v>
      </c>
      <c r="D5" s="741"/>
      <c r="E5" s="741"/>
      <c r="F5" s="787"/>
      <c r="G5" s="788"/>
      <c r="H5" s="272"/>
      <c r="I5" s="272"/>
      <c r="J5" s="707" t="str">
        <f>IF(Indice_index!$Z$1=1,"€ Milhões","€ Millions")</f>
        <v>€ Milhões</v>
      </c>
      <c r="Q5" s="249"/>
      <c r="R5" s="249"/>
      <c r="S5" s="249"/>
    </row>
    <row r="6" spans="2:29" ht="31.5" customHeight="1">
      <c r="C6" s="763"/>
      <c r="D6" s="709" t="str">
        <f>IF(Indice_index!$Z$1=1,"CGE","Final execution")</f>
        <v>CGE</v>
      </c>
      <c r="E6" s="709" t="str">
        <f>IF(Indice_index!$Z$1=1,"Orçamento Inicial","Budget")</f>
        <v>Orçamento Inicial</v>
      </c>
      <c r="F6" s="1711" t="str">
        <f>IF(Indice_index!$Z$1=1,"Execução Acumulada","Accumulated Execution")</f>
        <v>Execução Acumulada</v>
      </c>
      <c r="G6" s="1711"/>
      <c r="H6" s="789" t="str">
        <f>IF(Indice_index!$Z$1=1,"Grau de Execução (%)","Execution Degree (%)")</f>
        <v>Grau de Execução (%)</v>
      </c>
      <c r="I6" s="1694" t="str">
        <f>IF(Indice_index!$Z$1=1,"Variação Homóloga Acumulada","YOY Change Rate")</f>
        <v>Variação Homóloga Acumulada</v>
      </c>
      <c r="J6" s="1695"/>
      <c r="K6" s="55"/>
    </row>
    <row r="7" spans="2:29" ht="33.75" customHeight="1">
      <c r="C7" s="759"/>
      <c r="D7" s="712" t="s">
        <v>67</v>
      </c>
      <c r="E7" s="712" t="s">
        <v>74</v>
      </c>
      <c r="F7" s="713" t="s">
        <v>67</v>
      </c>
      <c r="G7" s="713" t="s">
        <v>74</v>
      </c>
      <c r="H7" s="714" t="s">
        <v>74</v>
      </c>
      <c r="I7" s="714" t="str">
        <f>IF(Indice_index!$Z$1=1,"Relativa (%)","Relative change (%)")</f>
        <v>Relativa (%)</v>
      </c>
      <c r="J7" s="715" t="str">
        <f>IF(Indice_index!$Z$1=1,"Contributo VHA (p.p.)","YOY Change Rate Contrib. (p.p.)")</f>
        <v>Contributo VHA (p.p.)</v>
      </c>
      <c r="K7" s="55"/>
    </row>
    <row r="8" spans="2:29" s="87" customFormat="1" ht="4.5" customHeight="1">
      <c r="C8" s="768"/>
      <c r="D8" s="768"/>
      <c r="E8" s="768"/>
      <c r="F8" s="790"/>
      <c r="G8" s="768"/>
      <c r="H8" s="112"/>
      <c r="I8" s="112"/>
      <c r="J8" s="112"/>
      <c r="K8" s="112"/>
      <c r="N8" s="88"/>
    </row>
    <row r="9" spans="2:29" s="289" customFormat="1" ht="15" customHeight="1">
      <c r="C9" s="769" t="str">
        <f>IF(Indice_index!$Z$1=1,"Receita corrente","Current revenue")</f>
        <v>Receita corrente</v>
      </c>
      <c r="D9" s="769">
        <f>SUM(D10:D21)-D10-D15</f>
        <v>9396.7781400300009</v>
      </c>
      <c r="E9" s="769">
        <f>SUM(E10:E21)-E10-E15</f>
        <v>11262.551622999999</v>
      </c>
      <c r="F9" s="770">
        <f>SUM(F10:F21)-F10-F15</f>
        <v>5161.0481103200009</v>
      </c>
      <c r="G9" s="770">
        <f>SUM(G10:G21)-G10-G15</f>
        <v>5640.6033850399972</v>
      </c>
      <c r="H9" s="770">
        <f t="shared" ref="H9:H20" si="0">IFERROR(IF(G9/E9*100&lt;-500,"-",IF(G9/E9*100&gt;500,"-",G9/E9*100)),"-")</f>
        <v>50.082819363251119</v>
      </c>
      <c r="I9" s="770">
        <f>IF(IFERROR((G9-F9)/F9*100,"")&gt;500,"-",IFERROR((G9-F9)/F9*100,""))</f>
        <v>9.291819500017457</v>
      </c>
      <c r="J9" s="279">
        <f>IFERROR((G9-F9)/$F$32*100,"-")</f>
        <v>7.4256549922282797</v>
      </c>
      <c r="K9" s="279"/>
      <c r="L9" s="274"/>
      <c r="M9" s="290"/>
      <c r="N9" s="290"/>
      <c r="O9" s="290"/>
      <c r="P9" s="290"/>
      <c r="Q9" s="290"/>
      <c r="R9" s="290"/>
      <c r="S9" s="290"/>
      <c r="T9" s="290"/>
      <c r="U9" s="290"/>
      <c r="V9" s="290"/>
      <c r="W9" s="290"/>
      <c r="X9" s="290"/>
      <c r="Y9" s="290"/>
      <c r="Z9" s="290"/>
      <c r="AA9" s="290"/>
      <c r="AB9" s="290"/>
      <c r="AC9" s="290"/>
    </row>
    <row r="10" spans="2:29" ht="15" customHeight="1">
      <c r="C10" s="771" t="str">
        <f>IF(Indice_index!$Z$1=1,"Receita Fiscal","Tax")</f>
        <v>Receita Fiscal</v>
      </c>
      <c r="D10" s="221">
        <f>D11+D12</f>
        <v>185.15344694000001</v>
      </c>
      <c r="E10" s="221">
        <f>E11+E12</f>
        <v>208.52782999999999</v>
      </c>
      <c r="F10" s="755">
        <f>F11+F12</f>
        <v>107.71193402999999</v>
      </c>
      <c r="G10" s="755">
        <f>G11+G12</f>
        <v>116.59337058</v>
      </c>
      <c r="H10" s="791">
        <f t="shared" si="0"/>
        <v>55.912618752134911</v>
      </c>
      <c r="I10" s="791">
        <f t="shared" ref="I10:I29" si="1">IF(IFERROR((G10-F10)/F10*100,"")&gt;500,"-",IFERROR((G10-F10)/F10*100,""))</f>
        <v>8.2455455191495677</v>
      </c>
      <c r="J10" s="791">
        <f t="shared" ref="J10:J20" si="2">IFERROR((G10-F10)/$F$32*100,"-")</f>
        <v>0.13752425868774676</v>
      </c>
      <c r="K10" s="221"/>
      <c r="L10" s="57"/>
      <c r="N10" s="113"/>
      <c r="O10" s="113"/>
      <c r="P10" s="113"/>
      <c r="Q10" s="113"/>
      <c r="R10" s="113"/>
      <c r="S10" s="113"/>
      <c r="T10" s="113"/>
      <c r="U10" s="113"/>
      <c r="V10" s="113"/>
      <c r="W10" s="113"/>
      <c r="X10" s="113"/>
      <c r="Y10" s="113"/>
      <c r="Z10" s="113"/>
      <c r="AA10" s="113"/>
      <c r="AB10" s="113"/>
      <c r="AC10" s="113"/>
    </row>
    <row r="11" spans="2:29" ht="15" customHeight="1">
      <c r="C11" s="758" t="str">
        <f>IF(Indice_index!$Z$1=1,"Impostos diretos","Direct taxes")</f>
        <v>Impostos diretos</v>
      </c>
      <c r="D11" s="221">
        <v>1.5595100000000001E-3</v>
      </c>
      <c r="E11" s="221">
        <v>0</v>
      </c>
      <c r="F11" s="745">
        <v>0</v>
      </c>
      <c r="G11" s="745">
        <v>0</v>
      </c>
      <c r="H11" s="792" t="str">
        <f t="shared" si="0"/>
        <v>-</v>
      </c>
      <c r="I11" s="792" t="str">
        <f t="shared" si="1"/>
        <v>-</v>
      </c>
      <c r="J11" s="792">
        <f t="shared" si="2"/>
        <v>0</v>
      </c>
      <c r="K11" s="222"/>
      <c r="L11" s="57"/>
      <c r="M11" s="113"/>
      <c r="N11" s="113"/>
      <c r="O11" s="113"/>
      <c r="P11" s="113"/>
      <c r="Q11" s="113"/>
      <c r="R11" s="113"/>
      <c r="S11" s="113"/>
      <c r="T11" s="113"/>
      <c r="U11" s="113"/>
      <c r="V11" s="113"/>
      <c r="W11" s="113"/>
      <c r="X11" s="113"/>
      <c r="Y11" s="113"/>
      <c r="Z11" s="113"/>
      <c r="AA11" s="113"/>
      <c r="AB11" s="113"/>
      <c r="AC11" s="113"/>
    </row>
    <row r="12" spans="2:29" ht="15" customHeight="1">
      <c r="C12" s="758" t="str">
        <f>IF(Indice_index!$Z$1=1,"Impostos indiretos","Indirect taxes")</f>
        <v>Impostos indiretos</v>
      </c>
      <c r="D12" s="221">
        <v>185.15188743000002</v>
      </c>
      <c r="E12" s="221">
        <v>208.52782999999999</v>
      </c>
      <c r="F12" s="745">
        <v>107.71193402999999</v>
      </c>
      <c r="G12" s="745">
        <v>116.59337058</v>
      </c>
      <c r="H12" s="791">
        <f t="shared" si="0"/>
        <v>55.912618752134911</v>
      </c>
      <c r="I12" s="791">
        <f t="shared" si="1"/>
        <v>8.2455455191495677</v>
      </c>
      <c r="J12" s="791">
        <f t="shared" si="2"/>
        <v>0.13752425868774676</v>
      </c>
      <c r="K12" s="221"/>
      <c r="L12" s="57"/>
      <c r="M12" s="113"/>
      <c r="N12" s="113"/>
      <c r="O12" s="113"/>
      <c r="P12" s="113"/>
      <c r="Q12" s="113"/>
      <c r="R12" s="113"/>
      <c r="S12" s="113"/>
      <c r="T12" s="113"/>
      <c r="U12" s="113"/>
      <c r="V12" s="113"/>
      <c r="W12" s="113"/>
      <c r="X12" s="113"/>
      <c r="Y12" s="113"/>
      <c r="Z12" s="113"/>
      <c r="AA12" s="113"/>
      <c r="AB12" s="113"/>
      <c r="AC12" s="113"/>
    </row>
    <row r="13" spans="2:29" ht="15" customHeight="1">
      <c r="C13" s="771" t="str">
        <f>IF(Indice_index!$Z$1=1,"Contribuições para Segurança Social, CGA e ADSE","Social security, CGA and ADSE contributions")</f>
        <v>Contribuições para Segurança Social, CGA e ADSE</v>
      </c>
      <c r="D13" s="221">
        <v>0</v>
      </c>
      <c r="E13" s="221">
        <v>0</v>
      </c>
      <c r="F13" s="745">
        <v>0</v>
      </c>
      <c r="G13" s="745">
        <v>0</v>
      </c>
      <c r="H13" s="792" t="str">
        <f t="shared" si="0"/>
        <v>-</v>
      </c>
      <c r="I13" s="792" t="str">
        <f t="shared" si="1"/>
        <v>-</v>
      </c>
      <c r="J13" s="791">
        <f t="shared" si="2"/>
        <v>0</v>
      </c>
      <c r="K13" s="221"/>
      <c r="L13" s="57"/>
      <c r="M13" s="113"/>
      <c r="N13" s="113"/>
      <c r="O13" s="113"/>
      <c r="P13" s="113"/>
      <c r="Q13" s="113"/>
      <c r="R13" s="113"/>
      <c r="S13" s="113"/>
      <c r="T13" s="113"/>
      <c r="U13" s="113"/>
      <c r="V13" s="113"/>
      <c r="W13" s="113"/>
      <c r="X13" s="113"/>
      <c r="Y13" s="113"/>
      <c r="Z13" s="113"/>
      <c r="AA13" s="113"/>
      <c r="AB13" s="113"/>
      <c r="AC13" s="113"/>
    </row>
    <row r="14" spans="2:29" ht="15" customHeight="1">
      <c r="C14" s="771" t="str">
        <f>IF(Indice_index!$Z$1=1,"Taxas, Multas e Outras Penalidades","Taxes, fines and other penalties")</f>
        <v>Taxas, Multas e Outras Penalidades</v>
      </c>
      <c r="D14" s="221">
        <v>472.01967056000001</v>
      </c>
      <c r="E14" s="221">
        <v>509.13782900000001</v>
      </c>
      <c r="F14" s="745">
        <v>255.33610223000002</v>
      </c>
      <c r="G14" s="745">
        <v>271.72104826999998</v>
      </c>
      <c r="H14" s="791">
        <f t="shared" si="0"/>
        <v>53.368858645543696</v>
      </c>
      <c r="I14" s="791">
        <f t="shared" si="1"/>
        <v>6.4170111068903344</v>
      </c>
      <c r="J14" s="791">
        <f t="shared" si="2"/>
        <v>0.25371205942913877</v>
      </c>
      <c r="K14" s="221"/>
      <c r="L14" s="57"/>
      <c r="M14" s="113"/>
      <c r="N14" s="113"/>
      <c r="O14" s="113"/>
      <c r="P14" s="113"/>
      <c r="Q14" s="113"/>
      <c r="R14" s="113"/>
      <c r="S14" s="113"/>
      <c r="T14" s="113"/>
      <c r="U14" s="113"/>
      <c r="V14" s="113"/>
      <c r="W14" s="113"/>
      <c r="X14" s="113"/>
      <c r="Y14" s="113"/>
      <c r="Z14" s="113"/>
      <c r="AA14" s="113"/>
      <c r="AB14" s="113"/>
      <c r="AC14" s="113"/>
    </row>
    <row r="15" spans="2:29" ht="15" customHeight="1">
      <c r="C15" s="771" t="str">
        <f>IF(Indice_index!$Z$1=1,"Transferências Correntes","Current transfers")</f>
        <v>Transferências Correntes</v>
      </c>
      <c r="D15" s="221">
        <f>SUM(D16:D19)</f>
        <v>1329.0158478599999</v>
      </c>
      <c r="E15" s="221">
        <f>SUM(E16:E19)</f>
        <v>1572.3849380000001</v>
      </c>
      <c r="F15" s="791">
        <f>SUM(F16:F19)</f>
        <v>608.09426783999993</v>
      </c>
      <c r="G15" s="791">
        <f>SUM(G16:G19)</f>
        <v>546.39071174000003</v>
      </c>
      <c r="H15" s="791">
        <f t="shared" si="0"/>
        <v>34.749169782495073</v>
      </c>
      <c r="I15" s="791">
        <f t="shared" si="1"/>
        <v>-10.147037945148854</v>
      </c>
      <c r="J15" s="791">
        <f t="shared" si="2"/>
        <v>-0.95544631358654208</v>
      </c>
      <c r="K15" s="221"/>
      <c r="L15" s="57"/>
      <c r="M15" s="113"/>
      <c r="N15" s="57"/>
      <c r="O15" s="113"/>
      <c r="P15" s="113"/>
      <c r="Q15" s="113"/>
      <c r="R15" s="113"/>
      <c r="S15" s="113"/>
      <c r="T15" s="113"/>
      <c r="U15" s="113"/>
      <c r="V15" s="113"/>
      <c r="W15" s="113"/>
      <c r="X15" s="113"/>
      <c r="Y15" s="113"/>
      <c r="Z15" s="113"/>
      <c r="AA15" s="113"/>
      <c r="AB15" s="113"/>
      <c r="AC15" s="113"/>
    </row>
    <row r="16" spans="2:29" ht="15" customHeight="1">
      <c r="C16" s="758" t="str">
        <f>IF(Indice_index!$Z$1=1,"Administração Central","Central Administration")</f>
        <v>Administração Central</v>
      </c>
      <c r="D16" s="221">
        <v>1133.9538990599999</v>
      </c>
      <c r="E16" s="221">
        <v>1005.919393</v>
      </c>
      <c r="F16" s="755">
        <v>510.42036985999999</v>
      </c>
      <c r="G16" s="755">
        <v>453.0793496</v>
      </c>
      <c r="H16" s="791">
        <f t="shared" si="0"/>
        <v>45.041317699299988</v>
      </c>
      <c r="I16" s="791">
        <f t="shared" si="1"/>
        <v>-11.234077565463876</v>
      </c>
      <c r="J16" s="791">
        <f t="shared" si="2"/>
        <v>-0.88789479711540165</v>
      </c>
      <c r="K16" s="221"/>
      <c r="L16" s="57"/>
      <c r="M16" s="113"/>
      <c r="N16" s="113"/>
      <c r="O16" s="113"/>
      <c r="P16" s="113"/>
      <c r="Q16" s="113"/>
      <c r="R16" s="113"/>
      <c r="S16" s="113"/>
      <c r="T16" s="113"/>
      <c r="U16" s="113"/>
      <c r="V16" s="113"/>
      <c r="W16" s="113"/>
      <c r="X16" s="113"/>
      <c r="Y16" s="113"/>
      <c r="Z16" s="113"/>
      <c r="AA16" s="113"/>
      <c r="AB16" s="113"/>
      <c r="AC16" s="113"/>
    </row>
    <row r="17" spans="3:29" ht="15" customHeight="1">
      <c r="C17" s="772" t="str">
        <f>IF(Indice_index!$Z$1=1,"Outros subsectores das AP","Other General Government subsectors")</f>
        <v>Outros subsectores das AP</v>
      </c>
      <c r="D17" s="221">
        <v>90.66560720999999</v>
      </c>
      <c r="E17" s="221">
        <v>87.270737999999994</v>
      </c>
      <c r="F17" s="745">
        <v>38.49315446</v>
      </c>
      <c r="G17" s="745">
        <v>39.895706110000006</v>
      </c>
      <c r="H17" s="791">
        <f t="shared" si="0"/>
        <v>45.714871931070419</v>
      </c>
      <c r="I17" s="791">
        <f t="shared" si="1"/>
        <v>3.6436391604576404</v>
      </c>
      <c r="J17" s="791">
        <f t="shared" si="2"/>
        <v>2.1717756452082841E-2</v>
      </c>
      <c r="K17" s="221"/>
      <c r="L17" s="57"/>
      <c r="M17" s="113"/>
      <c r="N17" s="113"/>
      <c r="O17" s="113"/>
      <c r="P17" s="113"/>
      <c r="Q17" s="113"/>
      <c r="R17" s="113"/>
      <c r="S17" s="113"/>
      <c r="T17" s="113"/>
      <c r="U17" s="113"/>
      <c r="V17" s="113"/>
      <c r="W17" s="113"/>
      <c r="X17" s="113"/>
      <c r="Y17" s="113"/>
      <c r="Z17" s="113"/>
      <c r="AA17" s="113"/>
      <c r="AB17" s="113"/>
      <c r="AC17" s="113"/>
    </row>
    <row r="18" spans="3:29" ht="15" customHeight="1">
      <c r="C18" s="772" t="str">
        <f>IF(Indice_index!$Z$1=1,"União Europeia","European Union")</f>
        <v>União Europeia</v>
      </c>
      <c r="D18" s="221">
        <v>94.205071340000018</v>
      </c>
      <c r="E18" s="221">
        <v>462.52905199999998</v>
      </c>
      <c r="F18" s="745">
        <v>54.044378249999994</v>
      </c>
      <c r="G18" s="745">
        <v>45.914150900000003</v>
      </c>
      <c r="H18" s="791">
        <f t="shared" si="0"/>
        <v>9.9267604275806658</v>
      </c>
      <c r="I18" s="791">
        <f t="shared" si="1"/>
        <v>-15.043613440034335</v>
      </c>
      <c r="J18" s="791">
        <f t="shared" si="2"/>
        <v>-0.12589218905939176</v>
      </c>
      <c r="K18" s="221"/>
      <c r="L18" s="57"/>
      <c r="M18" s="113"/>
      <c r="N18" s="113"/>
      <c r="O18" s="113"/>
      <c r="P18" s="113"/>
      <c r="Q18" s="113"/>
      <c r="R18" s="113"/>
      <c r="S18" s="113"/>
      <c r="T18" s="113"/>
      <c r="U18" s="113"/>
      <c r="V18" s="113"/>
      <c r="W18" s="113"/>
      <c r="X18" s="113"/>
      <c r="Y18" s="113"/>
      <c r="Z18" s="113"/>
      <c r="AA18" s="113"/>
      <c r="AB18" s="113"/>
      <c r="AC18" s="113"/>
    </row>
    <row r="19" spans="3:29" ht="15" customHeight="1">
      <c r="C19" s="772" t="str">
        <f>IF(Indice_index!$Z$1=1,"Outras transferências","Other transfers")</f>
        <v>Outras transferências</v>
      </c>
      <c r="D19" s="773">
        <v>10.191270250000017</v>
      </c>
      <c r="E19" s="773">
        <v>16.665755000000047</v>
      </c>
      <c r="F19" s="745">
        <v>5.1363652699999989</v>
      </c>
      <c r="G19" s="745">
        <v>7.5015051300000053</v>
      </c>
      <c r="H19" s="791">
        <f t="shared" si="0"/>
        <v>45.011492908662007</v>
      </c>
      <c r="I19" s="791">
        <f t="shared" si="1"/>
        <v>46.046956080286847</v>
      </c>
      <c r="J19" s="791">
        <f t="shared" si="2"/>
        <v>3.6622916136167395E-2</v>
      </c>
      <c r="K19" s="221"/>
      <c r="L19" s="57"/>
      <c r="M19" s="113"/>
      <c r="N19" s="113"/>
      <c r="O19" s="113"/>
      <c r="P19" s="113"/>
      <c r="Q19" s="113"/>
      <c r="R19" s="113"/>
      <c r="S19" s="113"/>
      <c r="T19" s="113"/>
      <c r="U19" s="113"/>
      <c r="V19" s="113"/>
      <c r="W19" s="113"/>
      <c r="X19" s="113"/>
      <c r="Y19" s="113"/>
      <c r="Z19" s="113"/>
      <c r="AA19" s="113"/>
      <c r="AB19" s="113"/>
      <c r="AC19" s="113"/>
    </row>
    <row r="20" spans="3:29" ht="15" customHeight="1">
      <c r="C20" s="771" t="str">
        <f>IF(Indice_index!$Z$1=1,"Outras Receitas Correntes","Other current revenue")</f>
        <v>Outras Receitas Correntes</v>
      </c>
      <c r="D20" s="221">
        <v>7410.1790191700011</v>
      </c>
      <c r="E20" s="221">
        <v>8972.4691379999986</v>
      </c>
      <c r="F20" s="745">
        <v>4189.9025175000006</v>
      </c>
      <c r="G20" s="745">
        <v>4704.1779386099979</v>
      </c>
      <c r="H20" s="791">
        <f t="shared" si="0"/>
        <v>52.429023340821203</v>
      </c>
      <c r="I20" s="791">
        <f t="shared" si="1"/>
        <v>12.274161963482895</v>
      </c>
      <c r="J20" s="791">
        <f t="shared" si="2"/>
        <v>7.9632777480666839</v>
      </c>
      <c r="K20" s="221"/>
      <c r="L20" s="57"/>
      <c r="M20" s="113"/>
      <c r="N20" s="113"/>
      <c r="O20" s="113"/>
      <c r="P20" s="113"/>
      <c r="Q20" s="113"/>
      <c r="R20" s="113"/>
      <c r="S20" s="113"/>
      <c r="T20" s="113"/>
      <c r="U20" s="113"/>
      <c r="V20" s="113"/>
      <c r="W20" s="113"/>
      <c r="X20" s="113"/>
      <c r="Y20" s="113"/>
      <c r="Z20" s="113"/>
      <c r="AA20" s="113"/>
      <c r="AB20" s="113"/>
      <c r="AC20" s="113"/>
    </row>
    <row r="21" spans="3:29" ht="15" customHeight="1">
      <c r="C21" s="744" t="str">
        <f>IF(Indice_index!$Z$1=1,"Diferenças de consolidação","Consolidation differences")</f>
        <v>Diferenças de consolidação</v>
      </c>
      <c r="D21" s="221">
        <v>0.4101554999999999</v>
      </c>
      <c r="E21" s="221">
        <v>3.1887999999999916E-2</v>
      </c>
      <c r="F21" s="745">
        <v>3.2887199999998007E-3</v>
      </c>
      <c r="G21" s="745">
        <v>1.7203158400000116</v>
      </c>
      <c r="H21" s="791"/>
      <c r="I21" s="791"/>
      <c r="J21" s="791"/>
      <c r="K21" s="221"/>
      <c r="L21" s="57"/>
      <c r="M21" s="113"/>
      <c r="N21" s="113"/>
      <c r="O21" s="113"/>
      <c r="P21" s="113"/>
      <c r="Q21" s="113"/>
      <c r="R21" s="113"/>
      <c r="S21" s="113"/>
      <c r="T21" s="113"/>
      <c r="U21" s="113"/>
      <c r="V21" s="113"/>
      <c r="W21" s="113"/>
      <c r="X21" s="113"/>
      <c r="Y21" s="113"/>
      <c r="Z21" s="113"/>
      <c r="AA21" s="113"/>
      <c r="AB21" s="113"/>
      <c r="AC21" s="113"/>
    </row>
    <row r="22" spans="3:29" s="289" customFormat="1" ht="15" customHeight="1">
      <c r="C22" s="769" t="str">
        <f>IF(Indice_index!$Z$1=1,"Receita de capital","Capital revenue")</f>
        <v>Receita de capital</v>
      </c>
      <c r="D22" s="285">
        <f>SUM(D23:D30)-D24</f>
        <v>2002.4088529700009</v>
      </c>
      <c r="E22" s="285">
        <f>SUM(E23:E30)-E24</f>
        <v>2290.3525120000004</v>
      </c>
      <c r="F22" s="282">
        <f>SUM(F23:F30)-F24</f>
        <v>1297.0390917099994</v>
      </c>
      <c r="G22" s="282">
        <f>SUM(G23:G30)-G24</f>
        <v>869.08465916</v>
      </c>
      <c r="H22" s="282">
        <f t="shared" ref="H22:H29" si="3">IFERROR(IF(G22/E22*100&lt;-500,"-",IF(G22/E22*100&gt;500,"-",G22/E22*100)),"-")</f>
        <v>37.945454012277388</v>
      </c>
      <c r="I22" s="282">
        <f t="shared" si="1"/>
        <v>-32.99472122970402</v>
      </c>
      <c r="J22" s="282">
        <f t="shared" ref="J22:J29" si="4">IFERROR((G22-F22)/$F$32*100,"-")</f>
        <v>-6.6266437594010572</v>
      </c>
      <c r="K22" s="285"/>
      <c r="L22" s="274"/>
      <c r="M22" s="290"/>
      <c r="N22" s="290"/>
      <c r="O22" s="290"/>
      <c r="P22" s="290"/>
      <c r="Q22" s="290"/>
      <c r="R22" s="290"/>
      <c r="S22" s="290"/>
      <c r="T22" s="290"/>
      <c r="U22" s="290"/>
      <c r="V22" s="290"/>
      <c r="W22" s="290"/>
      <c r="X22" s="290"/>
      <c r="Y22" s="290"/>
      <c r="Z22" s="290"/>
      <c r="AA22" s="290"/>
      <c r="AB22" s="290"/>
      <c r="AC22" s="290"/>
    </row>
    <row r="23" spans="3:29" ht="15" customHeight="1">
      <c r="C23" s="771" t="str">
        <f>IF(Indice_index!$Z$1=1,"Venda de bens de investimento","Sale of investment goods")</f>
        <v>Venda de bens de investimento</v>
      </c>
      <c r="D23" s="223">
        <v>113.09758594000002</v>
      </c>
      <c r="E23" s="223">
        <v>112.002539</v>
      </c>
      <c r="F23" s="745">
        <v>50.699744179999996</v>
      </c>
      <c r="G23" s="745">
        <v>49.56076594999999</v>
      </c>
      <c r="H23" s="745">
        <f t="shared" si="3"/>
        <v>44.2496807594692</v>
      </c>
      <c r="I23" s="745">
        <f t="shared" si="1"/>
        <v>-2.2465167199981844</v>
      </c>
      <c r="J23" s="745">
        <f t="shared" si="4"/>
        <v>-1.7636464085557503E-2</v>
      </c>
      <c r="K23" s="223"/>
      <c r="L23" s="57"/>
      <c r="M23" s="113"/>
      <c r="N23" s="113"/>
      <c r="O23" s="113"/>
      <c r="P23" s="113"/>
      <c r="Q23" s="113"/>
      <c r="R23" s="113"/>
      <c r="S23" s="113"/>
      <c r="T23" s="113"/>
      <c r="U23" s="113"/>
      <c r="V23" s="113"/>
      <c r="W23" s="113"/>
      <c r="X23" s="113"/>
      <c r="Y23" s="113"/>
      <c r="Z23" s="113"/>
      <c r="AA23" s="113"/>
      <c r="AB23" s="113"/>
      <c r="AC23" s="113"/>
    </row>
    <row r="24" spans="3:29" ht="15" customHeight="1">
      <c r="C24" s="771" t="str">
        <f>IF(Indice_index!$Z$1=1,"Transferências de capital","Capital transfers")</f>
        <v>Transferências de capital</v>
      </c>
      <c r="D24" s="223">
        <f>SUM(D25:D28)</f>
        <v>1866.4416001300003</v>
      </c>
      <c r="E24" s="223">
        <f>SUM(E25:E28)</f>
        <v>2147.5588120000002</v>
      </c>
      <c r="F24" s="745">
        <f>SUM(F25:F28)</f>
        <v>1241.74630037</v>
      </c>
      <c r="G24" s="745">
        <f>SUM(G25:G28)</f>
        <v>811.48206185000004</v>
      </c>
      <c r="H24" s="745">
        <f t="shared" si="3"/>
        <v>37.786255599411263</v>
      </c>
      <c r="I24" s="745">
        <f t="shared" si="1"/>
        <v>-34.649931180934075</v>
      </c>
      <c r="J24" s="745">
        <f t="shared" si="4"/>
        <v>-6.6624098600705324</v>
      </c>
      <c r="K24" s="223"/>
      <c r="L24" s="57"/>
      <c r="M24" s="113"/>
      <c r="N24" s="113"/>
      <c r="O24" s="113"/>
      <c r="P24" s="113"/>
      <c r="Q24" s="113"/>
      <c r="R24" s="113"/>
      <c r="S24" s="113"/>
      <c r="T24" s="113"/>
      <c r="U24" s="113"/>
      <c r="V24" s="113"/>
      <c r="W24" s="113"/>
      <c r="X24" s="113"/>
      <c r="Y24" s="113"/>
      <c r="Z24" s="113"/>
      <c r="AA24" s="113"/>
      <c r="AB24" s="113"/>
      <c r="AC24" s="113"/>
    </row>
    <row r="25" spans="3:29" ht="15" customHeight="1">
      <c r="C25" s="758" t="str">
        <f>IF(Indice_index!$Z$1=1,"Administração Central","Central Administration")</f>
        <v>Administração Central</v>
      </c>
      <c r="D25" s="223">
        <v>1459.4761759100004</v>
      </c>
      <c r="E25" s="223">
        <v>1172.833402</v>
      </c>
      <c r="F25" s="745">
        <v>936.37568330999989</v>
      </c>
      <c r="G25" s="745">
        <v>380.13489466000004</v>
      </c>
      <c r="H25" s="745">
        <f t="shared" si="3"/>
        <v>32.411670234814821</v>
      </c>
      <c r="I25" s="745">
        <f t="shared" si="1"/>
        <v>-59.403591802356615</v>
      </c>
      <c r="J25" s="745">
        <f t="shared" si="4"/>
        <v>-8.6130888488955986</v>
      </c>
      <c r="K25" s="223"/>
      <c r="L25" s="57"/>
      <c r="M25" s="113"/>
      <c r="N25" s="113"/>
      <c r="O25" s="113"/>
      <c r="P25" s="113"/>
      <c r="Q25" s="113"/>
      <c r="R25" s="113"/>
      <c r="S25" s="113"/>
      <c r="T25" s="113"/>
      <c r="U25" s="113"/>
      <c r="V25" s="113"/>
      <c r="W25" s="113"/>
      <c r="X25" s="113"/>
      <c r="Y25" s="113"/>
      <c r="Z25" s="113"/>
      <c r="AA25" s="113"/>
      <c r="AB25" s="113"/>
      <c r="AC25" s="113"/>
    </row>
    <row r="26" spans="3:29" ht="15" customHeight="1">
      <c r="C26" s="758" t="str">
        <f>IF(Indice_index!$Z$1=1,"Outros subsectores das AP","Other General Government subsectors")</f>
        <v>Outros subsectores das AP</v>
      </c>
      <c r="D26" s="223">
        <v>3.2427105000000003</v>
      </c>
      <c r="E26" s="223">
        <v>2.5241949999999997</v>
      </c>
      <c r="F26" s="745">
        <v>2.8543044399999999</v>
      </c>
      <c r="G26" s="745">
        <v>2.0192663900000003</v>
      </c>
      <c r="H26" s="745">
        <f t="shared" si="3"/>
        <v>79.996449957313146</v>
      </c>
      <c r="I26" s="745">
        <f t="shared" si="1"/>
        <v>-29.255395405544043</v>
      </c>
      <c r="J26" s="745">
        <f t="shared" si="4"/>
        <v>-1.2930114194455571E-2</v>
      </c>
      <c r="K26" s="223"/>
      <c r="L26" s="57"/>
      <c r="M26" s="113"/>
      <c r="N26" s="113"/>
      <c r="O26" s="113"/>
      <c r="P26" s="113"/>
      <c r="Q26" s="113"/>
      <c r="R26" s="113"/>
      <c r="S26" s="113"/>
      <c r="T26" s="113"/>
      <c r="U26" s="113"/>
      <c r="V26" s="113"/>
      <c r="W26" s="113"/>
      <c r="X26" s="113"/>
      <c r="Y26" s="113"/>
      <c r="Z26" s="113"/>
      <c r="AA26" s="113"/>
      <c r="AB26" s="113"/>
      <c r="AC26" s="113"/>
    </row>
    <row r="27" spans="3:29" ht="15" customHeight="1">
      <c r="C27" s="758" t="str">
        <f>IF(Indice_index!$Z$1=1,"União Europeia","European Union")</f>
        <v>União Europeia</v>
      </c>
      <c r="D27" s="223">
        <v>189.50044813999997</v>
      </c>
      <c r="E27" s="223">
        <v>746.14160300000003</v>
      </c>
      <c r="F27" s="745">
        <v>88.686262170000006</v>
      </c>
      <c r="G27" s="745">
        <v>183.48049978</v>
      </c>
      <c r="H27" s="745">
        <f t="shared" si="3"/>
        <v>24.590573564358667</v>
      </c>
      <c r="I27" s="745">
        <f t="shared" si="1"/>
        <v>106.88717202704044</v>
      </c>
      <c r="J27" s="745">
        <f t="shared" si="4"/>
        <v>1.4678376838919562</v>
      </c>
      <c r="K27" s="223"/>
      <c r="L27" s="57"/>
      <c r="M27" s="113"/>
      <c r="N27" s="113"/>
      <c r="O27" s="113"/>
      <c r="P27" s="113"/>
      <c r="Q27" s="113"/>
      <c r="R27" s="113"/>
      <c r="S27" s="113"/>
      <c r="T27" s="113"/>
      <c r="U27" s="113"/>
      <c r="V27" s="113"/>
      <c r="W27" s="113"/>
      <c r="X27" s="113"/>
      <c r="Y27" s="113"/>
      <c r="Z27" s="113"/>
      <c r="AA27" s="113"/>
      <c r="AB27" s="113"/>
      <c r="AC27" s="113"/>
    </row>
    <row r="28" spans="3:29" ht="15" customHeight="1">
      <c r="C28" s="758" t="str">
        <f>IF(Indice_index!$Z$1=1,"Outras transferências","Other transfers")</f>
        <v>Outras transferências</v>
      </c>
      <c r="D28" s="223">
        <v>214.22226558000003</v>
      </c>
      <c r="E28" s="223">
        <v>226.05961200000002</v>
      </c>
      <c r="F28" s="745">
        <v>213.83005044999999</v>
      </c>
      <c r="G28" s="745">
        <v>245.84740102000001</v>
      </c>
      <c r="H28" s="745">
        <f t="shared" si="3"/>
        <v>108.75334998805535</v>
      </c>
      <c r="I28" s="745">
        <f t="shared" si="1"/>
        <v>14.973269894769379</v>
      </c>
      <c r="J28" s="745">
        <f t="shared" si="4"/>
        <v>0.49577141912756856</v>
      </c>
      <c r="K28" s="223"/>
      <c r="L28" s="57"/>
      <c r="M28" s="113"/>
      <c r="N28" s="113"/>
      <c r="O28" s="113"/>
      <c r="P28" s="113"/>
      <c r="Q28" s="113"/>
      <c r="R28" s="113"/>
      <c r="S28" s="113"/>
      <c r="T28" s="113"/>
      <c r="U28" s="113"/>
      <c r="V28" s="113"/>
      <c r="W28" s="113"/>
      <c r="X28" s="113"/>
      <c r="Y28" s="113"/>
      <c r="Z28" s="113"/>
      <c r="AA28" s="113"/>
      <c r="AB28" s="113"/>
      <c r="AC28" s="113"/>
    </row>
    <row r="29" spans="3:29" ht="15" customHeight="1">
      <c r="C29" s="771" t="str">
        <f>IF(Indice_index!$Z$1=1,"Outras Receitas de Capital","Other capital revenue")</f>
        <v>Outras Receitas de Capital</v>
      </c>
      <c r="D29" s="223">
        <v>22.869666899999999</v>
      </c>
      <c r="E29" s="223">
        <v>30.791160999999999</v>
      </c>
      <c r="F29" s="745">
        <v>4.5930471600000002</v>
      </c>
      <c r="G29" s="745">
        <v>8.0418313599999998</v>
      </c>
      <c r="H29" s="745">
        <f t="shared" si="3"/>
        <v>26.117337244932077</v>
      </c>
      <c r="I29" s="745">
        <f t="shared" si="1"/>
        <v>75.08706268106333</v>
      </c>
      <c r="J29" s="745">
        <f t="shared" si="4"/>
        <v>5.3402564755024168E-2</v>
      </c>
      <c r="K29" s="223"/>
      <c r="L29" s="57"/>
      <c r="M29" s="113"/>
      <c r="N29" s="113"/>
      <c r="O29" s="113"/>
      <c r="P29" s="113"/>
      <c r="Q29" s="113"/>
      <c r="R29" s="113"/>
      <c r="S29" s="113"/>
      <c r="T29" s="113"/>
      <c r="U29" s="113"/>
      <c r="V29" s="113"/>
      <c r="W29" s="113"/>
      <c r="X29" s="113"/>
      <c r="Y29" s="113"/>
      <c r="Z29" s="113"/>
      <c r="AA29" s="113"/>
      <c r="AB29" s="113"/>
      <c r="AC29" s="113"/>
    </row>
    <row r="30" spans="3:29" ht="15" customHeight="1">
      <c r="C30" s="744" t="str">
        <f>IF(Indice_index!$Z$1=1,"Diferenças de consolidação","Consolidation differences")</f>
        <v>Diferenças de consolidação</v>
      </c>
      <c r="D30" s="223">
        <v>0</v>
      </c>
      <c r="E30" s="223">
        <v>0</v>
      </c>
      <c r="F30" s="745">
        <v>0</v>
      </c>
      <c r="G30" s="745">
        <v>0</v>
      </c>
      <c r="H30" s="745"/>
      <c r="I30" s="745"/>
      <c r="J30" s="745"/>
      <c r="K30" s="223"/>
      <c r="L30" s="57"/>
      <c r="M30" s="113"/>
      <c r="N30" s="113"/>
      <c r="O30" s="113"/>
      <c r="P30" s="113"/>
      <c r="Q30" s="113"/>
      <c r="R30" s="113"/>
      <c r="S30" s="113"/>
      <c r="T30" s="113"/>
      <c r="U30" s="113"/>
      <c r="V30" s="113"/>
      <c r="W30" s="113"/>
      <c r="X30" s="113"/>
      <c r="Y30" s="113"/>
      <c r="Z30" s="113"/>
      <c r="AA30" s="113"/>
      <c r="AB30" s="113"/>
      <c r="AC30" s="113"/>
    </row>
    <row r="31" spans="3:29" ht="4.5" customHeight="1">
      <c r="C31" s="758"/>
      <c r="D31" s="758"/>
      <c r="E31" s="758"/>
      <c r="F31" s="224"/>
      <c r="G31" s="224"/>
      <c r="H31" s="224"/>
      <c r="I31" s="224"/>
      <c r="J31" s="224"/>
      <c r="K31" s="224"/>
      <c r="L31" s="57"/>
      <c r="M31" s="113"/>
      <c r="N31" s="113"/>
      <c r="O31" s="113"/>
      <c r="P31" s="113"/>
      <c r="Q31" s="113"/>
      <c r="R31" s="113"/>
      <c r="S31" s="113"/>
      <c r="T31" s="113"/>
      <c r="U31" s="113"/>
      <c r="V31" s="113"/>
      <c r="W31" s="113"/>
      <c r="X31" s="113"/>
      <c r="Y31" s="113"/>
      <c r="Z31" s="113"/>
      <c r="AA31" s="113"/>
      <c r="AB31" s="113"/>
      <c r="AC31" s="113"/>
    </row>
    <row r="32" spans="3:29" s="289" customFormat="1" ht="15" customHeight="1">
      <c r="C32" s="774" t="str">
        <f>IF(Indice_index!$Z$1=1,"Receita efetiva","Effective revenue")</f>
        <v>Receita efetiva</v>
      </c>
      <c r="D32" s="774">
        <f>+D9+D22</f>
        <v>11399.186993000001</v>
      </c>
      <c r="E32" s="774">
        <f>+E9+E22</f>
        <v>13552.904135000001</v>
      </c>
      <c r="F32" s="775">
        <f>+F9+F22</f>
        <v>6458.0872020300003</v>
      </c>
      <c r="G32" s="775">
        <f>+G9+G22</f>
        <v>6509.6880441999974</v>
      </c>
      <c r="H32" s="775">
        <f>IFERROR(IF(G32/E32*100&lt;-500,"-",IF(G32/E32*100&gt;500,"-",G32/E32*100)),"-")</f>
        <v>48.031683684597958</v>
      </c>
      <c r="I32" s="775">
        <f t="shared" ref="I32" si="5">IFERROR(IF(F32=0,"-",(G32-F32)/F32*100),"-")</f>
        <v>0.79901123282722464</v>
      </c>
      <c r="J32" s="775"/>
      <c r="K32" s="282"/>
      <c r="L32" s="274"/>
      <c r="M32" s="290"/>
      <c r="N32" s="290"/>
      <c r="O32" s="290"/>
      <c r="P32" s="290"/>
      <c r="Q32" s="290"/>
      <c r="R32" s="290"/>
      <c r="S32" s="290"/>
      <c r="T32" s="290"/>
      <c r="U32" s="290"/>
      <c r="V32" s="290"/>
      <c r="W32" s="290"/>
      <c r="X32" s="290"/>
      <c r="Y32" s="290"/>
      <c r="Z32" s="290"/>
      <c r="AA32" s="290"/>
      <c r="AB32" s="290"/>
      <c r="AC32" s="290"/>
    </row>
    <row r="33" spans="3:29" ht="4.5" customHeight="1">
      <c r="C33" s="758"/>
      <c r="D33" s="758"/>
      <c r="E33" s="758"/>
      <c r="F33" s="745"/>
      <c r="G33" s="745"/>
      <c r="H33" s="745"/>
      <c r="I33" s="745"/>
      <c r="J33" s="112"/>
      <c r="K33" s="112"/>
      <c r="L33" s="57"/>
      <c r="M33" s="113"/>
      <c r="N33" s="113"/>
      <c r="O33" s="113"/>
      <c r="P33" s="113"/>
      <c r="Q33" s="113"/>
      <c r="R33" s="113"/>
      <c r="S33" s="113"/>
      <c r="T33" s="113"/>
      <c r="U33" s="113"/>
      <c r="V33" s="113"/>
      <c r="W33" s="113"/>
      <c r="X33" s="113"/>
      <c r="Y33" s="113"/>
      <c r="Z33" s="113"/>
      <c r="AA33" s="113"/>
      <c r="AB33" s="113"/>
      <c r="AC33" s="113"/>
    </row>
    <row r="34" spans="3:29" s="289" customFormat="1" ht="15" customHeight="1">
      <c r="C34" s="769" t="str">
        <f>IF(Indice_index!$Z$1=1,"Despesa corrente","Current Expenditure")</f>
        <v>Despesa corrente</v>
      </c>
      <c r="D34" s="769">
        <f>SUM(D35:D48)-D35-D41</f>
        <v>10465.24084210999</v>
      </c>
      <c r="E34" s="769">
        <f>SUM(E35:E48)-E35-E41</f>
        <v>11155.835802999998</v>
      </c>
      <c r="F34" s="282">
        <f>SUM(F35:F48)-F35-F41</f>
        <v>5127.1115774399996</v>
      </c>
      <c r="G34" s="282">
        <f>SUM(G35:G48)-G35-G41</f>
        <v>5201.5941553400007</v>
      </c>
      <c r="H34" s="282">
        <f t="shared" ref="H34:H47" si="6">IFERROR(IF(G34/E34*100&lt;-500,"-",IF(G34/E34*100&gt;500,"-",G34/E34*100)),"-")</f>
        <v>46.626664708897934</v>
      </c>
      <c r="I34" s="282">
        <f t="shared" ref="I34:I56" si="7">IF(IFERROR((G34-F34)/F34*100,"")&gt;500,"-",IFERROR((G34-F34)/F34*100,""))</f>
        <v>1.4527200505589699</v>
      </c>
      <c r="J34" s="282">
        <f>IFERROR((G34-F34)/$F$59*100,"-")</f>
        <v>1.0700984771544471</v>
      </c>
      <c r="K34" s="282"/>
      <c r="L34" s="274"/>
      <c r="M34" s="290"/>
      <c r="N34" s="290"/>
      <c r="O34" s="290"/>
      <c r="P34" s="290"/>
      <c r="Q34" s="290"/>
      <c r="R34" s="290"/>
      <c r="S34" s="290"/>
      <c r="T34" s="290"/>
      <c r="U34" s="290"/>
      <c r="V34" s="290"/>
      <c r="W34" s="290"/>
      <c r="X34" s="290"/>
      <c r="Y34" s="290"/>
      <c r="Z34" s="290"/>
      <c r="AA34" s="290"/>
      <c r="AB34" s="290"/>
      <c r="AC34" s="290"/>
    </row>
    <row r="35" spans="3:29" ht="15" customHeight="1">
      <c r="C35" s="771" t="str">
        <f>IF(Indice_index!$Z$1=1,"Despesas com o pessoal","Employees")</f>
        <v>Despesas com o pessoal</v>
      </c>
      <c r="D35" s="223">
        <f t="shared" ref="D35:G35" si="8">SUM(D36:D38)</f>
        <v>5038.6905779799999</v>
      </c>
      <c r="E35" s="223">
        <f t="shared" ref="E35" si="9">SUM(E36:E38)</f>
        <v>5260.8019539999996</v>
      </c>
      <c r="F35" s="745">
        <f>SUM(F36:F38)</f>
        <v>2865.594811500001</v>
      </c>
      <c r="G35" s="745">
        <f t="shared" si="8"/>
        <v>2902.2121539899981</v>
      </c>
      <c r="H35" s="745">
        <f t="shared" si="6"/>
        <v>55.166725137473179</v>
      </c>
      <c r="I35" s="745">
        <f t="shared" si="7"/>
        <v>1.277826939909543</v>
      </c>
      <c r="J35" s="745">
        <f t="shared" ref="J35:J47" si="10">IFERROR((G35-F35)/$F$59*100,"-")</f>
        <v>0.52608493879731988</v>
      </c>
      <c r="K35" s="223"/>
      <c r="L35" s="57"/>
      <c r="M35" s="113"/>
      <c r="N35" s="113"/>
      <c r="O35" s="113"/>
      <c r="P35" s="113"/>
      <c r="Q35" s="113"/>
      <c r="R35" s="113"/>
      <c r="S35" s="113"/>
      <c r="T35" s="113"/>
      <c r="U35" s="113"/>
      <c r="V35" s="113"/>
      <c r="W35" s="113"/>
      <c r="X35" s="113"/>
      <c r="Y35" s="113"/>
      <c r="Z35" s="113"/>
      <c r="AA35" s="113"/>
      <c r="AB35" s="113"/>
      <c r="AC35" s="113"/>
    </row>
    <row r="36" spans="3:29" ht="15" customHeight="1">
      <c r="C36" s="758" t="str">
        <f>IF(Indice_index!$Z$1=1,"Remunerações Certas e Permanentes","Certain and permanent wages")</f>
        <v>Remunerações Certas e Permanentes</v>
      </c>
      <c r="D36" s="223">
        <v>3313.24489253</v>
      </c>
      <c r="E36" s="223">
        <v>3507.0217859999998</v>
      </c>
      <c r="F36" s="745">
        <v>1880.3981909300016</v>
      </c>
      <c r="G36" s="745">
        <v>1921.6000115899983</v>
      </c>
      <c r="H36" s="745">
        <f t="shared" si="6"/>
        <v>54.792930550389187</v>
      </c>
      <c r="I36" s="745">
        <f t="shared" si="7"/>
        <v>2.1911221175776174</v>
      </c>
      <c r="J36" s="745">
        <f t="shared" si="10"/>
        <v>0.59195058478571227</v>
      </c>
      <c r="K36" s="223"/>
      <c r="L36" s="57"/>
      <c r="M36" s="113"/>
      <c r="N36" s="113"/>
      <c r="O36" s="113"/>
      <c r="P36" s="113"/>
      <c r="Q36" s="113"/>
      <c r="R36" s="113"/>
      <c r="S36" s="113"/>
      <c r="T36" s="113"/>
      <c r="U36" s="113"/>
      <c r="V36" s="113"/>
      <c r="W36" s="113"/>
      <c r="X36" s="113"/>
      <c r="Y36" s="113"/>
      <c r="Z36" s="113"/>
      <c r="AA36" s="113"/>
      <c r="AB36" s="113"/>
      <c r="AC36" s="113"/>
    </row>
    <row r="37" spans="3:29" ht="15" customHeight="1">
      <c r="C37" s="758" t="str">
        <f>IF(Indice_index!$Z$1=1,"Abonos Variáveis ou Eventuais","Variable or contingent bonuses")</f>
        <v>Abonos Variáveis ou Eventuais</v>
      </c>
      <c r="D37" s="223">
        <v>759.07758084000011</v>
      </c>
      <c r="E37" s="223">
        <v>734.76929399999995</v>
      </c>
      <c r="F37" s="745">
        <v>443.6654102299994</v>
      </c>
      <c r="G37" s="745">
        <v>437.14835374</v>
      </c>
      <c r="H37" s="745">
        <f t="shared" si="6"/>
        <v>59.494641013128678</v>
      </c>
      <c r="I37" s="745">
        <f t="shared" si="7"/>
        <v>-1.4689124596440595</v>
      </c>
      <c r="J37" s="745">
        <f t="shared" si="10"/>
        <v>-9.3631187615993428E-2</v>
      </c>
      <c r="K37" s="223"/>
      <c r="L37" s="57"/>
      <c r="M37" s="113"/>
      <c r="N37" s="113"/>
      <c r="O37" s="113"/>
      <c r="P37" s="113"/>
      <c r="Q37" s="113"/>
      <c r="R37" s="113"/>
      <c r="S37" s="113"/>
      <c r="T37" s="113"/>
      <c r="U37" s="113"/>
      <c r="V37" s="113"/>
      <c r="W37" s="113"/>
      <c r="X37" s="113"/>
      <c r="Y37" s="113"/>
      <c r="Z37" s="113"/>
      <c r="AA37" s="113"/>
      <c r="AB37" s="113"/>
      <c r="AC37" s="113"/>
    </row>
    <row r="38" spans="3:29" ht="15" customHeight="1">
      <c r="C38" s="758" t="str">
        <f>IF(Indice_index!$Z$1=1,"Segurança social","Social security")</f>
        <v>Segurança social</v>
      </c>
      <c r="D38" s="223">
        <v>966.36810461000027</v>
      </c>
      <c r="E38" s="223">
        <v>1019.0108739999999</v>
      </c>
      <c r="F38" s="745">
        <v>541.53121034000026</v>
      </c>
      <c r="G38" s="745">
        <v>543.46378866000009</v>
      </c>
      <c r="H38" s="745">
        <f t="shared" si="6"/>
        <v>53.332481774870658</v>
      </c>
      <c r="I38" s="745">
        <f t="shared" si="7"/>
        <v>0.35687293420936261</v>
      </c>
      <c r="J38" s="745">
        <f>IFERROR((G38-F38)/$F$59*100,"-")</f>
        <v>2.7765541627601076E-2</v>
      </c>
      <c r="K38" s="223"/>
      <c r="L38" s="57"/>
      <c r="M38" s="113"/>
      <c r="N38" s="113"/>
      <c r="O38" s="113"/>
      <c r="P38" s="113"/>
      <c r="Q38" s="113"/>
      <c r="R38" s="113"/>
      <c r="S38" s="113"/>
      <c r="T38" s="113"/>
      <c r="U38" s="113"/>
      <c r="V38" s="113"/>
      <c r="W38" s="113"/>
      <c r="X38" s="113"/>
      <c r="Y38" s="113"/>
      <c r="Z38" s="113"/>
      <c r="AA38" s="113"/>
      <c r="AB38" s="113"/>
      <c r="AC38" s="113"/>
    </row>
    <row r="39" spans="3:29" ht="15" customHeight="1">
      <c r="C39" s="771" t="str">
        <f>IF(Indice_index!$Z$1=1,"Aquisição de bens e serviços","Purchase of goods and services")</f>
        <v>Aquisição de bens e serviços</v>
      </c>
      <c r="D39" s="223">
        <v>4566.1307005299896</v>
      </c>
      <c r="E39" s="223">
        <v>4853.3923489999997</v>
      </c>
      <c r="F39" s="745">
        <v>1881.5466123599997</v>
      </c>
      <c r="G39" s="745">
        <v>2049.7913676800017</v>
      </c>
      <c r="H39" s="745">
        <f t="shared" si="6"/>
        <v>42.234198685839687</v>
      </c>
      <c r="I39" s="745">
        <f t="shared" si="7"/>
        <v>8.9418329694726388</v>
      </c>
      <c r="J39" s="745">
        <f t="shared" si="10"/>
        <v>2.4171888451400378</v>
      </c>
      <c r="K39" s="223"/>
      <c r="L39" s="57"/>
      <c r="M39" s="113"/>
      <c r="N39" s="113"/>
      <c r="O39" s="113"/>
      <c r="P39" s="113"/>
      <c r="Q39" s="113"/>
      <c r="R39" s="113"/>
      <c r="S39" s="113"/>
      <c r="T39" s="113"/>
      <c r="U39" s="113"/>
      <c r="V39" s="113"/>
      <c r="W39" s="113"/>
      <c r="X39" s="113"/>
      <c r="Y39" s="113"/>
      <c r="Z39" s="113"/>
      <c r="AA39" s="113"/>
      <c r="AB39" s="113"/>
      <c r="AC39" s="113"/>
    </row>
    <row r="40" spans="3:29" ht="15" customHeight="1">
      <c r="C40" s="771" t="str">
        <f>IF(Indice_index!$Z$1=1,"Juros e outros encargos","Interests")</f>
        <v>Juros e outros encargos</v>
      </c>
      <c r="D40" s="223">
        <v>619.68711370999995</v>
      </c>
      <c r="E40" s="223">
        <v>484.836139</v>
      </c>
      <c r="F40" s="745">
        <v>267.68895371999992</v>
      </c>
      <c r="G40" s="745">
        <v>122.66027729000001</v>
      </c>
      <c r="H40" s="745">
        <f t="shared" si="6"/>
        <v>25.299326395716555</v>
      </c>
      <c r="I40" s="745">
        <f t="shared" si="7"/>
        <v>-54.178057934246517</v>
      </c>
      <c r="J40" s="745">
        <f t="shared" si="10"/>
        <v>-2.0836411704201434</v>
      </c>
      <c r="K40" s="223"/>
      <c r="L40" s="57"/>
      <c r="M40" s="113"/>
      <c r="N40" s="113"/>
      <c r="O40" s="113"/>
      <c r="P40" s="113"/>
      <c r="Q40" s="113"/>
      <c r="R40" s="113"/>
      <c r="S40" s="113"/>
      <c r="T40" s="113"/>
      <c r="U40" s="113"/>
      <c r="V40" s="113"/>
      <c r="W40" s="113"/>
      <c r="X40" s="113"/>
      <c r="Y40" s="113"/>
      <c r="Z40" s="113"/>
      <c r="AA40" s="113"/>
      <c r="AB40" s="113"/>
      <c r="AC40" s="113"/>
    </row>
    <row r="41" spans="3:29" ht="15" customHeight="1">
      <c r="C41" s="771" t="str">
        <f>IF(Indice_index!$Z$1=1,"Transferências correntes","Current transfers")</f>
        <v>Transferências correntes</v>
      </c>
      <c r="D41" s="114">
        <f>SUM(D42:D45)</f>
        <v>51.248088850000002</v>
      </c>
      <c r="E41" s="114">
        <f>SUM(E42:E45)</f>
        <v>75.475421999999995</v>
      </c>
      <c r="F41" s="755">
        <f>SUM(F42:F45)</f>
        <v>28.48394973000001</v>
      </c>
      <c r="G41" s="755">
        <f>SUM(G42:G45)</f>
        <v>40.473800440000012</v>
      </c>
      <c r="H41" s="755">
        <f t="shared" si="6"/>
        <v>53.625139638172556</v>
      </c>
      <c r="I41" s="755">
        <f t="shared" si="7"/>
        <v>42.093357219248247</v>
      </c>
      <c r="J41" s="755">
        <f t="shared" si="10"/>
        <v>0.1722593571251777</v>
      </c>
      <c r="K41" s="114"/>
      <c r="L41" s="57"/>
      <c r="M41" s="113"/>
      <c r="N41" s="113"/>
      <c r="O41" s="113"/>
      <c r="P41" s="113"/>
      <c r="Q41" s="113"/>
      <c r="R41" s="113"/>
      <c r="S41" s="113"/>
      <c r="T41" s="113"/>
      <c r="U41" s="113"/>
      <c r="V41" s="113"/>
      <c r="W41" s="113"/>
      <c r="X41" s="113"/>
      <c r="Y41" s="113"/>
      <c r="Z41" s="113"/>
      <c r="AA41" s="113"/>
      <c r="AB41" s="113"/>
      <c r="AC41" s="113"/>
    </row>
    <row r="42" spans="3:29" ht="15" customHeight="1">
      <c r="C42" s="758" t="str">
        <f>IF(Indice_index!$Z$1=1,"Administração Central","Central Administration")</f>
        <v>Administração Central</v>
      </c>
      <c r="D42" s="114">
        <v>0.70975048000000018</v>
      </c>
      <c r="E42" s="114">
        <v>0.69647999999999988</v>
      </c>
      <c r="F42" s="745">
        <v>0.4444360100000001</v>
      </c>
      <c r="G42" s="745">
        <v>0.44684004000000005</v>
      </c>
      <c r="H42" s="745">
        <f t="shared" si="6"/>
        <v>64.156909028256393</v>
      </c>
      <c r="I42" s="745">
        <f t="shared" si="7"/>
        <v>0.54091701525264468</v>
      </c>
      <c r="J42" s="755">
        <f t="shared" si="10"/>
        <v>3.4538933997255046E-5</v>
      </c>
      <c r="K42" s="114"/>
      <c r="L42" s="57"/>
      <c r="M42" s="113"/>
      <c r="N42" s="113"/>
      <c r="O42" s="113"/>
      <c r="P42" s="113"/>
      <c r="Q42" s="113"/>
      <c r="R42" s="113"/>
      <c r="S42" s="113"/>
      <c r="T42" s="113"/>
      <c r="U42" s="113"/>
      <c r="V42" s="113"/>
      <c r="W42" s="113"/>
      <c r="X42" s="113"/>
      <c r="Y42" s="113"/>
      <c r="Z42" s="113"/>
      <c r="AA42" s="113"/>
      <c r="AB42" s="113"/>
      <c r="AC42" s="113"/>
    </row>
    <row r="43" spans="3:29" ht="15" customHeight="1">
      <c r="C43" s="758" t="str">
        <f>IF(Indice_index!$Z$1=1,"Outros subsectores das AP","Other General Government subsectors")</f>
        <v>Outros subsectores das AP</v>
      </c>
      <c r="D43" s="223">
        <v>0.29586607999999998</v>
      </c>
      <c r="E43" s="223">
        <v>3.1758000000000002E-2</v>
      </c>
      <c r="F43" s="745">
        <v>2.4593899999999997E-3</v>
      </c>
      <c r="G43" s="745">
        <v>0.52032534000000008</v>
      </c>
      <c r="H43" s="745" t="str">
        <f t="shared" si="6"/>
        <v>-</v>
      </c>
      <c r="I43" s="745" t="str">
        <f t="shared" si="7"/>
        <v>-</v>
      </c>
      <c r="J43" s="745">
        <f t="shared" si="10"/>
        <v>7.4402307236083537E-3</v>
      </c>
      <c r="K43" s="223"/>
      <c r="L43" s="57"/>
      <c r="M43" s="113"/>
      <c r="N43" s="113"/>
      <c r="O43" s="113"/>
      <c r="P43" s="113"/>
      <c r="Q43" s="113"/>
      <c r="R43" s="113"/>
      <c r="S43" s="113"/>
      <c r="T43" s="113"/>
      <c r="U43" s="113"/>
      <c r="V43" s="113"/>
      <c r="W43" s="113"/>
      <c r="X43" s="113"/>
      <c r="Y43" s="113"/>
      <c r="Z43" s="113"/>
      <c r="AA43" s="113"/>
      <c r="AB43" s="113"/>
      <c r="AC43" s="113"/>
    </row>
    <row r="44" spans="3:29" ht="15" customHeight="1">
      <c r="C44" s="758" t="str">
        <f>IF(Indice_index!$Z$1=1,"União Europeia","European Union")</f>
        <v>União Europeia</v>
      </c>
      <c r="D44" s="223">
        <v>1.54922659</v>
      </c>
      <c r="E44" s="223">
        <v>2.3817749999999998</v>
      </c>
      <c r="F44" s="745">
        <v>0.7783267599999999</v>
      </c>
      <c r="G44" s="745">
        <v>0.39481358999999999</v>
      </c>
      <c r="H44" s="745">
        <f t="shared" si="6"/>
        <v>16.57644361872973</v>
      </c>
      <c r="I44" s="745">
        <f t="shared" si="7"/>
        <v>-49.274056824154414</v>
      </c>
      <c r="J44" s="745">
        <f t="shared" si="10"/>
        <v>-5.5099712007372409E-3</v>
      </c>
      <c r="K44" s="223"/>
      <c r="L44" s="57"/>
      <c r="M44" s="113"/>
      <c r="N44" s="113"/>
      <c r="O44" s="113"/>
      <c r="P44" s="113"/>
      <c r="Q44" s="113"/>
      <c r="R44" s="113"/>
      <c r="S44" s="113"/>
      <c r="T44" s="113"/>
      <c r="U44" s="113"/>
      <c r="V44" s="113"/>
      <c r="W44" s="113"/>
      <c r="X44" s="113"/>
      <c r="Y44" s="113"/>
      <c r="Z44" s="113"/>
      <c r="AA44" s="113"/>
      <c r="AB44" s="113"/>
      <c r="AC44" s="113"/>
    </row>
    <row r="45" spans="3:29" ht="15" customHeight="1">
      <c r="C45" s="758" t="str">
        <f>IF(Indice_index!$Z$1=1,"Outras transferências","Other transfers")</f>
        <v>Outras transferências</v>
      </c>
      <c r="D45" s="223">
        <v>48.693245700000006</v>
      </c>
      <c r="E45" s="223">
        <v>72.365409</v>
      </c>
      <c r="F45" s="745">
        <v>27.258727570000008</v>
      </c>
      <c r="G45" s="745">
        <v>39.11182147000001</v>
      </c>
      <c r="H45" s="745">
        <f t="shared" si="6"/>
        <v>54.047675554490418</v>
      </c>
      <c r="I45" s="745">
        <f t="shared" si="7"/>
        <v>43.483665440954397</v>
      </c>
      <c r="J45" s="745">
        <f t="shared" si="10"/>
        <v>0.17029455866830931</v>
      </c>
      <c r="K45" s="223"/>
      <c r="L45" s="57"/>
      <c r="M45" s="113"/>
      <c r="N45" s="113"/>
      <c r="O45" s="113"/>
      <c r="P45" s="113"/>
      <c r="Q45" s="113"/>
      <c r="R45" s="113"/>
      <c r="S45" s="113"/>
      <c r="T45" s="113"/>
      <c r="U45" s="113"/>
      <c r="V45" s="113"/>
      <c r="W45" s="113"/>
      <c r="X45" s="113"/>
      <c r="Y45" s="113"/>
      <c r="Z45" s="113"/>
      <c r="AA45" s="113"/>
      <c r="AB45" s="113"/>
      <c r="AC45" s="113"/>
    </row>
    <row r="46" spans="3:29" ht="15" customHeight="1">
      <c r="C46" s="771" t="str">
        <f>IF(Indice_index!$Z$1=1,"Subsídios","Subsidies")</f>
        <v>Subsídios</v>
      </c>
      <c r="D46" s="223">
        <v>35.056839529999998</v>
      </c>
      <c r="E46" s="223">
        <v>35.490586999999998</v>
      </c>
      <c r="F46" s="745">
        <v>21.156564729999996</v>
      </c>
      <c r="G46" s="745">
        <v>18.962467539999999</v>
      </c>
      <c r="H46" s="745">
        <f t="shared" si="6"/>
        <v>53.42956863463543</v>
      </c>
      <c r="I46" s="745">
        <f t="shared" si="7"/>
        <v>-10.370763013755106</v>
      </c>
      <c r="J46" s="745">
        <f t="shared" si="10"/>
        <v>-3.1522808795636653E-2</v>
      </c>
      <c r="K46" s="223"/>
      <c r="L46" s="57"/>
      <c r="M46" s="113"/>
      <c r="N46" s="113"/>
      <c r="O46" s="113"/>
      <c r="P46" s="113"/>
      <c r="Q46" s="113"/>
      <c r="R46" s="113"/>
      <c r="S46" s="113"/>
      <c r="T46" s="113"/>
      <c r="U46" s="113"/>
      <c r="V46" s="113"/>
      <c r="W46" s="113"/>
      <c r="X46" s="113"/>
      <c r="Y46" s="113"/>
      <c r="Z46" s="113"/>
      <c r="AA46" s="113"/>
      <c r="AB46" s="113"/>
      <c r="AC46" s="113"/>
    </row>
    <row r="47" spans="3:29" ht="15" customHeight="1">
      <c r="C47" s="771" t="str">
        <f>IF(Indice_index!$Z$1=1,"Outras despesas correntes","Other current expenditure")</f>
        <v>Outras despesas correntes</v>
      </c>
      <c r="D47" s="223">
        <v>139.86708230999997</v>
      </c>
      <c r="E47" s="223">
        <v>445.83935100000002</v>
      </c>
      <c r="F47" s="745">
        <v>57.553636209999993</v>
      </c>
      <c r="G47" s="745">
        <v>67.494088400000038</v>
      </c>
      <c r="H47" s="745">
        <f t="shared" si="6"/>
        <v>15.138656614453943</v>
      </c>
      <c r="I47" s="745">
        <f t="shared" si="7"/>
        <v>17.271631897817226</v>
      </c>
      <c r="J47" s="745">
        <f t="shared" si="10"/>
        <v>0.14281544826532475</v>
      </c>
      <c r="K47" s="223"/>
      <c r="L47" s="57"/>
      <c r="M47" s="113"/>
      <c r="N47" s="113"/>
      <c r="O47" s="113"/>
      <c r="P47" s="113"/>
      <c r="Q47" s="113"/>
      <c r="R47" s="113"/>
      <c r="S47" s="113"/>
      <c r="T47" s="113"/>
      <c r="U47" s="113"/>
      <c r="V47" s="113"/>
      <c r="W47" s="113"/>
      <c r="X47" s="113"/>
      <c r="Y47" s="113"/>
      <c r="Z47" s="113"/>
      <c r="AA47" s="113"/>
      <c r="AB47" s="113"/>
      <c r="AC47" s="113"/>
    </row>
    <row r="48" spans="3:29" ht="15" customHeight="1">
      <c r="C48" s="744" t="str">
        <f>IF(Indice_index!$Z$1=1,"Diferenças de consolidação","Consolidation differences")</f>
        <v>Diferenças de consolidação</v>
      </c>
      <c r="D48" s="223">
        <v>14.560439200000019</v>
      </c>
      <c r="E48" s="223">
        <v>9.9999999747524271E-7</v>
      </c>
      <c r="F48" s="745">
        <v>5.0870491900000054</v>
      </c>
      <c r="G48" s="745">
        <v>0</v>
      </c>
      <c r="H48" s="745"/>
      <c r="I48" s="745"/>
      <c r="J48" s="745"/>
      <c r="K48" s="223"/>
      <c r="L48" s="57"/>
      <c r="M48" s="113"/>
      <c r="N48" s="113"/>
      <c r="O48" s="113"/>
      <c r="P48" s="113"/>
      <c r="Q48" s="113"/>
      <c r="R48" s="113"/>
      <c r="S48" s="113"/>
      <c r="T48" s="113"/>
      <c r="U48" s="113"/>
      <c r="V48" s="113"/>
      <c r="W48" s="113"/>
      <c r="X48" s="113"/>
      <c r="Y48" s="113"/>
      <c r="Z48" s="113"/>
      <c r="AA48" s="113"/>
      <c r="AB48" s="113"/>
      <c r="AC48" s="113"/>
    </row>
    <row r="49" spans="3:29" s="289" customFormat="1" ht="15" customHeight="1">
      <c r="C49" s="769" t="str">
        <f>IF(Indice_index!$Z$1=1,"Despesa de capital","Capital expenditure")</f>
        <v>Despesa de capital</v>
      </c>
      <c r="D49" s="282">
        <f>SUM(D50:D57)-D51</f>
        <v>3046.2541082200014</v>
      </c>
      <c r="E49" s="282">
        <f>SUM(E50:E57)-E51</f>
        <v>3797.4409329999999</v>
      </c>
      <c r="F49" s="282">
        <f>SUM(F50:F57)-F51</f>
        <v>1833.2364176399997</v>
      </c>
      <c r="G49" s="282">
        <f>SUM(G50:G57)-G51</f>
        <v>1482.1045631100001</v>
      </c>
      <c r="H49" s="282">
        <f t="shared" ref="H49:H56" si="11">IFERROR(IF(G49/E49*100&lt;-500,"-",IF(G49/E49*100&gt;500,"-",G49/E49*100)),"-")</f>
        <v>39.02903532298339</v>
      </c>
      <c r="I49" s="282">
        <f t="shared" si="7"/>
        <v>-19.153659132629823</v>
      </c>
      <c r="J49" s="282">
        <f t="shared" ref="J49:J56" si="12">IFERROR((G49-F49)/$F$59*100,"-")</f>
        <v>-5.0447456761960909</v>
      </c>
      <c r="K49" s="282"/>
      <c r="L49" s="274"/>
      <c r="M49" s="290"/>
      <c r="N49" s="290"/>
      <c r="O49" s="290"/>
      <c r="P49" s="290"/>
      <c r="Q49" s="290"/>
      <c r="R49" s="290"/>
      <c r="S49" s="290"/>
      <c r="T49" s="290"/>
      <c r="U49" s="290"/>
      <c r="V49" s="290"/>
      <c r="W49" s="290"/>
      <c r="X49" s="290"/>
      <c r="Y49" s="290"/>
      <c r="Z49" s="290"/>
      <c r="AA49" s="290"/>
      <c r="AB49" s="290"/>
      <c r="AC49" s="290"/>
    </row>
    <row r="50" spans="3:29" ht="15" customHeight="1">
      <c r="C50" s="771" t="str">
        <f>IF(Indice_index!$Z$1=1,"Investimento","Investment")</f>
        <v>Investimento</v>
      </c>
      <c r="D50" s="223">
        <v>2474.2748304400011</v>
      </c>
      <c r="E50" s="223">
        <v>3650.564069</v>
      </c>
      <c r="F50" s="745">
        <v>1377.9831343899996</v>
      </c>
      <c r="G50" s="745">
        <v>1316.9568677200002</v>
      </c>
      <c r="H50" s="745">
        <f t="shared" si="11"/>
        <v>36.075434996563551</v>
      </c>
      <c r="I50" s="745">
        <f t="shared" si="7"/>
        <v>-4.4286657178147708</v>
      </c>
      <c r="J50" s="745">
        <f t="shared" si="12"/>
        <v>-0.87677033839596052</v>
      </c>
      <c r="K50" s="223"/>
      <c r="L50" s="57"/>
      <c r="M50" s="113"/>
      <c r="N50" s="113"/>
      <c r="O50" s="113"/>
      <c r="P50" s="113"/>
      <c r="Q50" s="113"/>
      <c r="R50" s="113"/>
      <c r="S50" s="113"/>
      <c r="T50" s="113"/>
      <c r="U50" s="113"/>
      <c r="V50" s="113"/>
      <c r="W50" s="113"/>
      <c r="X50" s="113"/>
      <c r="Y50" s="113"/>
      <c r="Z50" s="113"/>
      <c r="AA50" s="113"/>
      <c r="AB50" s="113"/>
      <c r="AC50" s="113"/>
    </row>
    <row r="51" spans="3:29" ht="15" customHeight="1">
      <c r="C51" s="771" t="str">
        <f>IF(Indice_index!$Z$1=1,"Transferências de capital","Capital transfers")</f>
        <v>Transferências de capital</v>
      </c>
      <c r="D51" s="223">
        <f>SUM(D52:D55)</f>
        <v>568.08653376000007</v>
      </c>
      <c r="E51" s="223">
        <f>SUM(E52:E55)</f>
        <v>140.15186399999999</v>
      </c>
      <c r="F51" s="745">
        <f>SUM(F52:F55)</f>
        <v>455.21870824999996</v>
      </c>
      <c r="G51" s="745">
        <f>SUM(G52:G55)</f>
        <v>165.11519838999999</v>
      </c>
      <c r="H51" s="745">
        <f t="shared" si="11"/>
        <v>117.81163209502515</v>
      </c>
      <c r="I51" s="745">
        <f t="shared" si="7"/>
        <v>-63.728380359244611</v>
      </c>
      <c r="J51" s="755">
        <f t="shared" si="12"/>
        <v>-4.1679454829710085</v>
      </c>
      <c r="K51" s="114"/>
      <c r="L51" s="57"/>
      <c r="M51" s="113"/>
      <c r="N51" s="113"/>
      <c r="O51" s="113"/>
      <c r="P51" s="113"/>
      <c r="Q51" s="113"/>
      <c r="R51" s="113"/>
      <c r="S51" s="113"/>
      <c r="T51" s="113"/>
      <c r="U51" s="113"/>
      <c r="V51" s="113"/>
      <c r="W51" s="113"/>
      <c r="X51" s="113"/>
      <c r="Y51" s="113"/>
      <c r="Z51" s="113"/>
      <c r="AA51" s="113"/>
      <c r="AB51" s="113"/>
      <c r="AC51" s="113"/>
    </row>
    <row r="52" spans="3:29" ht="15" customHeight="1">
      <c r="C52" s="758" t="str">
        <f>IF(Indice_index!$Z$1=1,"Administração Central","Central Administration")</f>
        <v>Administração Central</v>
      </c>
      <c r="D52" s="114">
        <v>0.6399155299999999</v>
      </c>
      <c r="E52" s="114">
        <v>0.118834</v>
      </c>
      <c r="F52" s="745">
        <v>0.37221504</v>
      </c>
      <c r="G52" s="745">
        <v>6.1667470000000002E-2</v>
      </c>
      <c r="H52" s="745">
        <f t="shared" si="11"/>
        <v>51.893793022199041</v>
      </c>
      <c r="I52" s="745">
        <f t="shared" si="7"/>
        <v>-83.432300317579859</v>
      </c>
      <c r="J52" s="745">
        <f t="shared" si="12"/>
        <v>-4.461667293352488E-3</v>
      </c>
      <c r="K52" s="223"/>
      <c r="L52" s="57"/>
      <c r="M52" s="113"/>
      <c r="N52" s="115"/>
      <c r="O52" s="113"/>
      <c r="P52" s="113"/>
      <c r="Q52" s="113"/>
      <c r="R52" s="113"/>
      <c r="S52" s="113"/>
      <c r="T52" s="113"/>
      <c r="U52" s="113"/>
      <c r="V52" s="113"/>
      <c r="W52" s="113"/>
      <c r="X52" s="113"/>
      <c r="Y52" s="113"/>
      <c r="Z52" s="113"/>
      <c r="AA52" s="113"/>
      <c r="AB52" s="113"/>
      <c r="AC52" s="113"/>
    </row>
    <row r="53" spans="3:29" ht="15" customHeight="1">
      <c r="C53" s="758" t="str">
        <f>IF(Indice_index!$Z$1=1,"Outros subsectores das AP","Other General Government subsectors")</f>
        <v>Outros subsectores das AP</v>
      </c>
      <c r="D53" s="223">
        <v>0</v>
      </c>
      <c r="E53" s="223">
        <v>0</v>
      </c>
      <c r="F53" s="745">
        <v>0</v>
      </c>
      <c r="G53" s="745">
        <v>0</v>
      </c>
      <c r="H53" s="745" t="str">
        <f t="shared" si="11"/>
        <v>-</v>
      </c>
      <c r="I53" s="745" t="str">
        <f t="shared" si="7"/>
        <v>-</v>
      </c>
      <c r="J53" s="745">
        <f t="shared" si="12"/>
        <v>0</v>
      </c>
      <c r="K53" s="223"/>
      <c r="L53" s="57"/>
      <c r="M53" s="113"/>
      <c r="N53" s="113"/>
      <c r="O53" s="113"/>
      <c r="P53" s="113"/>
      <c r="Q53" s="113"/>
      <c r="R53" s="113"/>
      <c r="S53" s="113"/>
      <c r="T53" s="113"/>
      <c r="U53" s="113"/>
      <c r="V53" s="113"/>
      <c r="W53" s="113"/>
      <c r="X53" s="113"/>
      <c r="Y53" s="113"/>
      <c r="Z53" s="113"/>
      <c r="AA53" s="113"/>
      <c r="AB53" s="113"/>
      <c r="AC53" s="113"/>
    </row>
    <row r="54" spans="3:29" ht="15" customHeight="1">
      <c r="C54" s="758" t="str">
        <f>IF(Indice_index!$Z$1=1,"União Europeia","European Union")</f>
        <v>União Europeia</v>
      </c>
      <c r="D54" s="223">
        <v>133.12369321</v>
      </c>
      <c r="E54" s="223">
        <v>135.72310200000001</v>
      </c>
      <c r="F54" s="745">
        <v>133.06472521000001</v>
      </c>
      <c r="G54" s="745">
        <v>159.70507692000001</v>
      </c>
      <c r="H54" s="745">
        <f t="shared" si="11"/>
        <v>117.6697810222463</v>
      </c>
      <c r="I54" s="745">
        <f t="shared" si="7"/>
        <v>20.020596493891791</v>
      </c>
      <c r="J54" s="745">
        <f t="shared" si="12"/>
        <v>0.38274453703796185</v>
      </c>
      <c r="K54" s="223"/>
      <c r="L54" s="57"/>
      <c r="M54" s="113"/>
      <c r="N54" s="113"/>
      <c r="O54" s="113"/>
      <c r="P54" s="113"/>
      <c r="Q54" s="113"/>
      <c r="R54" s="113"/>
      <c r="S54" s="113"/>
      <c r="T54" s="113"/>
      <c r="U54" s="113"/>
      <c r="V54" s="113"/>
      <c r="W54" s="113"/>
      <c r="X54" s="113"/>
      <c r="Y54" s="113"/>
      <c r="Z54" s="113"/>
      <c r="AA54" s="113"/>
      <c r="AB54" s="113"/>
      <c r="AC54" s="113"/>
    </row>
    <row r="55" spans="3:29" ht="15" customHeight="1">
      <c r="C55" s="758" t="str">
        <f>IF(Indice_index!$Z$1=1,"Outras transferências","Other transfers")</f>
        <v>Outras transferências</v>
      </c>
      <c r="D55" s="223">
        <v>434.32292502000001</v>
      </c>
      <c r="E55" s="223">
        <v>4.3099279999999851</v>
      </c>
      <c r="F55" s="745">
        <v>321.781768</v>
      </c>
      <c r="G55" s="745">
        <v>5.3484539999999754</v>
      </c>
      <c r="H55" s="745">
        <f t="shared" si="11"/>
        <v>124.09613339248344</v>
      </c>
      <c r="I55" s="745">
        <f t="shared" si="7"/>
        <v>-98.33786294567193</v>
      </c>
      <c r="J55" s="745">
        <f t="shared" si="12"/>
        <v>-4.5462283527156178</v>
      </c>
      <c r="K55" s="223"/>
      <c r="L55" s="57"/>
      <c r="M55" s="113"/>
      <c r="N55" s="113"/>
      <c r="O55" s="113"/>
      <c r="P55" s="113"/>
      <c r="Q55" s="113"/>
      <c r="R55" s="113"/>
      <c r="S55" s="113"/>
      <c r="T55" s="113"/>
      <c r="U55" s="113"/>
      <c r="V55" s="113"/>
      <c r="W55" s="113"/>
      <c r="X55" s="113"/>
      <c r="Y55" s="113"/>
      <c r="Z55" s="113"/>
      <c r="AA55" s="113"/>
      <c r="AB55" s="113"/>
      <c r="AC55" s="113"/>
    </row>
    <row r="56" spans="3:29" ht="15" customHeight="1">
      <c r="C56" s="771" t="str">
        <f>IF(Indice_index!$Z$1=1,"Outras despesas de capital","Other capital expenditure")</f>
        <v>Outras despesas de capital</v>
      </c>
      <c r="D56" s="223">
        <v>3.8170452699999999</v>
      </c>
      <c r="E56" s="223">
        <v>6.7249999999999996</v>
      </c>
      <c r="F56" s="745">
        <v>0</v>
      </c>
      <c r="G56" s="745">
        <v>0</v>
      </c>
      <c r="H56" s="745">
        <f t="shared" si="11"/>
        <v>0</v>
      </c>
      <c r="I56" s="745" t="str">
        <f t="shared" si="7"/>
        <v>-</v>
      </c>
      <c r="J56" s="745">
        <f t="shared" si="12"/>
        <v>0</v>
      </c>
      <c r="K56" s="223"/>
      <c r="L56" s="57"/>
      <c r="M56" s="113"/>
      <c r="N56" s="113"/>
      <c r="O56" s="113"/>
      <c r="P56" s="113"/>
      <c r="Q56" s="113"/>
      <c r="R56" s="113"/>
      <c r="S56" s="113"/>
      <c r="T56" s="113"/>
      <c r="U56" s="113"/>
      <c r="V56" s="113"/>
      <c r="W56" s="113"/>
      <c r="X56" s="113"/>
      <c r="Y56" s="113"/>
      <c r="Z56" s="113"/>
      <c r="AA56" s="113"/>
      <c r="AB56" s="113"/>
      <c r="AC56" s="113"/>
    </row>
    <row r="57" spans="3:29" ht="15" customHeight="1">
      <c r="C57" s="744" t="str">
        <f>IF(Indice_index!$Z$1=1,"Diferenças de consolidação","Consolidation differences")</f>
        <v>Diferenças de consolidação</v>
      </c>
      <c r="D57" s="223">
        <v>7.5698749999999995E-2</v>
      </c>
      <c r="E57" s="223">
        <v>0</v>
      </c>
      <c r="F57" s="745">
        <v>3.4575000000000002E-2</v>
      </c>
      <c r="G57" s="745">
        <v>3.2497000000000005E-2</v>
      </c>
      <c r="H57" s="745"/>
      <c r="I57" s="745"/>
      <c r="J57" s="745"/>
      <c r="K57" s="223"/>
      <c r="L57" s="57"/>
      <c r="M57" s="113"/>
      <c r="N57" s="113"/>
      <c r="O57" s="113"/>
      <c r="P57" s="113"/>
      <c r="Q57" s="113"/>
      <c r="R57" s="113"/>
      <c r="S57" s="113"/>
      <c r="T57" s="113"/>
      <c r="U57" s="113"/>
      <c r="V57" s="113"/>
      <c r="W57" s="113"/>
      <c r="X57" s="113"/>
      <c r="Y57" s="113"/>
      <c r="Z57" s="113"/>
      <c r="AA57" s="113"/>
      <c r="AB57" s="113"/>
      <c r="AC57" s="113"/>
    </row>
    <row r="58" spans="3:29" ht="4.5" customHeight="1">
      <c r="C58" s="771"/>
      <c r="D58" s="771"/>
      <c r="E58" s="771"/>
      <c r="F58" s="224"/>
      <c r="G58" s="224"/>
      <c r="H58" s="224"/>
      <c r="I58" s="224"/>
      <c r="J58" s="224"/>
      <c r="K58" s="224"/>
      <c r="L58" s="57"/>
      <c r="M58" s="113"/>
      <c r="N58" s="113"/>
      <c r="O58" s="113"/>
      <c r="P58" s="113"/>
      <c r="Q58" s="113"/>
      <c r="R58" s="113"/>
      <c r="S58" s="113"/>
      <c r="T58" s="113"/>
      <c r="U58" s="113"/>
      <c r="V58" s="113"/>
      <c r="W58" s="113"/>
      <c r="X58" s="113"/>
      <c r="Y58" s="113"/>
      <c r="Z58" s="113"/>
      <c r="AA58" s="113"/>
      <c r="AB58" s="113"/>
      <c r="AC58" s="113"/>
    </row>
    <row r="59" spans="3:29" s="289" customFormat="1" ht="15" customHeight="1">
      <c r="C59" s="774" t="str">
        <f>IF(Indice_index!$Z$1=1,"Despesa efetiva","Effective Expenditure")</f>
        <v>Despesa efetiva</v>
      </c>
      <c r="D59" s="774">
        <f>+D34+D49</f>
        <v>13511.49495032999</v>
      </c>
      <c r="E59" s="774">
        <f>+E34+E49</f>
        <v>14953.276735999998</v>
      </c>
      <c r="F59" s="775">
        <f>+F34+F49</f>
        <v>6960.3479950799992</v>
      </c>
      <c r="G59" s="775">
        <f>+G34+G49</f>
        <v>6683.6987184500013</v>
      </c>
      <c r="H59" s="775">
        <f>IFERROR(IF(G59/E59*100&lt;-500,"-",IF(G59/E59*100&gt;500,"-",G59/E59*100)),"-")</f>
        <v>44.697218117812284</v>
      </c>
      <c r="I59" s="775">
        <f t="shared" ref="I59" si="13">IF(F59=0,"-",(G59-F59)/F59*100)</f>
        <v>-3.9746471990416379</v>
      </c>
      <c r="J59" s="775"/>
      <c r="K59" s="282"/>
      <c r="L59" s="274"/>
      <c r="M59" s="290"/>
      <c r="N59" s="290"/>
      <c r="O59" s="290"/>
      <c r="P59" s="290"/>
      <c r="Q59" s="290"/>
      <c r="R59" s="290"/>
      <c r="S59" s="290"/>
      <c r="T59" s="290"/>
      <c r="U59" s="290"/>
      <c r="V59" s="290"/>
      <c r="W59" s="290"/>
      <c r="X59" s="290"/>
      <c r="Y59" s="290"/>
      <c r="Z59" s="290"/>
      <c r="AA59" s="290"/>
      <c r="AB59" s="290"/>
      <c r="AC59" s="290"/>
    </row>
    <row r="60" spans="3:29" ht="4.5" customHeight="1">
      <c r="C60" s="777"/>
      <c r="D60" s="777"/>
      <c r="E60" s="777"/>
      <c r="F60" s="745"/>
      <c r="G60" s="745"/>
      <c r="H60" s="112"/>
      <c r="I60" s="112"/>
      <c r="J60" s="112"/>
      <c r="K60" s="112"/>
      <c r="L60" s="57"/>
      <c r="M60" s="113"/>
      <c r="N60" s="113"/>
      <c r="O60" s="113"/>
      <c r="P60" s="113"/>
      <c r="Q60" s="113"/>
      <c r="R60" s="113"/>
      <c r="S60" s="113"/>
      <c r="T60" s="113"/>
      <c r="U60" s="113"/>
      <c r="V60" s="113"/>
      <c r="W60" s="113"/>
      <c r="X60" s="113"/>
      <c r="Y60" s="113"/>
      <c r="Z60" s="113"/>
      <c r="AA60" s="113"/>
      <c r="AB60" s="113"/>
      <c r="AC60" s="113"/>
    </row>
    <row r="61" spans="3:29" s="289" customFormat="1" ht="15" customHeight="1">
      <c r="C61" s="748" t="str">
        <f>IF(Indice_index!$Z$1=1,"Saldo global","Overall Balance")</f>
        <v>Saldo global</v>
      </c>
      <c r="D61" s="748">
        <f>+(D9+D22)-(D34+D49)</f>
        <v>-2112.3079573299892</v>
      </c>
      <c r="E61" s="748">
        <f>+(E9+E22)-(E34+E49)</f>
        <v>-1400.3726009999973</v>
      </c>
      <c r="F61" s="750">
        <f>+(F9+F22)-(F34+F49)</f>
        <v>-502.26079304999894</v>
      </c>
      <c r="G61" s="750">
        <f>+(G9+G22)-(G34+G49)</f>
        <v>-174.01067425000383</v>
      </c>
      <c r="H61" s="750"/>
      <c r="I61" s="750"/>
      <c r="J61" s="750"/>
      <c r="K61" s="277"/>
      <c r="L61" s="274"/>
      <c r="M61" s="290"/>
      <c r="N61" s="290"/>
      <c r="O61" s="290"/>
      <c r="P61" s="290"/>
      <c r="Q61" s="290"/>
      <c r="R61" s="290"/>
      <c r="S61" s="290"/>
      <c r="T61" s="290"/>
      <c r="U61" s="290"/>
      <c r="V61" s="290"/>
      <c r="W61" s="290"/>
      <c r="X61" s="290"/>
      <c r="Y61" s="290"/>
      <c r="Z61" s="290"/>
      <c r="AA61" s="290"/>
      <c r="AB61" s="290"/>
      <c r="AC61" s="290"/>
    </row>
    <row r="62" spans="3:29" ht="4.5" customHeight="1">
      <c r="C62" s="778"/>
      <c r="D62" s="778"/>
      <c r="E62" s="778"/>
      <c r="F62" s="793"/>
      <c r="G62" s="793"/>
      <c r="H62" s="112"/>
      <c r="I62" s="112"/>
      <c r="J62" s="112"/>
      <c r="K62" s="225"/>
      <c r="L62" s="57"/>
      <c r="M62" s="113"/>
      <c r="N62" s="113"/>
      <c r="O62" s="113"/>
      <c r="P62" s="113"/>
      <c r="Q62" s="113"/>
      <c r="R62" s="113"/>
      <c r="S62" s="113"/>
      <c r="T62" s="113"/>
      <c r="U62" s="113"/>
      <c r="V62" s="113"/>
      <c r="W62" s="113"/>
      <c r="X62" s="113"/>
      <c r="Y62" s="113"/>
    </row>
    <row r="63" spans="3:29" ht="15" customHeight="1">
      <c r="C63" s="771" t="str">
        <f>IF(Indice_index!$Z$1=1,"Despesa  primária","Primary Expenditure")</f>
        <v>Despesa  primária</v>
      </c>
      <c r="D63" s="114">
        <f>D59-D40</f>
        <v>12891.80783661999</v>
      </c>
      <c r="E63" s="114">
        <f>E59-E40</f>
        <v>14468.440596999997</v>
      </c>
      <c r="F63" s="755">
        <f>F59-F40</f>
        <v>6692.6590413599997</v>
      </c>
      <c r="G63" s="755">
        <f>G59-G40</f>
        <v>6561.0384411600016</v>
      </c>
      <c r="H63" s="745">
        <f>IFERROR(IF(G63/E63*100&lt;-500,"-",IF(G63/E63*100&gt;500,"-",G63/E63*100)),"-")</f>
        <v>45.347239719257793</v>
      </c>
      <c r="I63" s="745">
        <f>IF(F63=0,"-",(G63-F63)/F63*100)</f>
        <v>-1.9666413511669312</v>
      </c>
      <c r="J63" s="745"/>
      <c r="K63" s="223"/>
      <c r="L63" s="57"/>
      <c r="M63" s="113"/>
      <c r="N63" s="113"/>
      <c r="O63" s="113"/>
      <c r="P63" s="113"/>
      <c r="Q63" s="113"/>
      <c r="R63" s="113"/>
      <c r="S63" s="113"/>
      <c r="T63" s="113"/>
      <c r="U63" s="113"/>
      <c r="V63" s="113"/>
      <c r="W63" s="113"/>
      <c r="X63" s="113"/>
      <c r="Y63" s="113"/>
    </row>
    <row r="64" spans="3:29" ht="15" customHeight="1">
      <c r="C64" s="754" t="str">
        <f>IF(Indice_index!$Z$1=1,"Saldo corrente","Current balance")</f>
        <v>Saldo corrente</v>
      </c>
      <c r="D64" s="114">
        <f>+D9-D34</f>
        <v>-1068.462702079989</v>
      </c>
      <c r="E64" s="114">
        <f>+E9-E34</f>
        <v>106.71582000000126</v>
      </c>
      <c r="F64" s="755">
        <f>+F9-F34</f>
        <v>33.936532880001323</v>
      </c>
      <c r="G64" s="755">
        <f>+G9-G34</f>
        <v>439.00922969999647</v>
      </c>
      <c r="H64" s="112"/>
      <c r="I64" s="112"/>
      <c r="J64" s="112"/>
      <c r="K64" s="225"/>
      <c r="L64" s="57"/>
      <c r="M64" s="113"/>
      <c r="N64" s="113"/>
      <c r="O64" s="113"/>
      <c r="P64" s="113"/>
      <c r="Q64" s="113"/>
      <c r="R64" s="113"/>
      <c r="S64" s="113"/>
      <c r="T64" s="113"/>
      <c r="U64" s="113"/>
      <c r="V64" s="113"/>
      <c r="W64" s="113"/>
      <c r="X64" s="113"/>
      <c r="Y64" s="113"/>
    </row>
    <row r="65" spans="3:25" ht="15" customHeight="1">
      <c r="C65" s="754" t="str">
        <f>IF(Indice_index!$Z$1=1,"Saldo de capital","Capital balance")</f>
        <v>Saldo de capital</v>
      </c>
      <c r="D65" s="114">
        <f>D22-D49</f>
        <v>-1043.8452552500005</v>
      </c>
      <c r="E65" s="114">
        <f>E22-E49</f>
        <v>-1507.0884209999995</v>
      </c>
      <c r="F65" s="755">
        <f>F22-F49</f>
        <v>-536.19732593000026</v>
      </c>
      <c r="G65" s="755">
        <f>G22-G49</f>
        <v>-613.01990395000007</v>
      </c>
      <c r="H65" s="112"/>
      <c r="I65" s="112"/>
      <c r="J65" s="112"/>
      <c r="K65" s="225"/>
      <c r="L65" s="57"/>
      <c r="M65" s="113"/>
      <c r="N65" s="113"/>
      <c r="O65" s="113"/>
      <c r="P65" s="113"/>
      <c r="Q65" s="113"/>
      <c r="R65" s="113"/>
      <c r="S65" s="113"/>
      <c r="T65" s="113"/>
      <c r="U65" s="113"/>
      <c r="V65" s="113"/>
      <c r="W65" s="113"/>
      <c r="X65" s="113"/>
      <c r="Y65" s="113"/>
    </row>
    <row r="66" spans="3:25" ht="15" customHeight="1">
      <c r="C66" s="754" t="str">
        <f>IF(Indice_index!$Z$1=1,"Saldo primário","Primary balance")</f>
        <v>Saldo primário</v>
      </c>
      <c r="D66" s="114">
        <f>D61+D40</f>
        <v>-1492.6208436199893</v>
      </c>
      <c r="E66" s="114">
        <f>E61+E40</f>
        <v>-915.5364619999973</v>
      </c>
      <c r="F66" s="755">
        <f>F61+F40</f>
        <v>-234.57183932999902</v>
      </c>
      <c r="G66" s="755">
        <f>G61+G40</f>
        <v>-51.35039696000382</v>
      </c>
      <c r="H66" s="112"/>
      <c r="I66" s="112"/>
      <c r="J66" s="112"/>
      <c r="K66" s="225"/>
      <c r="L66" s="57"/>
      <c r="M66" s="113"/>
      <c r="N66" s="113"/>
      <c r="O66" s="113"/>
      <c r="P66" s="113"/>
      <c r="Q66" s="113"/>
      <c r="R66" s="113"/>
      <c r="S66" s="113"/>
      <c r="T66" s="113"/>
      <c r="U66" s="113"/>
      <c r="V66" s="113"/>
      <c r="W66" s="113"/>
      <c r="X66" s="113"/>
      <c r="Y66" s="113"/>
    </row>
    <row r="67" spans="3:25" ht="6" customHeight="1">
      <c r="C67" s="136"/>
      <c r="D67" s="136"/>
      <c r="E67" s="136"/>
      <c r="F67" s="755"/>
      <c r="G67" s="755"/>
      <c r="H67" s="112"/>
      <c r="I67" s="112"/>
      <c r="J67" s="112"/>
      <c r="K67" s="225"/>
      <c r="L67" s="57"/>
      <c r="M67" s="113"/>
      <c r="N67" s="113"/>
      <c r="O67" s="113"/>
      <c r="P67" s="113"/>
      <c r="Q67" s="113"/>
      <c r="R67" s="113"/>
      <c r="S67" s="113"/>
      <c r="T67" s="113"/>
      <c r="U67" s="113"/>
      <c r="V67" s="113"/>
      <c r="W67" s="113"/>
      <c r="X67" s="113"/>
      <c r="Y67" s="113"/>
    </row>
    <row r="68" spans="3:25" ht="15" customHeight="1">
      <c r="C68" s="136" t="str">
        <f>IF(Indice_index!$Z$1=1,"Ativos financeiros líquidos de reembolsos","Financial assets net of reimbursements")</f>
        <v>Ativos financeiros líquidos de reembolsos</v>
      </c>
      <c r="D68" s="136">
        <v>482.44470149000017</v>
      </c>
      <c r="E68" s="136">
        <v>867.68834500000048</v>
      </c>
      <c r="F68" s="755">
        <v>-619.73541939000029</v>
      </c>
      <c r="G68" s="755">
        <v>-631.54605770999956</v>
      </c>
      <c r="H68" s="755"/>
      <c r="I68" s="755"/>
      <c r="J68" s="112"/>
      <c r="K68" s="225"/>
      <c r="L68" s="57"/>
      <c r="M68" s="113"/>
      <c r="N68" s="113"/>
      <c r="O68" s="113"/>
      <c r="P68" s="113"/>
      <c r="Q68" s="113"/>
      <c r="R68" s="113"/>
      <c r="S68" s="113"/>
      <c r="T68" s="113"/>
      <c r="U68" s="113"/>
      <c r="V68" s="113"/>
      <c r="W68" s="113"/>
      <c r="X68" s="113"/>
      <c r="Y68" s="113"/>
    </row>
    <row r="69" spans="3:25" ht="15" customHeight="1">
      <c r="C69" s="781" t="str">
        <f>IF(Indice_index!$Z$1=1,"dos quais Receitas de:","of which revenue from:")</f>
        <v>dos quais Receitas de:</v>
      </c>
      <c r="D69" s="781"/>
      <c r="E69" s="781"/>
      <c r="F69" s="755"/>
      <c r="G69" s="755"/>
      <c r="H69" s="755"/>
      <c r="I69" s="755"/>
      <c r="J69" s="112"/>
      <c r="K69" s="225"/>
      <c r="L69" s="57"/>
      <c r="M69" s="113"/>
      <c r="N69" s="113"/>
      <c r="O69" s="113"/>
      <c r="P69" s="113"/>
      <c r="Q69" s="113"/>
      <c r="R69" s="113"/>
      <c r="S69" s="113"/>
      <c r="T69" s="113"/>
      <c r="U69" s="113"/>
      <c r="V69" s="113"/>
      <c r="W69" s="113"/>
      <c r="X69" s="113"/>
      <c r="Y69" s="113"/>
    </row>
    <row r="70" spans="3:25" ht="15" customHeight="1">
      <c r="C70" s="757" t="str">
        <f>IF(Indice_index!$Z$1=1,"Alienação de partes de Capital","Disposal of Capital Shares")</f>
        <v>Alienação de partes de Capital</v>
      </c>
      <c r="D70" s="114">
        <v>0</v>
      </c>
      <c r="E70" s="114">
        <v>0</v>
      </c>
      <c r="F70" s="755">
        <v>0</v>
      </c>
      <c r="G70" s="755">
        <v>0</v>
      </c>
      <c r="H70" s="745"/>
      <c r="I70" s="745" t="str">
        <f t="shared" ref="I70:I71" si="14">IF(IFERROR((G70-F70)/F70*100,"")&gt;500,"-",IFERROR((G70-F70)/F70*100,""))</f>
        <v>-</v>
      </c>
      <c r="J70" s="112"/>
      <c r="K70" s="225"/>
      <c r="L70" s="57"/>
      <c r="M70" s="113"/>
      <c r="N70" s="113"/>
      <c r="O70" s="113"/>
      <c r="P70" s="113"/>
      <c r="Q70" s="113"/>
      <c r="R70" s="113"/>
      <c r="S70" s="113"/>
      <c r="T70" s="113"/>
      <c r="U70" s="113"/>
      <c r="V70" s="113"/>
      <c r="W70" s="113"/>
      <c r="X70" s="113"/>
      <c r="Y70" s="113"/>
    </row>
    <row r="71" spans="3:25" ht="15" customHeight="1">
      <c r="C71" s="758" t="str">
        <f>IF(Indice_index!$Z$1=1,"Outros Ativos","Other Assets")</f>
        <v>Outros Ativos</v>
      </c>
      <c r="D71" s="114">
        <v>1366.74815977</v>
      </c>
      <c r="E71" s="114">
        <v>5394.3613129999994</v>
      </c>
      <c r="F71" s="755">
        <v>1383.4073940300004</v>
      </c>
      <c r="G71" s="755">
        <v>1373.2942423999996</v>
      </c>
      <c r="H71" s="745"/>
      <c r="I71" s="745">
        <f t="shared" si="14"/>
        <v>-0.73103206428153189</v>
      </c>
      <c r="J71" s="112"/>
      <c r="K71" s="225"/>
      <c r="L71" s="57"/>
      <c r="M71" s="113"/>
      <c r="N71" s="113"/>
      <c r="O71" s="113"/>
      <c r="P71" s="113"/>
      <c r="Q71" s="113"/>
      <c r="R71" s="113"/>
      <c r="S71" s="113"/>
      <c r="T71" s="113"/>
      <c r="U71" s="113"/>
      <c r="V71" s="113"/>
      <c r="W71" s="113"/>
      <c r="X71" s="113"/>
      <c r="Y71" s="113"/>
    </row>
    <row r="72" spans="3:25" ht="15" customHeight="1">
      <c r="C72" s="136" t="str">
        <f>IF(Indice_index!$Z$1=1,"Passivos financeiros líquidos de amortizações","Financial liabilities net of amortizations")</f>
        <v>Passivos financeiros líquidos de amortizações</v>
      </c>
      <c r="D72" s="136">
        <v>2015.7860917899998</v>
      </c>
      <c r="E72" s="136">
        <v>2301.8138350000004</v>
      </c>
      <c r="F72" s="755">
        <v>536.28286638000009</v>
      </c>
      <c r="G72" s="755">
        <v>751.97030431000007</v>
      </c>
      <c r="H72" s="755"/>
      <c r="I72" s="755"/>
      <c r="J72" s="112"/>
      <c r="K72" s="225"/>
      <c r="L72" s="57"/>
      <c r="M72" s="113"/>
      <c r="N72" s="113"/>
      <c r="O72" s="113"/>
      <c r="P72" s="113"/>
      <c r="Q72" s="113"/>
      <c r="R72" s="113"/>
      <c r="S72" s="113"/>
      <c r="T72" s="113"/>
      <c r="U72" s="113"/>
      <c r="V72" s="113"/>
      <c r="W72" s="113"/>
      <c r="X72" s="113"/>
      <c r="Y72" s="113"/>
    </row>
    <row r="73" spans="3:25" ht="15" customHeight="1">
      <c r="C73" s="759" t="str">
        <f>IF(Indice_index!$Z$1=1,"Poupança (+) / Utilização (-) de saldo da gerência anterior","Saving (+) / Usage (-) of balance from previous management")</f>
        <v>Poupança (+) / Utilização (-) de saldo da gerência anterior</v>
      </c>
      <c r="D73" s="759">
        <f>D61-D68+D72</f>
        <v>-578.96656702998962</v>
      </c>
      <c r="E73" s="759">
        <f>E61-E68+E72</f>
        <v>33.752889000002597</v>
      </c>
      <c r="F73" s="760">
        <f>F61-F68+F72</f>
        <v>653.75749272000144</v>
      </c>
      <c r="G73" s="760">
        <f>G61-G68+G72</f>
        <v>1209.5056877699958</v>
      </c>
      <c r="H73" s="760"/>
      <c r="I73" s="760"/>
      <c r="J73" s="760"/>
      <c r="K73" s="114"/>
      <c r="L73" s="57"/>
      <c r="M73" s="113"/>
      <c r="N73" s="113"/>
      <c r="O73" s="113"/>
      <c r="P73" s="113"/>
      <c r="Q73" s="113"/>
      <c r="R73" s="113"/>
      <c r="S73" s="113"/>
      <c r="T73" s="113"/>
      <c r="U73" s="113"/>
      <c r="V73" s="113"/>
      <c r="W73" s="113"/>
      <c r="X73" s="113"/>
      <c r="Y73" s="113"/>
    </row>
    <row r="74" spans="3:25" s="53" customFormat="1" ht="4.5" customHeight="1">
      <c r="C74" s="136"/>
      <c r="D74" s="136"/>
      <c r="E74" s="136"/>
      <c r="F74" s="794"/>
      <c r="G74" s="475"/>
      <c r="H74" s="475"/>
      <c r="I74" s="475"/>
      <c r="J74" s="475"/>
      <c r="K74" s="57"/>
      <c r="L74" s="58"/>
      <c r="P74" s="50"/>
      <c r="Q74" s="50"/>
      <c r="R74" s="50"/>
    </row>
    <row r="75" spans="3:25" s="53" customFormat="1" ht="15" customHeight="1">
      <c r="C75" s="782" t="str">
        <f>IF(Indice_index!$Z$1=1,"Notas:","Notes:")</f>
        <v>Notas:</v>
      </c>
      <c r="D75" s="782"/>
      <c r="E75" s="782"/>
      <c r="F75" s="58"/>
      <c r="L75" s="58"/>
      <c r="M75" s="50"/>
      <c r="N75" s="50"/>
      <c r="O75" s="50"/>
    </row>
    <row r="76" spans="3:25" s="22" customFormat="1" ht="15" customHeight="1">
      <c r="C76" s="1691" t="str">
        <f>+'5 - Conta AC + SS'!$C$64</f>
        <v>Os dados de 2021 são mensalmente revistos e atualizados face ao publicado nas Sínteses de Execução Orçamental de 2021.</v>
      </c>
      <c r="D76" s="1691"/>
      <c r="E76" s="1691"/>
      <c r="F76" s="1691"/>
      <c r="G76" s="1691"/>
      <c r="H76" s="1691"/>
      <c r="I76" s="1691"/>
      <c r="J76" s="1691"/>
      <c r="K76" s="63"/>
      <c r="R76" s="24"/>
      <c r="S76" s="24"/>
    </row>
    <row r="77" spans="3:25" s="63" customFormat="1" ht="4.5" customHeight="1">
      <c r="C77" s="697"/>
      <c r="D77" s="697"/>
      <c r="E77" s="697"/>
      <c r="F77" s="697"/>
      <c r="G77" s="697"/>
      <c r="H77" s="697"/>
      <c r="I77" s="697"/>
      <c r="J77" s="697"/>
      <c r="L77" s="58"/>
      <c r="M77" s="98"/>
      <c r="N77" s="98"/>
    </row>
    <row r="78" spans="3:25" s="53" customFormat="1" ht="15" customHeight="1">
      <c r="C78" s="1707" t="str">
        <f>IF(Indice_index!$Z$1=1,"Entidades em incumprimento no reporte de execução orçamental no mês em análise:","Non reporting entities are identified below ")</f>
        <v>Entidades em incumprimento no reporte de execução orçamental no mês em análise:</v>
      </c>
      <c r="D78" s="1707"/>
      <c r="E78" s="1707"/>
      <c r="F78" s="1707"/>
      <c r="G78" s="1707"/>
      <c r="H78" s="1707"/>
      <c r="I78" s="1707"/>
      <c r="J78" s="1707"/>
      <c r="L78" s="58"/>
      <c r="M78" s="50"/>
      <c r="N78" s="50"/>
      <c r="O78" s="50"/>
    </row>
    <row r="79" spans="3:25" s="53" customFormat="1" ht="12.75" hidden="1" customHeight="1">
      <c r="C79" s="783" t="s">
        <v>67</v>
      </c>
      <c r="D79" s="784"/>
      <c r="E79" s="784"/>
      <c r="F79" s="785"/>
      <c r="G79" s="785"/>
      <c r="H79" s="785"/>
      <c r="I79" s="785"/>
      <c r="J79" s="785"/>
      <c r="K79" s="217"/>
      <c r="M79" s="50"/>
      <c r="N79" s="50"/>
      <c r="O79" s="50"/>
    </row>
    <row r="80" spans="3:25" s="53" customFormat="1" ht="12.6" hidden="1" customHeight="1">
      <c r="C80" s="1709"/>
      <c r="D80" s="1709"/>
      <c r="E80" s="1709"/>
      <c r="F80" s="1709"/>
      <c r="G80" s="1709"/>
      <c r="H80" s="1709"/>
      <c r="I80" s="1709"/>
      <c r="J80" s="1709"/>
      <c r="K80" s="220"/>
      <c r="M80" s="50"/>
      <c r="N80" s="50"/>
      <c r="O80" s="50"/>
    </row>
    <row r="81" spans="3:22" s="53" customFormat="1" ht="15" customHeight="1">
      <c r="C81" s="783" t="s">
        <v>74</v>
      </c>
      <c r="D81" s="784"/>
      <c r="E81" s="784"/>
      <c r="F81" s="785"/>
      <c r="G81" s="785"/>
      <c r="H81" s="785"/>
      <c r="I81" s="785"/>
      <c r="J81" s="785"/>
      <c r="K81" s="217"/>
      <c r="M81" s="50"/>
      <c r="N81" s="50"/>
      <c r="O81" s="50"/>
    </row>
    <row r="82" spans="3:22" s="53" customFormat="1" ht="20.25" customHeight="1">
      <c r="C82" s="1709" t="s">
        <v>585</v>
      </c>
      <c r="D82" s="1709"/>
      <c r="E82" s="1709"/>
      <c r="F82" s="1709"/>
      <c r="G82" s="1709"/>
      <c r="H82" s="1709"/>
      <c r="I82" s="1709"/>
      <c r="J82" s="1709"/>
      <c r="K82" s="219"/>
      <c r="L82" s="1712"/>
      <c r="M82" s="1712"/>
      <c r="N82" s="1712"/>
      <c r="O82" s="1712"/>
      <c r="P82" s="1712"/>
      <c r="Q82" s="1712"/>
      <c r="R82" s="1712"/>
      <c r="S82" s="1712"/>
      <c r="T82" s="1712"/>
      <c r="U82" s="1712"/>
    </row>
    <row r="83" spans="3:22" s="100" customFormat="1" ht="4.5" customHeight="1">
      <c r="C83" s="226"/>
      <c r="D83" s="226"/>
      <c r="E83" s="226"/>
      <c r="F83" s="226"/>
      <c r="G83" s="226"/>
      <c r="H83" s="226"/>
      <c r="I83" s="226"/>
      <c r="J83" s="226"/>
      <c r="K83" s="226"/>
      <c r="M83" s="104"/>
      <c r="N83" s="104"/>
      <c r="O83" s="104"/>
    </row>
    <row r="84" spans="3:22" s="53" customFormat="1" ht="25.5" customHeight="1">
      <c r="C84" s="1710" t="str">
        <f>IF(Indice_index!$Z$1=1,C101,C102)</f>
        <v>Para as entidades identificadas considera-se na execução orçamental uma estimativa de execução para os meses em falta, esta estimativa consiste na correspondente previsão mensal.</v>
      </c>
      <c r="D84" s="1710"/>
      <c r="E84" s="1710"/>
      <c r="F84" s="1710"/>
      <c r="G84" s="1710"/>
      <c r="H84" s="1710"/>
      <c r="I84" s="1710"/>
      <c r="J84" s="1710"/>
      <c r="K84" s="219"/>
      <c r="M84" s="50"/>
      <c r="N84" s="50"/>
      <c r="O84" s="50"/>
    </row>
    <row r="85" spans="3:22" s="53" customFormat="1" ht="4.5" customHeight="1">
      <c r="C85" s="795"/>
      <c r="D85" s="795"/>
      <c r="E85" s="795"/>
      <c r="F85" s="795"/>
      <c r="G85" s="795"/>
      <c r="H85" s="795"/>
      <c r="I85" s="795"/>
      <c r="J85" s="795"/>
      <c r="K85" s="219"/>
      <c r="M85" s="50"/>
      <c r="N85" s="50"/>
      <c r="O85" s="50"/>
    </row>
    <row r="86" spans="3:22" s="53" customFormat="1" ht="17.45" customHeight="1">
      <c r="C86" s="1709" t="str">
        <f>IF(Indice_index!$Z$1=1,"Esta estimativa apenas é utilizada para os meses em que haja falta de reporte. Nos restantes meses, é utilizada a informação efetivamente reportada pelas entidades.",C103)</f>
        <v>Esta estimativa apenas é utilizada para os meses em que haja falta de reporte. Nos restantes meses, é utilizada a informação efetivamente reportada pelas entidades.</v>
      </c>
      <c r="D86" s="1709"/>
      <c r="E86" s="1709"/>
      <c r="F86" s="1709"/>
      <c r="G86" s="1709"/>
      <c r="H86" s="1709"/>
      <c r="I86" s="1709"/>
      <c r="J86" s="1709"/>
      <c r="K86" s="227"/>
      <c r="M86" s="50"/>
      <c r="N86" s="50"/>
      <c r="O86" s="50"/>
    </row>
    <row r="87" spans="3:22" s="345" customFormat="1" ht="4.5" customHeight="1">
      <c r="C87" s="679"/>
      <c r="D87" s="679"/>
      <c r="E87" s="679"/>
      <c r="F87" s="679"/>
      <c r="G87" s="679"/>
      <c r="H87" s="796"/>
      <c r="I87" s="679"/>
      <c r="J87" s="679"/>
      <c r="K87" s="344"/>
      <c r="L87" s="344"/>
      <c r="M87" s="344"/>
      <c r="N87" s="344"/>
      <c r="O87" s="344"/>
      <c r="P87" s="344"/>
      <c r="T87" s="346"/>
      <c r="U87" s="346"/>
      <c r="V87" s="346"/>
    </row>
    <row r="88" spans="3:22" s="53" customFormat="1" ht="15" customHeight="1">
      <c r="C88" s="786" t="str">
        <f>IF(Indice_index!$Z$1=1,"Fonte: Direção-Geral do Orçamento","Source: Budget General Directorate")</f>
        <v>Fonte: Direção-Geral do Orçamento</v>
      </c>
      <c r="D88" s="786"/>
      <c r="E88" s="786"/>
      <c r="K88" s="101"/>
      <c r="L88" s="101"/>
      <c r="M88" s="101"/>
      <c r="N88" s="101"/>
      <c r="O88" s="101"/>
      <c r="P88" s="101"/>
      <c r="Q88" s="101"/>
    </row>
    <row r="89" spans="3:22" s="107" customFormat="1" ht="12.75" customHeight="1">
      <c r="C89" s="106"/>
      <c r="D89" s="106"/>
      <c r="E89" s="106"/>
      <c r="F89" s="116"/>
      <c r="G89" s="106"/>
      <c r="H89" s="679"/>
      <c r="I89" s="102"/>
      <c r="J89" s="102"/>
      <c r="Q89" s="103"/>
      <c r="R89" s="103"/>
      <c r="S89" s="103"/>
    </row>
    <row r="90" spans="3:22" s="107" customFormat="1" ht="12.75" customHeight="1">
      <c r="C90" s="106"/>
      <c r="D90" s="106"/>
      <c r="E90" s="106"/>
      <c r="F90" s="116"/>
      <c r="G90" s="106"/>
      <c r="H90" s="53"/>
      <c r="I90" s="382"/>
      <c r="J90" s="382"/>
      <c r="Q90" s="103"/>
      <c r="R90" s="103"/>
      <c r="S90" s="103"/>
    </row>
    <row r="91" spans="3:22" s="107" customFormat="1" ht="12.75" customHeight="1">
      <c r="C91" s="328"/>
      <c r="D91" s="328"/>
      <c r="E91" s="328"/>
      <c r="F91" s="330"/>
      <c r="G91" s="328"/>
      <c r="H91" s="102"/>
      <c r="I91" s="329"/>
      <c r="J91" s="329"/>
      <c r="Q91" s="103"/>
      <c r="R91" s="103"/>
      <c r="S91" s="103"/>
    </row>
    <row r="92" spans="3:22" s="102" customFormat="1">
      <c r="C92" s="1706"/>
      <c r="D92" s="1706"/>
      <c r="E92" s="1706"/>
      <c r="F92" s="1706"/>
      <c r="G92" s="1706"/>
      <c r="H92" s="1706"/>
      <c r="I92" s="1706"/>
      <c r="J92" s="1706"/>
      <c r="K92" s="343"/>
      <c r="O92" s="103"/>
      <c r="P92" s="103"/>
      <c r="Q92" s="103"/>
    </row>
    <row r="93" spans="3:22" s="102" customFormat="1" ht="12.75" customHeight="1">
      <c r="C93" s="1706"/>
      <c r="D93" s="1706"/>
      <c r="E93" s="1706"/>
      <c r="F93" s="1706"/>
      <c r="G93" s="1706"/>
      <c r="H93" s="1706"/>
      <c r="I93" s="1706"/>
      <c r="J93" s="1706"/>
      <c r="K93" s="343"/>
      <c r="O93" s="103"/>
      <c r="P93" s="103"/>
      <c r="Q93" s="103"/>
    </row>
    <row r="94" spans="3:22" s="102" customFormat="1" ht="26.25" customHeight="1">
      <c r="C94" s="1706"/>
      <c r="D94" s="1706"/>
      <c r="E94" s="1706"/>
      <c r="F94" s="1706"/>
      <c r="G94" s="1706"/>
      <c r="H94" s="1706"/>
      <c r="I94" s="1706"/>
      <c r="J94" s="1706"/>
      <c r="K94" s="343"/>
      <c r="O94" s="103"/>
      <c r="P94" s="103"/>
      <c r="Q94" s="103"/>
    </row>
    <row r="95" spans="3:22" s="102" customFormat="1" ht="24.75" customHeight="1">
      <c r="C95" s="1706"/>
      <c r="D95" s="1706"/>
      <c r="E95" s="1706"/>
      <c r="F95" s="1706"/>
      <c r="G95" s="1706"/>
      <c r="H95" s="1706"/>
      <c r="I95" s="1706"/>
      <c r="J95" s="1706"/>
      <c r="K95" s="343"/>
      <c r="O95" s="103"/>
      <c r="P95" s="103"/>
      <c r="Q95" s="103"/>
    </row>
    <row r="96" spans="3:22" s="102" customFormat="1" ht="12.75" customHeight="1">
      <c r="C96" s="1706"/>
      <c r="D96" s="1706"/>
      <c r="E96" s="1706"/>
      <c r="F96" s="1706"/>
      <c r="G96" s="1706"/>
      <c r="H96" s="1706"/>
      <c r="I96" s="1706"/>
      <c r="J96" s="1706"/>
      <c r="O96" s="103"/>
      <c r="P96" s="103"/>
      <c r="Q96" s="103"/>
    </row>
    <row r="97" spans="3:19" s="107" customFormat="1" ht="12.75" customHeight="1">
      <c r="C97" s="106"/>
      <c r="D97" s="106"/>
      <c r="E97" s="106"/>
      <c r="F97" s="116"/>
      <c r="G97" s="106"/>
      <c r="H97" s="106"/>
      <c r="I97" s="102"/>
      <c r="J97" s="102"/>
      <c r="Q97" s="103"/>
      <c r="R97" s="103"/>
      <c r="S97" s="103"/>
    </row>
    <row r="98" spans="3:19" s="107" customFormat="1" ht="12.75" customHeight="1">
      <c r="C98" s="106"/>
      <c r="D98" s="106"/>
      <c r="E98" s="106"/>
      <c r="F98" s="116"/>
      <c r="G98" s="106"/>
      <c r="H98" s="106"/>
      <c r="I98" s="102"/>
      <c r="J98" s="102"/>
      <c r="Q98" s="103"/>
      <c r="R98" s="103"/>
      <c r="S98" s="103"/>
    </row>
    <row r="99" spans="3:19" s="107" customFormat="1" ht="12.75" customHeight="1">
      <c r="C99" s="360"/>
      <c r="D99" s="360"/>
      <c r="E99" s="360"/>
      <c r="F99" s="361"/>
      <c r="G99" s="360"/>
      <c r="H99" s="102"/>
      <c r="I99" s="100"/>
      <c r="J99" s="100"/>
      <c r="Q99" s="103"/>
      <c r="R99" s="103"/>
      <c r="S99" s="103"/>
    </row>
    <row r="100" spans="3:19" s="107" customFormat="1">
      <c r="C100" s="1713"/>
      <c r="D100" s="1713"/>
      <c r="E100" s="1713"/>
      <c r="F100" s="1713"/>
      <c r="G100" s="1713"/>
      <c r="H100" s="1713"/>
      <c r="I100" s="1713"/>
      <c r="J100" s="1713"/>
      <c r="K100" s="352"/>
      <c r="Q100" s="103"/>
      <c r="R100" s="103"/>
      <c r="S100" s="103"/>
    </row>
    <row r="101" spans="3:19" s="427" customFormat="1">
      <c r="C101" s="1714" t="s">
        <v>75</v>
      </c>
      <c r="D101" s="1715"/>
      <c r="E101" s="1715"/>
      <c r="F101" s="1715"/>
      <c r="G101" s="1715"/>
      <c r="H101" s="1715"/>
      <c r="I101" s="1715"/>
      <c r="J101" s="1715"/>
      <c r="K101" s="529"/>
      <c r="Q101" s="104"/>
      <c r="R101" s="104"/>
      <c r="S101" s="104"/>
    </row>
    <row r="102" spans="3:19" s="427" customFormat="1">
      <c r="C102" s="1708" t="s">
        <v>76</v>
      </c>
      <c r="D102" s="1708"/>
      <c r="E102" s="1708"/>
      <c r="F102" s="1708"/>
      <c r="G102" s="1708"/>
      <c r="H102" s="1708"/>
      <c r="I102" s="1708"/>
      <c r="J102" s="1708"/>
      <c r="Q102" s="104"/>
      <c r="R102" s="104"/>
      <c r="S102" s="104"/>
    </row>
    <row r="103" spans="3:19" s="107" customFormat="1">
      <c r="C103" s="1708" t="s">
        <v>6</v>
      </c>
      <c r="D103" s="1708"/>
      <c r="E103" s="1708"/>
      <c r="F103" s="1708"/>
      <c r="G103" s="1708"/>
      <c r="H103" s="1708"/>
      <c r="I103" s="1708"/>
      <c r="J103" s="1708"/>
      <c r="K103" s="343"/>
      <c r="Q103" s="103"/>
      <c r="R103" s="103"/>
      <c r="S103" s="103"/>
    </row>
    <row r="104" spans="3:19" s="107" customFormat="1">
      <c r="C104" s="360"/>
      <c r="D104" s="106"/>
      <c r="E104" s="106"/>
      <c r="F104" s="116"/>
      <c r="G104" s="106"/>
      <c r="H104" s="106"/>
      <c r="I104" s="102"/>
      <c r="J104" s="102"/>
      <c r="Q104" s="103"/>
      <c r="R104" s="103"/>
      <c r="S104" s="103"/>
    </row>
    <row r="105" spans="3:19" s="107" customFormat="1">
      <c r="C105" s="360"/>
      <c r="D105" s="106"/>
      <c r="E105" s="106"/>
      <c r="F105" s="116"/>
      <c r="G105" s="106"/>
      <c r="H105" s="106"/>
      <c r="I105" s="102"/>
      <c r="J105" s="102"/>
      <c r="Q105" s="103"/>
      <c r="R105" s="103"/>
      <c r="S105" s="103"/>
    </row>
    <row r="106" spans="3:19" s="107" customFormat="1">
      <c r="C106" s="106"/>
      <c r="D106" s="106"/>
      <c r="E106" s="106"/>
      <c r="F106" s="116"/>
      <c r="G106" s="106"/>
      <c r="H106" s="102"/>
      <c r="I106" s="102"/>
      <c r="J106" s="102"/>
      <c r="Q106" s="103"/>
      <c r="R106" s="103"/>
      <c r="S106" s="103"/>
    </row>
    <row r="107" spans="3:19" s="107" customFormat="1">
      <c r="C107" s="106"/>
      <c r="D107" s="106"/>
      <c r="E107" s="106"/>
      <c r="F107" s="116"/>
      <c r="G107" s="106"/>
      <c r="H107" s="102"/>
      <c r="I107" s="102"/>
      <c r="J107" s="102"/>
      <c r="Q107" s="103"/>
      <c r="R107" s="103"/>
      <c r="S107" s="103"/>
    </row>
    <row r="108" spans="3:19" s="107" customFormat="1">
      <c r="C108" s="106"/>
      <c r="D108" s="106"/>
      <c r="E108" s="106"/>
      <c r="F108" s="116"/>
      <c r="G108" s="106"/>
      <c r="H108" s="102"/>
      <c r="I108" s="102"/>
      <c r="J108" s="102"/>
      <c r="Q108" s="103"/>
      <c r="R108" s="103"/>
      <c r="S108" s="103"/>
    </row>
    <row r="109" spans="3:19" s="107" customFormat="1">
      <c r="C109" s="106"/>
      <c r="D109" s="106"/>
      <c r="E109" s="106"/>
      <c r="F109" s="116"/>
      <c r="G109" s="106"/>
      <c r="H109" s="102"/>
      <c r="I109" s="102"/>
      <c r="J109" s="102"/>
      <c r="Q109" s="103"/>
      <c r="R109" s="103"/>
      <c r="S109" s="103"/>
    </row>
    <row r="110" spans="3:19" s="107" customFormat="1">
      <c r="C110" s="106"/>
      <c r="D110" s="106"/>
      <c r="E110" s="106"/>
      <c r="F110" s="116"/>
      <c r="G110" s="106"/>
      <c r="H110" s="102"/>
      <c r="I110" s="102"/>
      <c r="J110" s="102"/>
      <c r="Q110" s="103"/>
      <c r="R110" s="103"/>
      <c r="S110" s="103"/>
    </row>
    <row r="111" spans="3:19">
      <c r="H111" s="102"/>
    </row>
    <row r="112" spans="3:19">
      <c r="H112" s="102"/>
    </row>
  </sheetData>
  <mergeCells count="18">
    <mergeCell ref="L82:U82"/>
    <mergeCell ref="C103:J103"/>
    <mergeCell ref="C94:J94"/>
    <mergeCell ref="C93:J93"/>
    <mergeCell ref="C95:J95"/>
    <mergeCell ref="C96:J96"/>
    <mergeCell ref="C100:J100"/>
    <mergeCell ref="C101:J101"/>
    <mergeCell ref="C92:J92"/>
    <mergeCell ref="C86:J86"/>
    <mergeCell ref="C84:J84"/>
    <mergeCell ref="C82:J82"/>
    <mergeCell ref="I6:J6"/>
    <mergeCell ref="C78:J78"/>
    <mergeCell ref="C76:J76"/>
    <mergeCell ref="C102:J102"/>
    <mergeCell ref="C80:J80"/>
    <mergeCell ref="F6:G6"/>
  </mergeCells>
  <printOptions horizontalCentered="1"/>
  <pageMargins left="0.70866141732283472" right="0.70866141732283472" top="0.74803149606299213" bottom="0.74803149606299213" header="0.74803149606299213" footer="0.35433070866141736"/>
  <pageSetup paperSize="9" scale="59" orientation="portrait" r:id="rId1"/>
  <headerFooter differentOddEven="1">
    <oddFooter>&amp;R&amp;G</oddFooter>
    <evenFooter>&amp;L&amp;G</evenFooter>
  </headerFooter>
  <ignoredErrors>
    <ignoredError sqref="D8 J5 D10 G6 J6 I7 I6 J7 D6 E6 E8:E14" unlockedFormula="1"/>
    <ignoredError sqref="F15:G15 F22:G22 F24:G24 F31:G33 F41:G41 F49:G49 F51:G51 F35:G35 F34:G34 D73 E67:E73" formulaRange="1"/>
    <ignoredError sqref="E7:G7 D7" numberStoredAsText="1" unlockedFormula="1"/>
    <ignoredError sqref="D15 D22 D24 D31:D35 D41 D49 D51 D58:D67 E15:E34 E36:E66" formulaRange="1" unlockedFormula="1"/>
    <ignoredError sqref="C81 H7" numberStoredAsText="1"/>
    <ignoredError sqref="E35" formula="1" formulaRange="1" unlockedFormula="1"/>
  </ignoredErrors>
  <drawing r:id="rId2"/>
  <legacyDrawingHF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olha15"/>
  <dimension ref="B1:AG97"/>
  <sheetViews>
    <sheetView showGridLines="0" zoomScaleNormal="100" zoomScaleSheetLayoutView="100" workbookViewId="0">
      <selection activeCell="B2" sqref="B2"/>
    </sheetView>
  </sheetViews>
  <sheetFormatPr defaultColWidth="9.140625" defaultRowHeight="12"/>
  <cols>
    <col min="1" max="1" width="2.5703125" style="118" customWidth="1"/>
    <col min="2" max="2" width="4.42578125" style="118" customWidth="1"/>
    <col min="3" max="3" width="40.85546875" style="118" customWidth="1"/>
    <col min="4" max="10" width="9.42578125" style="118" customWidth="1"/>
    <col min="11" max="11" width="8.5703125" style="119" customWidth="1"/>
    <col min="12" max="12" width="9.5703125" style="118" bestFit="1" customWidth="1"/>
    <col min="13" max="14" width="8.5703125" style="118" customWidth="1"/>
    <col min="15" max="15" width="9.85546875" style="118" bestFit="1" customWidth="1"/>
    <col min="16" max="16" width="10.140625" style="118" customWidth="1"/>
    <col min="17" max="17" width="14.5703125" style="118" bestFit="1" customWidth="1"/>
    <col min="18" max="18" width="12.42578125" style="118" customWidth="1"/>
    <col min="19" max="19" width="10" style="118" customWidth="1"/>
    <col min="20" max="23" width="6.5703125" style="118" customWidth="1"/>
    <col min="24" max="24" width="9" style="118" bestFit="1" customWidth="1"/>
    <col min="25" max="27" width="9.140625" style="50" customWidth="1"/>
    <col min="28" max="28" width="9.140625" style="118" customWidth="1"/>
    <col min="29" max="16384" width="9.140625" style="118"/>
  </cols>
  <sheetData>
    <row r="1" spans="2:33" s="50" customFormat="1" ht="15" customHeight="1">
      <c r="B1" s="49"/>
      <c r="C1" s="49"/>
      <c r="D1" s="49"/>
      <c r="E1" s="49"/>
      <c r="H1" s="118"/>
      <c r="I1" s="118"/>
      <c r="J1" s="118"/>
    </row>
    <row r="2" spans="2:33" ht="24" customHeight="1">
      <c r="B2" s="8"/>
      <c r="C2" s="51" t="str">
        <f>IF(Indice_index!$Z$1=1,"11 - Execução Orçamental da Caixa Geral de Aposentações","11 - Public Servants Social Scheme Budget Execution")</f>
        <v>11 - Execução Orçamental da Caixa Geral de Aposentações</v>
      </c>
      <c r="D2" s="51"/>
      <c r="E2" s="51"/>
      <c r="F2" s="51"/>
      <c r="G2" s="51"/>
      <c r="H2" s="51"/>
      <c r="I2" s="51"/>
      <c r="J2" s="51"/>
      <c r="Y2" s="81"/>
      <c r="AA2" s="81"/>
    </row>
    <row r="3" spans="2:33" ht="15" customHeight="1">
      <c r="C3" s="97"/>
      <c r="D3" s="97"/>
      <c r="E3" s="97"/>
      <c r="F3" s="120"/>
      <c r="G3" s="120"/>
      <c r="Y3" s="81"/>
    </row>
    <row r="4" spans="2:33" ht="15" customHeight="1">
      <c r="C4" s="120"/>
      <c r="D4" s="120"/>
      <c r="E4" s="120"/>
      <c r="F4" s="120"/>
      <c r="G4" s="120"/>
      <c r="H4" s="120"/>
      <c r="I4" s="120"/>
      <c r="J4" s="120"/>
    </row>
    <row r="5" spans="2:33" s="291" customFormat="1" ht="15" customHeight="1">
      <c r="C5" s="797" t="str">
        <f>+'5 - Conta AC + SS'!C5</f>
        <v>Período: janeiro a julho</v>
      </c>
      <c r="D5" s="797"/>
      <c r="E5" s="797"/>
      <c r="F5" s="798"/>
      <c r="G5" s="798"/>
      <c r="H5" s="798"/>
      <c r="I5" s="798"/>
      <c r="J5" s="707" t="str">
        <f>IF(Indice_index!$Z$1=1,"€ Milhões","€ Millions")</f>
        <v>€ Milhões</v>
      </c>
      <c r="K5" s="384"/>
      <c r="L5" s="292"/>
      <c r="Y5" s="249"/>
      <c r="Z5" s="249"/>
      <c r="AA5" s="249"/>
    </row>
    <row r="6" spans="2:33" ht="30.75" customHeight="1">
      <c r="C6" s="799"/>
      <c r="D6" s="709" t="str">
        <f>IF(Indice_index!$Z$1=1,"CGE","Final execution")</f>
        <v>CGE</v>
      </c>
      <c r="E6" s="709" t="str">
        <f>IF(Indice_index!$Z$1=1,"Orçamento Inicial","Budget")</f>
        <v>Orçamento Inicial</v>
      </c>
      <c r="F6" s="1693" t="str">
        <f>IF(Indice_index!$Z$1=1,"Execução Acumulada","Accumulated Execution")</f>
        <v>Execução Acumulada</v>
      </c>
      <c r="G6" s="1693"/>
      <c r="H6" s="789" t="str">
        <f>IF(Indice_index!$Z$1=1,"Grau de Execução (%)","Execution Degree (%)")</f>
        <v>Grau de Execução (%)</v>
      </c>
      <c r="I6" s="1694" t="str">
        <f>IF(Indice_index!$Z$1=1,"Variação Homóloga Acumulada","YOY Change Rate")</f>
        <v>Variação Homóloga Acumulada</v>
      </c>
      <c r="J6" s="1695"/>
      <c r="K6" s="118"/>
    </row>
    <row r="7" spans="2:33" ht="33" customHeight="1">
      <c r="C7" s="800"/>
      <c r="D7" s="712" t="s">
        <v>67</v>
      </c>
      <c r="E7" s="712" t="s">
        <v>74</v>
      </c>
      <c r="F7" s="713" t="s">
        <v>67</v>
      </c>
      <c r="G7" s="713" t="s">
        <v>74</v>
      </c>
      <c r="H7" s="714" t="s">
        <v>74</v>
      </c>
      <c r="I7" s="714" t="str">
        <f>IF(Indice_index!$Z$1=1,"Relativa (%)","Relative change (%)")</f>
        <v>Relativa (%)</v>
      </c>
      <c r="J7" s="715" t="str">
        <f>IF(Indice_index!$Z$1=1,"Contributo VHA (p.p.)","YOY Change Rate Contrib. (p.p.)")</f>
        <v>Contributo VHA (p.p.)</v>
      </c>
      <c r="K7" s="118"/>
    </row>
    <row r="8" spans="2:33" s="293" customFormat="1" ht="15" customHeight="1">
      <c r="C8" s="801" t="str">
        <f>IF(Indice_index!$Z$1=1,"Receita corrente","Current revenue")</f>
        <v>Receita corrente</v>
      </c>
      <c r="D8" s="801">
        <f>+D9+D14+D23</f>
        <v>10366.37250845</v>
      </c>
      <c r="E8" s="801">
        <f>+E9+E14+E23</f>
        <v>10352.569979999998</v>
      </c>
      <c r="F8" s="801">
        <f>+F9+F14+F23</f>
        <v>5958.5310213599996</v>
      </c>
      <c r="G8" s="801">
        <f>+G9+G14+G23</f>
        <v>5819.6588498099991</v>
      </c>
      <c r="H8" s="802">
        <f>IFERROR(IF(G8/E8*100&lt;-500,"-",IF(G8/E8*100&gt;500,"-",G8/E8*100)),"-")</f>
        <v>56.214629421031937</v>
      </c>
      <c r="I8" s="802">
        <f t="shared" ref="I8:I20" si="0">IF(IFERROR((G8-F8)/F8*100,"")&gt;500,"-",IFERROR((G8-F8)/F8*100,""))</f>
        <v>-2.3306444332029974</v>
      </c>
      <c r="J8" s="802">
        <f>IFERROR((G8-F8)/$F$27*100,"-")</f>
        <v>-2.3306444332029974</v>
      </c>
      <c r="K8" s="291"/>
      <c r="L8" s="294"/>
      <c r="M8" s="294"/>
      <c r="N8" s="424"/>
      <c r="O8" s="424"/>
      <c r="P8" s="294"/>
      <c r="Q8" s="294"/>
      <c r="R8" s="294"/>
      <c r="S8" s="294"/>
      <c r="T8" s="294"/>
      <c r="U8" s="294"/>
      <c r="V8" s="294"/>
      <c r="W8" s="294"/>
      <c r="X8" s="294"/>
      <c r="Y8" s="294"/>
      <c r="Z8" s="294"/>
      <c r="AA8" s="294"/>
    </row>
    <row r="9" spans="2:33" ht="15" customHeight="1">
      <c r="C9" s="803" t="str">
        <f>IF(Indice_index!$Z$1=1,"Contribuições para a Caixa Geral de Aposentações","Contributions to the Public Servants Social Scheme (CGA)")</f>
        <v>Contribuições para a Caixa Geral de Aposentações</v>
      </c>
      <c r="D9" s="804">
        <f t="shared" ref="D9:E9" si="1">+D10+D11</f>
        <v>4119.3248779699998</v>
      </c>
      <c r="E9" s="804">
        <f t="shared" si="1"/>
        <v>4057.5362800000003</v>
      </c>
      <c r="F9" s="804">
        <f t="shared" ref="F9:G9" si="2">+F10+F11</f>
        <v>2338.6484192299999</v>
      </c>
      <c r="G9" s="804">
        <f t="shared" si="2"/>
        <v>2254.9036884199995</v>
      </c>
      <c r="H9" s="805">
        <f t="shared" ref="H9:H25" si="3">IFERROR(IF(G9/E9*100&lt;-500,"-",IF(G9/E9*100&gt;500,"-",G9/E9*100)),"-")</f>
        <v>55.573223079597447</v>
      </c>
      <c r="I9" s="805">
        <f t="shared" si="0"/>
        <v>-3.5809029746152854</v>
      </c>
      <c r="J9" s="805">
        <f t="shared" ref="J9:J25" si="4">IFERROR((G9-F9)/$F$27*100,"-")</f>
        <v>-1.4054593407300273</v>
      </c>
      <c r="K9" s="118"/>
      <c r="L9" s="88"/>
      <c r="M9" s="88"/>
      <c r="N9" s="424"/>
      <c r="O9" s="424"/>
      <c r="P9" s="294"/>
      <c r="Q9" s="294"/>
      <c r="R9" s="294"/>
      <c r="S9" s="88"/>
      <c r="T9" s="88"/>
      <c r="U9" s="88"/>
      <c r="V9" s="88"/>
      <c r="W9" s="88"/>
      <c r="X9" s="88"/>
      <c r="Y9" s="88"/>
      <c r="Z9" s="88"/>
      <c r="AA9" s="88"/>
      <c r="AB9" s="88"/>
      <c r="AC9" s="88"/>
      <c r="AD9" s="88"/>
      <c r="AE9" s="88"/>
      <c r="AF9" s="88"/>
      <c r="AG9" s="88"/>
    </row>
    <row r="10" spans="2:33" ht="15" customHeight="1">
      <c r="C10" s="806" t="str">
        <f>IF(Indice_index!$Z$1=1,"Quotas e contribuições para a CGA","Fees and contributions to the CGA")</f>
        <v>Quotas e contribuições para a CGA</v>
      </c>
      <c r="D10" s="804">
        <v>4004.8889900199997</v>
      </c>
      <c r="E10" s="804">
        <v>3939.8765800000001</v>
      </c>
      <c r="F10" s="804">
        <v>2273.5584875999998</v>
      </c>
      <c r="G10" s="804">
        <v>2188.9857217599997</v>
      </c>
      <c r="H10" s="805">
        <f t="shared" si="3"/>
        <v>55.559753644871776</v>
      </c>
      <c r="I10" s="805">
        <f t="shared" si="0"/>
        <v>-3.7198412225267319</v>
      </c>
      <c r="J10" s="805">
        <f t="shared" si="4"/>
        <v>-1.4193559710745092</v>
      </c>
      <c r="K10" s="118"/>
      <c r="L10" s="88"/>
      <c r="M10" s="88"/>
      <c r="N10" s="424"/>
      <c r="O10" s="424"/>
      <c r="P10" s="294"/>
      <c r="Q10" s="294"/>
      <c r="R10" s="294"/>
      <c r="S10" s="88"/>
      <c r="T10" s="88"/>
      <c r="U10" s="88"/>
      <c r="V10" s="88"/>
      <c r="W10" s="88"/>
      <c r="X10" s="88"/>
      <c r="Y10" s="88"/>
      <c r="Z10" s="88"/>
      <c r="AA10" s="88"/>
      <c r="AB10" s="88"/>
      <c r="AC10" s="88"/>
      <c r="AD10" s="88"/>
      <c r="AE10" s="88"/>
      <c r="AF10" s="88"/>
      <c r="AG10" s="88"/>
    </row>
    <row r="11" spans="2:33" ht="15" customHeight="1">
      <c r="C11" s="806" t="str">
        <f>IF(Indice_index!$Z$1=1,"Compensação por pagamento de pensões","Pension payment compensations")</f>
        <v>Compensação por pagamento de pensões</v>
      </c>
      <c r="D11" s="807">
        <f t="shared" ref="D11:E11" si="5">+D12+D13</f>
        <v>114.43588794999999</v>
      </c>
      <c r="E11" s="807">
        <f t="shared" si="5"/>
        <v>117.6597</v>
      </c>
      <c r="F11" s="807">
        <f t="shared" ref="F11:G11" si="6">+F12+F13</f>
        <v>65.089931629999995</v>
      </c>
      <c r="G11" s="807">
        <f t="shared" si="6"/>
        <v>65.917966660000005</v>
      </c>
      <c r="H11" s="805">
        <f t="shared" si="3"/>
        <v>56.024251855138175</v>
      </c>
      <c r="I11" s="805">
        <f t="shared" si="0"/>
        <v>1.272139959689814</v>
      </c>
      <c r="J11" s="805">
        <f t="shared" si="4"/>
        <v>1.3896630344487413E-2</v>
      </c>
      <c r="K11" s="118"/>
      <c r="L11" s="88"/>
      <c r="M11" s="88"/>
      <c r="N11" s="424"/>
      <c r="O11" s="424"/>
      <c r="P11" s="294"/>
      <c r="Q11" s="294"/>
      <c r="R11" s="294"/>
      <c r="S11" s="88"/>
      <c r="T11" s="88"/>
      <c r="U11" s="88"/>
      <c r="V11" s="88"/>
      <c r="W11" s="88"/>
      <c r="X11" s="88"/>
      <c r="Y11" s="88"/>
      <c r="Z11" s="88"/>
      <c r="AA11" s="88"/>
      <c r="AB11" s="88"/>
      <c r="AC11" s="88"/>
      <c r="AD11" s="88"/>
      <c r="AE11" s="88"/>
      <c r="AF11" s="88"/>
      <c r="AG11" s="88"/>
    </row>
    <row r="12" spans="2:33" ht="15" customHeight="1">
      <c r="C12" s="808" t="str">
        <f>IF(Indice_index!$Z$1=1,"Subsectores das Administrações Públicas","General Government subsectors")</f>
        <v>Subsectores das Administrações Públicas</v>
      </c>
      <c r="D12" s="804">
        <v>53.576918370000001</v>
      </c>
      <c r="E12" s="804">
        <v>44.237499999999997</v>
      </c>
      <c r="F12" s="804">
        <v>30.789377980000001</v>
      </c>
      <c r="G12" s="804">
        <v>22.293742470000002</v>
      </c>
      <c r="H12" s="805">
        <f t="shared" si="3"/>
        <v>50.395574953376666</v>
      </c>
      <c r="I12" s="805">
        <f t="shared" si="0"/>
        <v>-27.592748107865479</v>
      </c>
      <c r="J12" s="805">
        <f t="shared" si="4"/>
        <v>-0.14257936191898721</v>
      </c>
      <c r="K12" s="118"/>
      <c r="L12" s="88"/>
      <c r="M12" s="88"/>
      <c r="N12" s="424"/>
      <c r="O12" s="424"/>
      <c r="P12" s="294"/>
      <c r="Q12" s="294"/>
      <c r="R12" s="294"/>
      <c r="S12" s="88"/>
      <c r="T12" s="88"/>
      <c r="U12" s="88"/>
      <c r="V12" s="88"/>
      <c r="W12" s="88"/>
      <c r="X12" s="88"/>
      <c r="Y12" s="88"/>
      <c r="Z12" s="88"/>
      <c r="AA12" s="88"/>
      <c r="AB12" s="88"/>
      <c r="AC12" s="88"/>
      <c r="AD12" s="88"/>
      <c r="AE12" s="88"/>
      <c r="AF12" s="88"/>
      <c r="AG12" s="88"/>
    </row>
    <row r="13" spans="2:33" ht="15" customHeight="1">
      <c r="C13" s="808" t="str">
        <f>IF(Indice_index!$Z$1=1,"Outras entidades","Other entities")</f>
        <v>Outras entidades</v>
      </c>
      <c r="D13" s="804">
        <v>60.85896958</v>
      </c>
      <c r="E13" s="804">
        <v>73.422200000000004</v>
      </c>
      <c r="F13" s="804">
        <v>34.300553649999998</v>
      </c>
      <c r="G13" s="804">
        <v>43.624224190000007</v>
      </c>
      <c r="H13" s="805">
        <f t="shared" si="3"/>
        <v>59.415577563734132</v>
      </c>
      <c r="I13" s="805">
        <f t="shared" si="0"/>
        <v>27.182274184661772</v>
      </c>
      <c r="J13" s="805">
        <f t="shared" si="4"/>
        <v>0.15647599226347464</v>
      </c>
      <c r="K13" s="118"/>
      <c r="L13" s="88"/>
      <c r="M13" s="88"/>
      <c r="N13" s="424"/>
      <c r="O13" s="424"/>
      <c r="P13" s="294"/>
      <c r="Q13" s="294"/>
      <c r="R13" s="294"/>
      <c r="S13" s="88"/>
      <c r="T13" s="88"/>
      <c r="U13" s="88"/>
      <c r="V13" s="88"/>
      <c r="W13" s="88"/>
      <c r="X13" s="88"/>
      <c r="Y13" s="88"/>
      <c r="Z13" s="88"/>
      <c r="AA13" s="88"/>
      <c r="AB13" s="88"/>
      <c r="AC13" s="88"/>
      <c r="AD13" s="88"/>
      <c r="AE13" s="88"/>
      <c r="AF13" s="88"/>
      <c r="AG13" s="88"/>
    </row>
    <row r="14" spans="2:33" ht="15" customHeight="1">
      <c r="C14" s="803" t="str">
        <f>IF(Indice_index!$Z$1=1,"Transferências Correntes","Current transfers")</f>
        <v>Transferências Correntes</v>
      </c>
      <c r="D14" s="804">
        <f t="shared" ref="D14:E14" si="7">+D15+D22</f>
        <v>6044.9386570400011</v>
      </c>
      <c r="E14" s="804">
        <f t="shared" si="7"/>
        <v>6050.0595000000003</v>
      </c>
      <c r="F14" s="804">
        <f t="shared" ref="F14:G14" si="8">+F15+F22</f>
        <v>3539.8398891099996</v>
      </c>
      <c r="G14" s="804">
        <f t="shared" si="8"/>
        <v>3417.8590322700002</v>
      </c>
      <c r="H14" s="805">
        <f t="shared" si="3"/>
        <v>56.492982131332759</v>
      </c>
      <c r="I14" s="805">
        <f t="shared" si="0"/>
        <v>-3.4459427731537406</v>
      </c>
      <c r="J14" s="805">
        <f t="shared" si="4"/>
        <v>-2.047163242126715</v>
      </c>
      <c r="K14" s="118"/>
      <c r="L14" s="88"/>
      <c r="M14" s="88"/>
      <c r="N14" s="424"/>
      <c r="O14" s="424"/>
      <c r="P14" s="294"/>
      <c r="Q14" s="294"/>
      <c r="R14" s="294"/>
      <c r="S14" s="88"/>
      <c r="T14" s="88"/>
      <c r="U14" s="88"/>
      <c r="V14" s="88"/>
      <c r="W14" s="88"/>
      <c r="X14" s="88"/>
      <c r="Y14" s="88"/>
      <c r="Z14" s="88"/>
      <c r="AA14" s="88"/>
      <c r="AB14" s="88"/>
      <c r="AC14" s="88"/>
      <c r="AD14" s="88"/>
      <c r="AE14" s="88"/>
      <c r="AF14" s="88"/>
      <c r="AG14" s="88"/>
    </row>
    <row r="15" spans="2:33" ht="15" customHeight="1">
      <c r="C15" s="806" t="str">
        <f>IF(Indice_index!$Z$1=1,"Orçamento do Estado","State Budget")</f>
        <v>Orçamento do Estado</v>
      </c>
      <c r="D15" s="804">
        <f t="shared" ref="D15:E15" si="9">+D16+D17</f>
        <v>5488.7991009999996</v>
      </c>
      <c r="E15" s="804">
        <f t="shared" si="9"/>
        <v>5489.0999999999995</v>
      </c>
      <c r="F15" s="804">
        <f t="shared" ref="F15:G15" si="10">+F16+F17</f>
        <v>3221.8599079999999</v>
      </c>
      <c r="G15" s="804">
        <f t="shared" si="10"/>
        <v>3093.2781120000004</v>
      </c>
      <c r="H15" s="805">
        <f t="shared" si="3"/>
        <v>56.353101819970497</v>
      </c>
      <c r="I15" s="805">
        <f t="shared" si="0"/>
        <v>-3.9909182792438007</v>
      </c>
      <c r="J15" s="805">
        <f t="shared" si="4"/>
        <v>-2.157944559473846</v>
      </c>
      <c r="K15" s="118"/>
      <c r="L15" s="88"/>
      <c r="M15" s="88"/>
      <c r="N15" s="424"/>
      <c r="O15" s="424"/>
      <c r="P15" s="294"/>
      <c r="Q15" s="294"/>
      <c r="R15" s="294"/>
      <c r="S15" s="88"/>
      <c r="T15" s="88"/>
      <c r="U15" s="88"/>
      <c r="V15" s="88"/>
      <c r="W15" s="88"/>
      <c r="X15" s="88"/>
      <c r="Y15" s="88"/>
      <c r="Z15" s="88"/>
      <c r="AA15" s="88"/>
      <c r="AB15" s="88"/>
      <c r="AC15" s="88"/>
      <c r="AD15" s="88"/>
      <c r="AE15" s="88"/>
      <c r="AF15" s="88"/>
      <c r="AG15" s="88"/>
    </row>
    <row r="16" spans="2:33" ht="15" customHeight="1">
      <c r="C16" s="809" t="str">
        <f>IF(Indice_index!$Z$1=1,"Comparticipação do Orçamento do Estado","State Budget contributions")</f>
        <v>Comparticipação do Orçamento do Estado</v>
      </c>
      <c r="D16" s="804">
        <v>5076.8823000000002</v>
      </c>
      <c r="E16" s="804">
        <v>5060.0316999999995</v>
      </c>
      <c r="F16" s="804">
        <v>2993.0654519999998</v>
      </c>
      <c r="G16" s="804">
        <v>2853.1702570000002</v>
      </c>
      <c r="H16" s="805">
        <f t="shared" si="3"/>
        <v>56.386410721498059</v>
      </c>
      <c r="I16" s="805">
        <f t="shared" si="0"/>
        <v>-4.6739771396084926</v>
      </c>
      <c r="J16" s="805">
        <f t="shared" si="4"/>
        <v>-2.3478134878967092</v>
      </c>
      <c r="K16" s="118"/>
      <c r="L16" s="88"/>
      <c r="M16" s="88"/>
      <c r="N16" s="424"/>
      <c r="O16" s="424"/>
      <c r="P16" s="294"/>
      <c r="Q16" s="294"/>
      <c r="R16" s="294"/>
      <c r="S16" s="88"/>
      <c r="T16" s="88"/>
      <c r="U16" s="88"/>
      <c r="V16" s="88"/>
      <c r="W16" s="88"/>
      <c r="X16" s="88"/>
      <c r="Y16" s="88"/>
      <c r="Z16" s="88"/>
      <c r="AA16" s="88"/>
      <c r="AB16" s="88"/>
      <c r="AC16" s="88"/>
      <c r="AD16" s="88"/>
      <c r="AE16" s="88"/>
      <c r="AF16" s="88"/>
      <c r="AG16" s="88"/>
    </row>
    <row r="17" spans="3:33" ht="15" customHeight="1">
      <c r="C17" s="809" t="str">
        <f>IF(Indice_index!$Z$1=1,"Compensação por pagamento de pensões","Pension payment compensations")</f>
        <v>Compensação por pagamento de pensões</v>
      </c>
      <c r="D17" s="804">
        <f>+D18+D19+D20+D21</f>
        <v>411.9168009999994</v>
      </c>
      <c r="E17" s="804">
        <f>+E18+E19+E20+E21</f>
        <v>429.06830000000002</v>
      </c>
      <c r="F17" s="804">
        <f>+F18+F19+F20+F21</f>
        <v>228.79445600000008</v>
      </c>
      <c r="G17" s="804">
        <f>+G18+G19+G20+G21</f>
        <v>240.10785500000003</v>
      </c>
      <c r="H17" s="805">
        <f t="shared" si="3"/>
        <v>55.960287674479801</v>
      </c>
      <c r="I17" s="805">
        <f t="shared" si="0"/>
        <v>4.9447872111026774</v>
      </c>
      <c r="J17" s="805">
        <f t="shared" si="4"/>
        <v>0.18986892842286035</v>
      </c>
      <c r="K17" s="118"/>
      <c r="L17" s="88"/>
      <c r="M17" s="88"/>
      <c r="N17" s="424"/>
      <c r="O17" s="424"/>
      <c r="P17" s="294"/>
      <c r="Q17" s="294"/>
      <c r="R17" s="294"/>
      <c r="S17" s="88"/>
      <c r="T17" s="88"/>
      <c r="U17" s="88"/>
      <c r="V17" s="88"/>
      <c r="W17" s="88"/>
      <c r="X17" s="88"/>
      <c r="Y17" s="88"/>
      <c r="Z17" s="88"/>
      <c r="AA17" s="88"/>
      <c r="AB17" s="88"/>
      <c r="AC17" s="88"/>
      <c r="AD17" s="88"/>
      <c r="AE17" s="88"/>
      <c r="AF17" s="88"/>
      <c r="AG17" s="88"/>
    </row>
    <row r="18" spans="3:33" s="121" customFormat="1" ht="15" customHeight="1">
      <c r="C18" s="810" t="str">
        <f>IF(Indice_index!$Z$1=1,"Deficientes das Forças Armadas / Invalidez","Armed Forces handicapped / disability")</f>
        <v>Deficientes das Forças Armadas / Invalidez</v>
      </c>
      <c r="D18" s="804">
        <v>169.15</v>
      </c>
      <c r="E18" s="804">
        <v>170.34299999999999</v>
      </c>
      <c r="F18" s="804">
        <v>97.015000000000001</v>
      </c>
      <c r="G18" s="804">
        <v>95.369100000000003</v>
      </c>
      <c r="H18" s="805">
        <f t="shared" si="3"/>
        <v>55.986509571863827</v>
      </c>
      <c r="I18" s="805">
        <f t="shared" si="0"/>
        <v>-1.6965417718909421</v>
      </c>
      <c r="J18" s="805">
        <f t="shared" si="4"/>
        <v>-2.7622580030209034E-2</v>
      </c>
      <c r="K18" s="118"/>
      <c r="L18" s="88"/>
      <c r="M18" s="88"/>
      <c r="N18" s="424"/>
      <c r="O18" s="424"/>
      <c r="P18" s="294"/>
      <c r="Q18" s="294"/>
      <c r="R18" s="294"/>
      <c r="S18" s="88"/>
      <c r="T18" s="88"/>
      <c r="U18" s="88"/>
      <c r="V18" s="88"/>
      <c r="W18" s="88"/>
      <c r="X18" s="88"/>
      <c r="Y18" s="88"/>
      <c r="Z18" s="88"/>
      <c r="AA18" s="88"/>
      <c r="AB18" s="88"/>
      <c r="AC18" s="88"/>
      <c r="AD18" s="88"/>
      <c r="AE18" s="88"/>
      <c r="AF18" s="88"/>
      <c r="AG18" s="88"/>
    </row>
    <row r="19" spans="3:33" s="121" customFormat="1" ht="15" customHeight="1">
      <c r="C19" s="810" t="str">
        <f>IF(Indice_index!$Z$1=1,"Subvenções vitalícias","Lifetime grants")</f>
        <v>Subvenções vitalícias</v>
      </c>
      <c r="D19" s="804">
        <v>8.1715</v>
      </c>
      <c r="E19" s="804">
        <v>8.2799999999999994</v>
      </c>
      <c r="F19" s="804">
        <v>4.8265000000000002</v>
      </c>
      <c r="G19" s="804">
        <v>3.8294280000000001</v>
      </c>
      <c r="H19" s="805">
        <f t="shared" si="3"/>
        <v>46.249130434782614</v>
      </c>
      <c r="I19" s="805">
        <f t="shared" si="0"/>
        <v>-20.658282399254123</v>
      </c>
      <c r="J19" s="805">
        <f t="shared" si="4"/>
        <v>-1.6733520332876013E-2</v>
      </c>
      <c r="K19" s="118"/>
      <c r="L19" s="88"/>
      <c r="M19" s="88"/>
      <c r="N19" s="424"/>
      <c r="O19" s="424"/>
      <c r="P19" s="294"/>
      <c r="Q19" s="294"/>
      <c r="R19" s="294"/>
      <c r="S19" s="88"/>
      <c r="T19" s="88"/>
      <c r="U19" s="88"/>
      <c r="V19" s="88"/>
      <c r="W19" s="88"/>
      <c r="X19" s="88"/>
      <c r="Y19" s="88"/>
      <c r="Z19" s="88"/>
      <c r="AA19" s="88"/>
      <c r="AB19" s="88"/>
      <c r="AC19" s="88"/>
      <c r="AD19" s="88"/>
      <c r="AE19" s="88"/>
      <c r="AF19" s="88"/>
      <c r="AG19" s="88"/>
    </row>
    <row r="20" spans="3:33" ht="15" customHeight="1">
      <c r="C20" s="810" t="str">
        <f>IF(Indice_index!$Z$1=1,"Pensões de preço de sangue","Blood price pensions")</f>
        <v>Pensões de preço de sangue</v>
      </c>
      <c r="D20" s="804">
        <v>29.667999999999999</v>
      </c>
      <c r="E20" s="804">
        <v>28.657</v>
      </c>
      <c r="F20" s="804">
        <v>16.902999999999999</v>
      </c>
      <c r="G20" s="804">
        <v>16.567</v>
      </c>
      <c r="H20" s="805">
        <f t="shared" si="3"/>
        <v>57.811354991799554</v>
      </c>
      <c r="I20" s="805">
        <f t="shared" si="0"/>
        <v>-1.9878128142933122</v>
      </c>
      <c r="J20" s="805">
        <f t="shared" si="4"/>
        <v>-5.6389737469774636E-3</v>
      </c>
      <c r="K20" s="118"/>
      <c r="L20" s="88"/>
      <c r="M20" s="88"/>
      <c r="N20" s="424"/>
      <c r="O20" s="424"/>
      <c r="P20" s="294"/>
      <c r="Q20" s="294"/>
      <c r="R20" s="294"/>
      <c r="S20" s="88"/>
      <c r="T20" s="88"/>
      <c r="U20" s="88"/>
      <c r="V20" s="88"/>
      <c r="W20" s="88"/>
      <c r="X20" s="88"/>
      <c r="Y20" s="88"/>
      <c r="Z20" s="88"/>
      <c r="AA20" s="88"/>
      <c r="AB20" s="88"/>
      <c r="AC20" s="88"/>
      <c r="AD20" s="88"/>
      <c r="AE20" s="88"/>
      <c r="AF20" s="88"/>
      <c r="AG20" s="88"/>
    </row>
    <row r="21" spans="3:33" ht="15" customHeight="1">
      <c r="C21" s="810" t="str">
        <f>IF(Indice_index!$Z$1=1,"Outras","Others")</f>
        <v>Outras</v>
      </c>
      <c r="D21" s="804">
        <v>204.92730099999937</v>
      </c>
      <c r="E21" s="804">
        <v>221.78829999999999</v>
      </c>
      <c r="F21" s="804">
        <v>110.04995600000009</v>
      </c>
      <c r="G21" s="804">
        <v>124.342327</v>
      </c>
      <c r="H21" s="805">
        <f t="shared" si="3"/>
        <v>56.063519581510832</v>
      </c>
      <c r="I21" s="805">
        <f t="shared" ref="I21:I25" si="11">IF(IFERROR((G21-F21)/F21*100,"")&gt;500,"-",IFERROR((G21-F21)/F21*100,""))</f>
        <v>12.987166482828844</v>
      </c>
      <c r="J21" s="805">
        <f t="shared" si="4"/>
        <v>0.23986400253292217</v>
      </c>
      <c r="K21" s="118"/>
      <c r="L21" s="88"/>
      <c r="M21" s="88"/>
      <c r="N21" s="424"/>
      <c r="O21" s="424"/>
      <c r="P21" s="294"/>
      <c r="Q21" s="294"/>
      <c r="R21" s="294"/>
      <c r="S21" s="88"/>
      <c r="T21" s="88"/>
      <c r="U21" s="88"/>
      <c r="V21" s="88"/>
      <c r="W21" s="88"/>
      <c r="X21" s="88"/>
      <c r="Y21" s="88"/>
      <c r="Z21" s="88"/>
      <c r="AA21" s="88"/>
      <c r="AB21" s="88"/>
      <c r="AC21" s="88"/>
      <c r="AD21" s="88"/>
      <c r="AE21" s="88"/>
      <c r="AF21" s="88"/>
      <c r="AG21" s="88"/>
    </row>
    <row r="22" spans="3:33" ht="15" customHeight="1">
      <c r="C22" s="806" t="str">
        <f>IF(Indice_index!$Z$1=1,"Outras transferências correntes","Other current transfers")</f>
        <v>Outras transferências correntes</v>
      </c>
      <c r="D22" s="804">
        <v>556.13955604000148</v>
      </c>
      <c r="E22" s="804">
        <v>560.95950000000084</v>
      </c>
      <c r="F22" s="804">
        <v>317.9799811099997</v>
      </c>
      <c r="G22" s="804">
        <v>324.58092026999975</v>
      </c>
      <c r="H22" s="805">
        <f t="shared" si="3"/>
        <v>57.861738729801218</v>
      </c>
      <c r="I22" s="805">
        <f>IF(IFERROR((G22-F22)/F22*100,"")&gt;500,"-",IFERROR((G22-F22)/F22*100,""))</f>
        <v>2.0758977143647832</v>
      </c>
      <c r="J22" s="805">
        <f t="shared" si="4"/>
        <v>0.11078131734713076</v>
      </c>
      <c r="K22" s="118"/>
      <c r="L22" s="88"/>
      <c r="M22" s="88"/>
      <c r="N22" s="424"/>
      <c r="O22" s="424"/>
      <c r="P22" s="294"/>
      <c r="Q22" s="326"/>
      <c r="R22" s="294"/>
      <c r="S22" s="88"/>
      <c r="T22" s="88"/>
      <c r="U22" s="88"/>
      <c r="V22" s="88"/>
      <c r="W22" s="88"/>
      <c r="X22" s="88"/>
      <c r="Y22" s="88"/>
      <c r="Z22" s="88"/>
      <c r="AA22" s="88"/>
      <c r="AB22" s="88"/>
      <c r="AC22" s="88"/>
      <c r="AD22" s="88"/>
      <c r="AE22" s="88"/>
      <c r="AF22" s="88"/>
      <c r="AG22" s="88"/>
    </row>
    <row r="23" spans="3:33" ht="15" customHeight="1">
      <c r="C23" s="803" t="str">
        <f>IF(Indice_index!$Z$1=1,"Outras receitas correntes","Other current revenue")</f>
        <v>Outras receitas correntes</v>
      </c>
      <c r="D23" s="804">
        <v>202.10897343999932</v>
      </c>
      <c r="E23" s="804">
        <v>244.97419999999875</v>
      </c>
      <c r="F23" s="804">
        <v>80.04271301999961</v>
      </c>
      <c r="G23" s="804">
        <v>146.89612911999939</v>
      </c>
      <c r="H23" s="805">
        <f t="shared" si="3"/>
        <v>59.963918290171023</v>
      </c>
      <c r="I23" s="805">
        <f>IF(IFERROR((G23-F23)/F23*100,"")&gt;500,"-",IFERROR((G23-F23)/F23*100,""))</f>
        <v>83.522176570021642</v>
      </c>
      <c r="J23" s="805">
        <f t="shared" si="4"/>
        <v>1.1219781496537529</v>
      </c>
      <c r="K23" s="118"/>
      <c r="L23" s="88"/>
      <c r="M23" s="88"/>
      <c r="N23" s="424"/>
      <c r="O23" s="424"/>
      <c r="P23" s="294"/>
      <c r="Q23" s="294"/>
      <c r="R23" s="294"/>
      <c r="S23" s="88"/>
      <c r="T23" s="88"/>
      <c r="U23" s="88"/>
      <c r="V23" s="88"/>
      <c r="W23" s="88"/>
      <c r="X23" s="88"/>
      <c r="Y23" s="88"/>
      <c r="Z23" s="88"/>
      <c r="AA23" s="88"/>
      <c r="AB23" s="88"/>
      <c r="AC23" s="88"/>
      <c r="AD23" s="88"/>
      <c r="AE23" s="88"/>
      <c r="AF23" s="88"/>
      <c r="AG23" s="88"/>
    </row>
    <row r="24" spans="3:33" s="291" customFormat="1" ht="15" customHeight="1">
      <c r="C24" s="801" t="str">
        <f>IF(Indice_index!$Z$1=1,"Receita de capital","Capital revenue")</f>
        <v>Receita de capital</v>
      </c>
      <c r="D24" s="801">
        <f t="shared" ref="D24:G24" si="12">+D25</f>
        <v>0</v>
      </c>
      <c r="E24" s="801">
        <f t="shared" si="12"/>
        <v>0</v>
      </c>
      <c r="F24" s="801">
        <f t="shared" si="12"/>
        <v>0</v>
      </c>
      <c r="G24" s="801">
        <f t="shared" si="12"/>
        <v>1.511941E-2</v>
      </c>
      <c r="H24" s="802" t="str">
        <f t="shared" si="3"/>
        <v>-</v>
      </c>
      <c r="I24" s="802" t="str">
        <f>IF(IFERROR((G24-F24)/F24*100,"")&gt;500,"-",IFERROR((G24-F24)/F24*100,""))</f>
        <v>-</v>
      </c>
      <c r="J24" s="802">
        <f t="shared" si="4"/>
        <v>2.5374391684460985E-4</v>
      </c>
      <c r="L24" s="294"/>
      <c r="M24" s="294"/>
      <c r="N24" s="424"/>
      <c r="O24" s="424"/>
      <c r="P24" s="294"/>
      <c r="Q24" s="294"/>
      <c r="R24" s="294"/>
      <c r="S24" s="294"/>
      <c r="T24" s="294"/>
      <c r="U24" s="294"/>
      <c r="V24" s="294"/>
      <c r="W24" s="294"/>
      <c r="X24" s="294"/>
      <c r="Y24" s="294"/>
      <c r="Z24" s="294"/>
      <c r="AA24" s="294"/>
      <c r="AB24" s="294"/>
      <c r="AC24" s="294"/>
      <c r="AD24" s="294"/>
      <c r="AE24" s="294"/>
      <c r="AF24" s="294"/>
      <c r="AG24" s="294"/>
    </row>
    <row r="25" spans="3:33" ht="15" customHeight="1">
      <c r="C25" s="803" t="str">
        <f>IF(Indice_index!$Z$1=1,"Transferências de Capital","Capital transfers")</f>
        <v>Transferências de Capital</v>
      </c>
      <c r="D25" s="804">
        <v>0</v>
      </c>
      <c r="E25" s="804">
        <v>0</v>
      </c>
      <c r="F25" s="804">
        <v>0</v>
      </c>
      <c r="G25" s="804">
        <v>1.511941E-2</v>
      </c>
      <c r="H25" s="805" t="str">
        <f t="shared" si="3"/>
        <v>-</v>
      </c>
      <c r="I25" s="805" t="str">
        <f t="shared" si="11"/>
        <v>-</v>
      </c>
      <c r="J25" s="805">
        <f t="shared" si="4"/>
        <v>2.5374391684460985E-4</v>
      </c>
      <c r="K25" s="118"/>
      <c r="L25" s="88"/>
      <c r="M25" s="88"/>
      <c r="N25" s="424"/>
      <c r="O25" s="424"/>
      <c r="P25" s="294"/>
      <c r="Q25" s="294"/>
      <c r="R25" s="294"/>
      <c r="S25" s="88"/>
      <c r="T25" s="88"/>
      <c r="U25" s="88"/>
      <c r="V25" s="88"/>
      <c r="W25" s="88"/>
      <c r="X25" s="88"/>
      <c r="Y25" s="88"/>
      <c r="Z25" s="88"/>
      <c r="AA25" s="88"/>
      <c r="AB25" s="88"/>
      <c r="AC25" s="88"/>
      <c r="AD25" s="88"/>
      <c r="AE25" s="88"/>
      <c r="AF25" s="88"/>
      <c r="AG25" s="88"/>
    </row>
    <row r="26" spans="3:33" ht="4.5" customHeight="1">
      <c r="C26" s="804"/>
      <c r="D26" s="804"/>
      <c r="E26" s="804"/>
      <c r="F26" s="804"/>
      <c r="G26" s="804"/>
      <c r="H26" s="805"/>
      <c r="I26" s="805"/>
      <c r="J26" s="805"/>
      <c r="K26" s="118"/>
      <c r="L26" s="88"/>
      <c r="M26" s="88"/>
      <c r="N26" s="424"/>
      <c r="O26" s="424"/>
      <c r="P26" s="294"/>
      <c r="Q26" s="294"/>
      <c r="R26" s="294"/>
      <c r="U26" s="88"/>
      <c r="V26" s="88"/>
      <c r="W26" s="88"/>
      <c r="X26" s="88"/>
      <c r="Y26" s="88"/>
      <c r="Z26" s="88"/>
      <c r="AA26" s="88"/>
      <c r="AB26" s="88"/>
      <c r="AC26" s="88"/>
      <c r="AD26" s="88"/>
      <c r="AE26" s="88"/>
      <c r="AF26" s="88"/>
      <c r="AG26" s="88"/>
    </row>
    <row r="27" spans="3:33" s="291" customFormat="1" ht="15" customHeight="1">
      <c r="C27" s="748" t="str">
        <f>IF(Indice_index!$Z$1=1,"Receita Efectiva","Effective revenue")</f>
        <v>Receita Efectiva</v>
      </c>
      <c r="D27" s="748">
        <f>+D8+D24</f>
        <v>10366.37250845</v>
      </c>
      <c r="E27" s="748">
        <f>+E8+E24</f>
        <v>10352.569979999998</v>
      </c>
      <c r="F27" s="748">
        <f>+F8+F24</f>
        <v>5958.5310213599996</v>
      </c>
      <c r="G27" s="748">
        <f>+G8+G24</f>
        <v>5819.673969219999</v>
      </c>
      <c r="H27" s="811">
        <f>IFERROR(IF(G27/E27*100&lt;-500,"-",IF(G27/E27*100&gt;500,"-",G27/E27*100)),"-")</f>
        <v>56.214775466023944</v>
      </c>
      <c r="I27" s="811">
        <f t="shared" ref="I27:I45" si="13">IF(F27=0,"-",(G27-F27)/F27*100)</f>
        <v>-2.3303906892861543</v>
      </c>
      <c r="J27" s="811"/>
      <c r="L27" s="294"/>
      <c r="M27" s="294"/>
      <c r="N27" s="424"/>
      <c r="O27" s="424"/>
      <c r="P27" s="294"/>
      <c r="Q27" s="294"/>
      <c r="R27" s="294"/>
      <c r="U27" s="294"/>
      <c r="V27" s="294"/>
      <c r="W27" s="294"/>
      <c r="X27" s="294"/>
      <c r="Y27" s="294"/>
      <c r="Z27" s="294"/>
      <c r="AA27" s="294"/>
      <c r="AB27" s="294"/>
      <c r="AC27" s="294"/>
      <c r="AD27" s="294"/>
      <c r="AE27" s="294"/>
      <c r="AF27" s="294"/>
      <c r="AG27" s="294"/>
    </row>
    <row r="28" spans="3:33" ht="4.5" customHeight="1">
      <c r="C28" s="812"/>
      <c r="D28" s="804"/>
      <c r="E28" s="804"/>
      <c r="F28" s="804"/>
      <c r="G28" s="804"/>
      <c r="H28" s="805"/>
      <c r="I28" s="805"/>
      <c r="J28" s="805"/>
      <c r="K28" s="118"/>
      <c r="L28" s="88"/>
      <c r="M28" s="88"/>
      <c r="N28" s="424"/>
      <c r="O28" s="424"/>
      <c r="P28" s="294"/>
      <c r="Q28" s="294"/>
      <c r="R28" s="294"/>
      <c r="U28" s="88"/>
      <c r="V28" s="88"/>
      <c r="W28" s="88"/>
      <c r="X28" s="88"/>
      <c r="Y28" s="88"/>
      <c r="Z28" s="88"/>
      <c r="AA28" s="88"/>
      <c r="AB28" s="88"/>
      <c r="AC28" s="88"/>
      <c r="AD28" s="88"/>
      <c r="AE28" s="88"/>
      <c r="AF28" s="88"/>
      <c r="AG28" s="88"/>
    </row>
    <row r="29" spans="3:33" s="291" customFormat="1" ht="15" customHeight="1">
      <c r="C29" s="801" t="str">
        <f>IF(Indice_index!$Z$1=1,"Despesa Corrente","Current expenditure")</f>
        <v>Despesa Corrente</v>
      </c>
      <c r="D29" s="801">
        <f t="shared" ref="D29:E29" si="14">+D30+D34+D35+D36+D42</f>
        <v>10285.655430229999</v>
      </c>
      <c r="E29" s="801">
        <f t="shared" si="14"/>
        <v>10443.5705</v>
      </c>
      <c r="F29" s="801">
        <f t="shared" ref="F29:G29" si="15">+F30+F34+F35+F36+F42</f>
        <v>5739.8951899299991</v>
      </c>
      <c r="G29" s="801">
        <f t="shared" si="15"/>
        <v>5838.7360084199991</v>
      </c>
      <c r="H29" s="802">
        <f t="shared" ref="H29:H45" si="16">IFERROR(IF(G29/E29*100&lt;-500,"-",IF(G29/E29*100&gt;500,"-",G29/E29*100)),"-")</f>
        <v>55.907469657240306</v>
      </c>
      <c r="I29" s="802">
        <f t="shared" ref="I29:I43" si="17">IF(IFERROR((G29-F29)/F29*100,"")&gt;500,"-",IFERROR((G29-F29)/F29*100,""))</f>
        <v>1.7219969218846547</v>
      </c>
      <c r="J29" s="802">
        <f>IFERROR((G29-F29)/$F$45*100,"-")</f>
        <v>1.7219969218846547</v>
      </c>
      <c r="L29" s="294"/>
      <c r="M29" s="294"/>
      <c r="N29" s="424"/>
      <c r="O29" s="424"/>
      <c r="P29" s="294"/>
      <c r="Q29" s="294"/>
      <c r="R29" s="294"/>
      <c r="U29" s="294"/>
      <c r="V29" s="294"/>
      <c r="W29" s="294"/>
      <c r="X29" s="294"/>
      <c r="Y29" s="294"/>
      <c r="Z29" s="294"/>
      <c r="AA29" s="294"/>
      <c r="AB29" s="294"/>
      <c r="AC29" s="294"/>
      <c r="AD29" s="294"/>
      <c r="AE29" s="294"/>
      <c r="AF29" s="294"/>
      <c r="AG29" s="294"/>
    </row>
    <row r="30" spans="3:33" ht="15" customHeight="1">
      <c r="C30" s="803" t="str">
        <f>IF(Indice_index!$Z$1=1,"Despesas com o pessoal","Employees")</f>
        <v>Despesas com o pessoal</v>
      </c>
      <c r="D30" s="804">
        <f t="shared" ref="D30:E30" si="18">+D31+D32+D33</f>
        <v>7.6524922199999992</v>
      </c>
      <c r="E30" s="804">
        <f t="shared" si="18"/>
        <v>8.0451999999999995</v>
      </c>
      <c r="F30" s="804">
        <f t="shared" ref="F30:G30" si="19">+F31+F32+F33</f>
        <v>4.5179758399999992</v>
      </c>
      <c r="G30" s="804">
        <f t="shared" si="19"/>
        <v>4.3597189699999994</v>
      </c>
      <c r="H30" s="805">
        <f t="shared" si="16"/>
        <v>54.190311862974191</v>
      </c>
      <c r="I30" s="805">
        <f t="shared" si="17"/>
        <v>-3.5028268322922198</v>
      </c>
      <c r="J30" s="805">
        <f t="shared" ref="J30:J43" si="20">IFERROR((G30-F30)/$F$45*100,"-")</f>
        <v>-2.7571386717590881E-3</v>
      </c>
      <c r="K30" s="118"/>
      <c r="L30" s="88"/>
      <c r="M30" s="88"/>
      <c r="N30" s="424"/>
      <c r="O30" s="424"/>
      <c r="P30" s="294"/>
      <c r="Q30" s="294"/>
      <c r="R30" s="294"/>
      <c r="U30" s="88"/>
      <c r="V30" s="88"/>
      <c r="W30" s="88"/>
      <c r="X30" s="88"/>
      <c r="Y30" s="88"/>
      <c r="Z30" s="88"/>
      <c r="AA30" s="88"/>
      <c r="AB30" s="88"/>
      <c r="AC30" s="88"/>
      <c r="AD30" s="88"/>
      <c r="AE30" s="88"/>
      <c r="AF30" s="88"/>
      <c r="AG30" s="88"/>
    </row>
    <row r="31" spans="3:33" ht="15" customHeight="1">
      <c r="C31" s="806" t="str">
        <f>IF(Indice_index!$Z$1=1,"Remunerações Certas e Permanentes","Certain and permanent wages")</f>
        <v>Remunerações Certas e Permanentes</v>
      </c>
      <c r="D31" s="804">
        <v>7.8590489999999985E-2</v>
      </c>
      <c r="E31" s="804">
        <v>0.11119999999999999</v>
      </c>
      <c r="F31" s="804">
        <v>4.5844459999999997E-2</v>
      </c>
      <c r="G31" s="804">
        <v>7.8110900000000006E-3</v>
      </c>
      <c r="H31" s="805">
        <f t="shared" si="16"/>
        <v>7.0243615107913673</v>
      </c>
      <c r="I31" s="805">
        <f t="shared" si="17"/>
        <v>-82.961758083746645</v>
      </c>
      <c r="J31" s="805">
        <f t="shared" si="20"/>
        <v>-6.626143638776761E-4</v>
      </c>
      <c r="K31" s="118"/>
      <c r="L31" s="88"/>
      <c r="M31" s="88"/>
      <c r="N31" s="424"/>
      <c r="O31" s="424"/>
      <c r="P31" s="294"/>
      <c r="Q31" s="294"/>
      <c r="R31" s="294"/>
      <c r="U31" s="88"/>
      <c r="V31" s="88"/>
      <c r="W31" s="88"/>
      <c r="X31" s="88"/>
      <c r="Y31" s="88"/>
      <c r="Z31" s="88"/>
      <c r="AA31" s="88"/>
      <c r="AB31" s="88"/>
      <c r="AC31" s="88"/>
      <c r="AD31" s="88"/>
      <c r="AE31" s="88"/>
      <c r="AF31" s="88"/>
      <c r="AG31" s="88"/>
    </row>
    <row r="32" spans="3:33" ht="15" customHeight="1">
      <c r="C32" s="806" t="str">
        <f>IF(Indice_index!$Z$1=1,"Abonos Variáveis ou Eventuais","Variable or contingent bonuses")</f>
        <v>Abonos Variáveis ou Eventuais</v>
      </c>
      <c r="D32" s="804">
        <v>0</v>
      </c>
      <c r="E32" s="804">
        <v>0</v>
      </c>
      <c r="F32" s="804">
        <v>0</v>
      </c>
      <c r="G32" s="804">
        <v>0</v>
      </c>
      <c r="H32" s="805" t="str">
        <f t="shared" si="16"/>
        <v>-</v>
      </c>
      <c r="I32" s="805" t="str">
        <f t="shared" si="17"/>
        <v>-</v>
      </c>
      <c r="J32" s="805">
        <f t="shared" si="20"/>
        <v>0</v>
      </c>
      <c r="K32" s="118"/>
      <c r="L32" s="88"/>
      <c r="M32" s="88"/>
      <c r="N32" s="424"/>
      <c r="O32" s="424"/>
      <c r="P32" s="294"/>
      <c r="Q32" s="294"/>
      <c r="R32" s="294"/>
      <c r="U32" s="88"/>
      <c r="V32" s="88"/>
      <c r="W32" s="88"/>
      <c r="X32" s="88"/>
      <c r="Y32" s="88"/>
      <c r="Z32" s="88"/>
      <c r="AA32" s="88"/>
      <c r="AB32" s="88"/>
      <c r="AC32" s="88"/>
      <c r="AD32" s="88"/>
      <c r="AE32" s="88"/>
      <c r="AF32" s="88"/>
      <c r="AG32" s="88"/>
    </row>
    <row r="33" spans="3:33" ht="15" customHeight="1">
      <c r="C33" s="806" t="str">
        <f>IF(Indice_index!$Z$1=1,"Segurança social","Social security")</f>
        <v>Segurança social</v>
      </c>
      <c r="D33" s="804">
        <v>7.5739017299999993</v>
      </c>
      <c r="E33" s="804">
        <v>7.9340000000000002</v>
      </c>
      <c r="F33" s="804">
        <v>4.4721313799999995</v>
      </c>
      <c r="G33" s="804">
        <v>4.3519078799999997</v>
      </c>
      <c r="H33" s="805">
        <f t="shared" si="16"/>
        <v>54.851372321653635</v>
      </c>
      <c r="I33" s="805">
        <f t="shared" si="17"/>
        <v>-2.688281935044579</v>
      </c>
      <c r="J33" s="805">
        <f t="shared" si="20"/>
        <v>-2.0945243078814126E-3</v>
      </c>
      <c r="K33" s="118"/>
      <c r="L33" s="88"/>
      <c r="M33" s="88"/>
      <c r="N33" s="424"/>
      <c r="O33" s="424"/>
      <c r="P33" s="294"/>
      <c r="Q33" s="294"/>
      <c r="R33" s="294"/>
      <c r="U33" s="88"/>
      <c r="V33" s="88"/>
      <c r="W33" s="88"/>
      <c r="X33" s="88"/>
      <c r="Y33" s="88"/>
      <c r="Z33" s="88"/>
      <c r="AA33" s="88"/>
      <c r="AB33" s="88"/>
      <c r="AC33" s="88"/>
      <c r="AD33" s="88"/>
      <c r="AE33" s="88"/>
      <c r="AF33" s="88"/>
      <c r="AG33" s="88"/>
    </row>
    <row r="34" spans="3:33" ht="15" customHeight="1">
      <c r="C34" s="803" t="str">
        <f>IF(Indice_index!$Z$1=1,"Aquisição de bens e serviços","Purchase of goods and services")</f>
        <v>Aquisição de bens e serviços</v>
      </c>
      <c r="D34" s="804">
        <v>21.20756514</v>
      </c>
      <c r="E34" s="804">
        <v>33.057099999999998</v>
      </c>
      <c r="F34" s="804">
        <v>13.937663030000001</v>
      </c>
      <c r="G34" s="804">
        <v>13.52394471</v>
      </c>
      <c r="H34" s="805">
        <f t="shared" si="16"/>
        <v>40.910862447099113</v>
      </c>
      <c r="I34" s="805">
        <f t="shared" si="17"/>
        <v>-2.9683478436054638</v>
      </c>
      <c r="J34" s="805">
        <f t="shared" si="20"/>
        <v>-7.2077678478489164E-3</v>
      </c>
      <c r="K34" s="118"/>
      <c r="L34" s="88"/>
      <c r="M34" s="88"/>
      <c r="N34" s="424"/>
      <c r="O34" s="424"/>
      <c r="P34" s="294"/>
      <c r="Q34" s="294"/>
      <c r="R34" s="294"/>
      <c r="U34" s="88"/>
      <c r="V34" s="88"/>
      <c r="W34" s="88"/>
      <c r="X34" s="88"/>
      <c r="Y34" s="88"/>
      <c r="Z34" s="88"/>
      <c r="AA34" s="88"/>
      <c r="AB34" s="88"/>
      <c r="AC34" s="88"/>
      <c r="AD34" s="88"/>
      <c r="AE34" s="88"/>
      <c r="AF34" s="88"/>
      <c r="AG34" s="88"/>
    </row>
    <row r="35" spans="3:33" ht="15" customHeight="1">
      <c r="C35" s="803" t="str">
        <f>IF(Indice_index!$Z$1=1,"Juros e outros encargos","Interests and other charges")</f>
        <v>Juros e outros encargos</v>
      </c>
      <c r="D35" s="804">
        <v>0.47930070000000002</v>
      </c>
      <c r="E35" s="804">
        <v>2.2999999999999998</v>
      </c>
      <c r="F35" s="804">
        <v>0.31257098</v>
      </c>
      <c r="G35" s="804">
        <v>0.34086082000000001</v>
      </c>
      <c r="H35" s="805">
        <f t="shared" si="16"/>
        <v>14.820035652173916</v>
      </c>
      <c r="I35" s="805">
        <f t="shared" si="17"/>
        <v>9.0506930617807217</v>
      </c>
      <c r="J35" s="805">
        <f t="shared" si="20"/>
        <v>4.9286335488549259E-4</v>
      </c>
      <c r="K35" s="118"/>
      <c r="L35" s="88"/>
      <c r="M35" s="88"/>
      <c r="N35" s="424"/>
      <c r="O35" s="424"/>
      <c r="P35" s="294"/>
      <c r="Q35" s="294"/>
      <c r="R35" s="294"/>
      <c r="U35" s="88"/>
      <c r="V35" s="88"/>
      <c r="W35" s="88"/>
      <c r="X35" s="88"/>
      <c r="Y35" s="88"/>
      <c r="Z35" s="88"/>
      <c r="AA35" s="88"/>
      <c r="AB35" s="88"/>
      <c r="AC35" s="88"/>
      <c r="AD35" s="88"/>
      <c r="AE35" s="88"/>
      <c r="AF35" s="88"/>
      <c r="AG35" s="88"/>
    </row>
    <row r="36" spans="3:33" ht="15" customHeight="1">
      <c r="C36" s="803" t="str">
        <f>IF(Indice_index!$Z$1=1,"Transferências","Transfers")</f>
        <v>Transferências</v>
      </c>
      <c r="D36" s="804">
        <f t="shared" ref="D36:E36" si="21">+D38+D39+D40+D41</f>
        <v>10253.553413249998</v>
      </c>
      <c r="E36" s="804">
        <f t="shared" si="21"/>
        <v>10396.468199999999</v>
      </c>
      <c r="F36" s="804">
        <f t="shared" ref="F36:G36" si="22">+F38+F39+F40+F41</f>
        <v>5719.1727518399994</v>
      </c>
      <c r="G36" s="804">
        <f t="shared" si="22"/>
        <v>5819.4009731699989</v>
      </c>
      <c r="H36" s="805">
        <f t="shared" si="16"/>
        <v>55.974787410690098</v>
      </c>
      <c r="I36" s="805">
        <f t="shared" si="17"/>
        <v>1.752495084149253</v>
      </c>
      <c r="J36" s="805">
        <f t="shared" si="20"/>
        <v>1.7461681444260289</v>
      </c>
      <c r="K36" s="118"/>
      <c r="L36" s="88"/>
      <c r="M36" s="88"/>
      <c r="N36" s="424"/>
      <c r="O36" s="424"/>
      <c r="P36" s="294"/>
      <c r="Q36" s="294"/>
      <c r="R36" s="294"/>
      <c r="U36" s="88"/>
      <c r="V36" s="88"/>
      <c r="W36" s="88"/>
      <c r="X36" s="88"/>
      <c r="Y36" s="88"/>
      <c r="Z36" s="88"/>
      <c r="AA36" s="88"/>
      <c r="AB36" s="88"/>
      <c r="AC36" s="88"/>
      <c r="AD36" s="88"/>
      <c r="AE36" s="88"/>
      <c r="AF36" s="88"/>
      <c r="AG36" s="88"/>
    </row>
    <row r="37" spans="3:33" ht="15" customHeight="1">
      <c r="C37" s="806" t="str">
        <f>IF(Indice_index!$Z$1=1,"Pensões e abonos da responsabilidade de:","Liability for pensions and allowances from:")</f>
        <v>Pensões e abonos da responsabilidade de:</v>
      </c>
      <c r="D37" s="804"/>
      <c r="E37" s="804"/>
      <c r="F37" s="804"/>
      <c r="G37" s="804"/>
      <c r="H37" s="805"/>
      <c r="I37" s="805"/>
      <c r="J37" s="805">
        <f t="shared" si="20"/>
        <v>0</v>
      </c>
      <c r="K37" s="118"/>
      <c r="L37" s="88"/>
      <c r="M37" s="88"/>
      <c r="N37" s="424"/>
      <c r="O37" s="424"/>
      <c r="P37" s="294"/>
      <c r="Q37" s="294"/>
      <c r="R37" s="294"/>
      <c r="U37" s="88"/>
      <c r="V37" s="88"/>
      <c r="W37" s="88"/>
      <c r="X37" s="88"/>
      <c r="Y37" s="88"/>
      <c r="Z37" s="88"/>
      <c r="AA37" s="88"/>
      <c r="AB37" s="88"/>
      <c r="AC37" s="88"/>
      <c r="AD37" s="88"/>
      <c r="AE37" s="88"/>
      <c r="AF37" s="88"/>
      <c r="AG37" s="88"/>
    </row>
    <row r="38" spans="3:33" ht="15" customHeight="1">
      <c r="C38" s="809" t="str">
        <f>IF(Indice_index!$Z$1=1,"Caixa Geral de Aposentações","Public Servants Social Scheme")</f>
        <v>Caixa Geral de Aposentações</v>
      </c>
      <c r="D38" s="804">
        <v>9004.9276782299985</v>
      </c>
      <c r="E38" s="804">
        <v>9120.4658999999992</v>
      </c>
      <c r="F38" s="804">
        <v>5020.7606705600001</v>
      </c>
      <c r="G38" s="804">
        <v>5097.7139460299995</v>
      </c>
      <c r="H38" s="805">
        <f t="shared" si="16"/>
        <v>55.893130920318448</v>
      </c>
      <c r="I38" s="805">
        <f t="shared" si="17"/>
        <v>1.5327015271057782</v>
      </c>
      <c r="J38" s="805">
        <f t="shared" si="20"/>
        <v>1.3406738785928582</v>
      </c>
      <c r="K38" s="118"/>
      <c r="L38" s="88"/>
      <c r="M38" s="88"/>
      <c r="N38" s="424"/>
      <c r="O38" s="424"/>
      <c r="P38" s="294"/>
      <c r="Q38" s="294"/>
      <c r="R38" s="294"/>
      <c r="U38" s="88"/>
      <c r="V38" s="88"/>
      <c r="W38" s="88"/>
      <c r="X38" s="88"/>
      <c r="Y38" s="88"/>
      <c r="Z38" s="88"/>
      <c r="AA38" s="88"/>
      <c r="AB38" s="88"/>
      <c r="AC38" s="88"/>
      <c r="AD38" s="88"/>
      <c r="AE38" s="88"/>
      <c r="AF38" s="88"/>
      <c r="AG38" s="88"/>
    </row>
    <row r="39" spans="3:33" ht="15" customHeight="1">
      <c r="C39" s="809" t="str">
        <f>IF(Indice_index!$Z$1=1,"Orçamento do Estado","State Budget")</f>
        <v>Orçamento do Estado</v>
      </c>
      <c r="D39" s="804">
        <v>396.60070667000002</v>
      </c>
      <c r="E39" s="804">
        <v>411.79729999999995</v>
      </c>
      <c r="F39" s="804">
        <v>218.09964359</v>
      </c>
      <c r="G39" s="804">
        <v>229.72383974000002</v>
      </c>
      <c r="H39" s="805">
        <f t="shared" si="16"/>
        <v>55.785659532007628</v>
      </c>
      <c r="I39" s="805">
        <f t="shared" si="17"/>
        <v>5.3297639366399192</v>
      </c>
      <c r="J39" s="805">
        <f t="shared" si="20"/>
        <v>0.20251582590555595</v>
      </c>
      <c r="K39" s="118"/>
      <c r="L39" s="88"/>
      <c r="M39" s="88"/>
      <c r="N39" s="424"/>
      <c r="O39" s="424"/>
      <c r="P39" s="294"/>
      <c r="Q39" s="294"/>
      <c r="R39" s="294"/>
      <c r="U39" s="88"/>
      <c r="V39" s="88"/>
      <c r="W39" s="88"/>
      <c r="X39" s="88"/>
      <c r="Y39" s="88"/>
      <c r="Z39" s="88"/>
      <c r="AA39" s="88"/>
      <c r="AB39" s="88"/>
      <c r="AC39" s="88"/>
      <c r="AD39" s="88"/>
      <c r="AE39" s="88"/>
      <c r="AF39" s="88"/>
      <c r="AG39" s="88"/>
    </row>
    <row r="40" spans="3:33" ht="15" customHeight="1">
      <c r="C40" s="809" t="str">
        <f>IF(Indice_index!$Z$1=1,"Outras entidades","Other entities")</f>
        <v>Outras entidades</v>
      </c>
      <c r="D40" s="804">
        <v>660.48834474</v>
      </c>
      <c r="E40" s="804">
        <v>669.56919999999991</v>
      </c>
      <c r="F40" s="804">
        <v>372.04493759000002</v>
      </c>
      <c r="G40" s="804">
        <v>378.69020869999997</v>
      </c>
      <c r="H40" s="805">
        <f t="shared" si="16"/>
        <v>56.557292166366082</v>
      </c>
      <c r="I40" s="805">
        <f t="shared" si="17"/>
        <v>1.7861474350507511</v>
      </c>
      <c r="J40" s="805">
        <f t="shared" si="20"/>
        <v>0.11577338766844271</v>
      </c>
      <c r="K40" s="118"/>
      <c r="L40" s="88"/>
      <c r="M40" s="88"/>
      <c r="N40" s="424"/>
      <c r="O40" s="424"/>
      <c r="P40" s="294"/>
      <c r="Q40" s="294"/>
      <c r="R40" s="294"/>
      <c r="U40" s="88"/>
      <c r="V40" s="88"/>
      <c r="W40" s="88"/>
      <c r="X40" s="88"/>
      <c r="Y40" s="88"/>
      <c r="Z40" s="88"/>
      <c r="AA40" s="88"/>
      <c r="AB40" s="88"/>
      <c r="AC40" s="88"/>
      <c r="AD40" s="88"/>
      <c r="AE40" s="88"/>
      <c r="AF40" s="88"/>
      <c r="AG40" s="88"/>
    </row>
    <row r="41" spans="3:33" ht="15" customHeight="1">
      <c r="C41" s="806" t="str">
        <f>IF(Indice_index!$Z$1=1,"Outras transferências correntes","Other current transfers")</f>
        <v>Outras transferências correntes</v>
      </c>
      <c r="D41" s="804">
        <v>191.53668360999757</v>
      </c>
      <c r="E41" s="804">
        <v>194.63580000000024</v>
      </c>
      <c r="F41" s="813">
        <v>108.26750010000012</v>
      </c>
      <c r="G41" s="813">
        <v>113.27297870000029</v>
      </c>
      <c r="H41" s="805">
        <f t="shared" si="16"/>
        <v>58.197401865432852</v>
      </c>
      <c r="I41" s="805">
        <f t="shared" si="17"/>
        <v>4.6232512945961783</v>
      </c>
      <c r="J41" s="805">
        <f t="shared" si="20"/>
        <v>8.7205052259172328E-2</v>
      </c>
      <c r="K41" s="118"/>
      <c r="L41" s="88"/>
      <c r="M41" s="88"/>
      <c r="N41" s="424"/>
      <c r="O41" s="424"/>
      <c r="P41" s="294"/>
      <c r="Q41" s="294"/>
      <c r="R41" s="294"/>
      <c r="U41" s="88"/>
      <c r="V41" s="88"/>
      <c r="W41" s="88"/>
      <c r="X41" s="88"/>
      <c r="Y41" s="88"/>
      <c r="Z41" s="88"/>
      <c r="AA41" s="88"/>
      <c r="AB41" s="88"/>
      <c r="AC41" s="88"/>
      <c r="AD41" s="88"/>
      <c r="AE41" s="88"/>
      <c r="AF41" s="88"/>
      <c r="AG41" s="88"/>
    </row>
    <row r="42" spans="3:33" ht="15" customHeight="1">
      <c r="C42" s="803" t="str">
        <f>IF(Indice_index!$Z$1=1,"Outras despesas correntes","Other current expenditure")</f>
        <v>Outras despesas correntes</v>
      </c>
      <c r="D42" s="804">
        <v>2.7626589199999998</v>
      </c>
      <c r="E42" s="804">
        <v>3.7</v>
      </c>
      <c r="F42" s="804">
        <v>1.9542282399999999</v>
      </c>
      <c r="G42" s="804">
        <v>1.11051075</v>
      </c>
      <c r="H42" s="805">
        <f t="shared" si="16"/>
        <v>30.013804054054049</v>
      </c>
      <c r="I42" s="805">
        <f t="shared" si="17"/>
        <v>-43.173948299918131</v>
      </c>
      <c r="J42" s="805">
        <f t="shared" si="20"/>
        <v>-1.4699179376658435E-2</v>
      </c>
      <c r="K42" s="118"/>
      <c r="L42" s="88"/>
      <c r="M42" s="88"/>
      <c r="N42" s="424"/>
      <c r="O42" s="424"/>
      <c r="P42" s="294"/>
      <c r="Q42" s="294"/>
      <c r="R42" s="294"/>
      <c r="U42" s="88"/>
      <c r="V42" s="88"/>
      <c r="W42" s="88"/>
      <c r="X42" s="88"/>
      <c r="Y42" s="88"/>
      <c r="Z42" s="88"/>
      <c r="AA42" s="88"/>
      <c r="AB42" s="88"/>
      <c r="AC42" s="88"/>
      <c r="AD42" s="88"/>
      <c r="AE42" s="88"/>
      <c r="AF42" s="88"/>
      <c r="AG42" s="88"/>
    </row>
    <row r="43" spans="3:33" s="291" customFormat="1" ht="15" customHeight="1">
      <c r="C43" s="801" t="str">
        <f>IF(Indice_index!$Z$1=1,"Despesa de Capital","Capital expenditure")</f>
        <v>Despesa de Capital</v>
      </c>
      <c r="D43" s="801">
        <v>0</v>
      </c>
      <c r="E43" s="801">
        <v>0</v>
      </c>
      <c r="F43" s="801">
        <v>0</v>
      </c>
      <c r="G43" s="801">
        <v>0</v>
      </c>
      <c r="H43" s="802" t="str">
        <f t="shared" si="16"/>
        <v>-</v>
      </c>
      <c r="I43" s="802" t="str">
        <f t="shared" si="17"/>
        <v>-</v>
      </c>
      <c r="J43" s="802">
        <f t="shared" si="20"/>
        <v>0</v>
      </c>
      <c r="L43" s="294"/>
      <c r="M43" s="294"/>
      <c r="N43" s="424"/>
      <c r="O43" s="424"/>
      <c r="P43" s="294"/>
      <c r="Q43" s="294"/>
      <c r="R43" s="294"/>
      <c r="S43" s="294"/>
      <c r="T43" s="294"/>
      <c r="U43" s="294"/>
      <c r="V43" s="294"/>
      <c r="W43" s="294"/>
      <c r="X43" s="294"/>
      <c r="Y43" s="294"/>
      <c r="Z43" s="294"/>
      <c r="AA43" s="294"/>
      <c r="AB43" s="294"/>
      <c r="AC43" s="294"/>
      <c r="AD43" s="294"/>
      <c r="AE43" s="294"/>
      <c r="AF43" s="294"/>
      <c r="AG43" s="294"/>
    </row>
    <row r="44" spans="3:33" ht="4.5" customHeight="1">
      <c r="C44" s="812"/>
      <c r="D44" s="812"/>
      <c r="E44" s="812"/>
      <c r="F44" s="812"/>
      <c r="G44" s="812"/>
      <c r="H44" s="814"/>
      <c r="I44" s="814"/>
      <c r="J44" s="814"/>
      <c r="K44" s="118"/>
      <c r="L44" s="88"/>
      <c r="M44" s="88"/>
      <c r="N44" s="424"/>
      <c r="O44" s="424"/>
      <c r="P44" s="294"/>
      <c r="Q44" s="294"/>
      <c r="R44" s="294"/>
      <c r="U44" s="88"/>
      <c r="V44" s="88"/>
      <c r="W44" s="88"/>
      <c r="X44" s="88"/>
      <c r="Y44" s="88"/>
      <c r="Z44" s="88"/>
      <c r="AA44" s="88"/>
      <c r="AB44" s="88"/>
      <c r="AC44" s="88"/>
      <c r="AD44" s="88"/>
      <c r="AE44" s="88"/>
      <c r="AF44" s="88"/>
      <c r="AG44" s="88"/>
    </row>
    <row r="45" spans="3:33" s="291" customFormat="1" ht="15" customHeight="1">
      <c r="C45" s="748" t="str">
        <f>IF(Indice_index!$Z$1=1,"Despesa efectiva","Effective expenditure")</f>
        <v>Despesa efectiva</v>
      </c>
      <c r="D45" s="748">
        <f t="shared" ref="D45:E45" si="23">+D29+D43</f>
        <v>10285.655430229999</v>
      </c>
      <c r="E45" s="748">
        <f t="shared" si="23"/>
        <v>10443.5705</v>
      </c>
      <c r="F45" s="748">
        <f t="shared" ref="F45:G45" si="24">+F29+F43</f>
        <v>5739.8951899299991</v>
      </c>
      <c r="G45" s="748">
        <f t="shared" si="24"/>
        <v>5838.7360084199991</v>
      </c>
      <c r="H45" s="811">
        <f t="shared" si="16"/>
        <v>55.907469657240306</v>
      </c>
      <c r="I45" s="811">
        <f t="shared" si="13"/>
        <v>1.7219969218846547</v>
      </c>
      <c r="J45" s="811"/>
      <c r="L45" s="294"/>
      <c r="M45" s="294"/>
      <c r="N45" s="424"/>
      <c r="O45" s="424"/>
      <c r="P45" s="294"/>
      <c r="Q45" s="294"/>
      <c r="R45" s="294"/>
      <c r="U45" s="294"/>
      <c r="V45" s="294"/>
      <c r="W45" s="294"/>
      <c r="X45" s="294"/>
      <c r="Y45" s="294"/>
      <c r="Z45" s="294"/>
      <c r="AA45" s="294"/>
      <c r="AB45" s="294"/>
      <c r="AC45" s="294"/>
      <c r="AD45" s="294"/>
      <c r="AE45" s="294"/>
      <c r="AF45" s="294"/>
      <c r="AG45" s="294"/>
    </row>
    <row r="46" spans="3:33" ht="4.5" customHeight="1">
      <c r="C46" s="804"/>
      <c r="D46" s="804"/>
      <c r="E46" s="804"/>
      <c r="F46" s="804"/>
      <c r="G46" s="804"/>
      <c r="H46" s="804"/>
      <c r="I46" s="804"/>
      <c r="J46" s="804"/>
      <c r="K46" s="118"/>
      <c r="L46" s="88"/>
      <c r="M46" s="88"/>
      <c r="N46" s="424"/>
      <c r="O46" s="424"/>
      <c r="P46" s="294"/>
      <c r="Q46" s="294"/>
      <c r="R46" s="294"/>
      <c r="U46" s="88"/>
      <c r="V46" s="88"/>
      <c r="W46" s="88"/>
      <c r="X46" s="88"/>
      <c r="Y46" s="88"/>
      <c r="Z46" s="88"/>
      <c r="AA46" s="88"/>
      <c r="AB46" s="88"/>
      <c r="AC46" s="88"/>
      <c r="AD46" s="88"/>
      <c r="AE46" s="88"/>
      <c r="AF46" s="88"/>
      <c r="AG46" s="88"/>
    </row>
    <row r="47" spans="3:33" s="291" customFormat="1" ht="15" customHeight="1">
      <c r="C47" s="748" t="str">
        <f>IF(Indice_index!$Z$1=1,"Saldo global","Overall balance")</f>
        <v>Saldo global</v>
      </c>
      <c r="D47" s="748">
        <f t="shared" ref="D47:E47" si="25">+D27-D45</f>
        <v>80.717078220000985</v>
      </c>
      <c r="E47" s="748">
        <f t="shared" si="25"/>
        <v>-91.000520000001416</v>
      </c>
      <c r="F47" s="748">
        <f t="shared" ref="F47:G47" si="26">+F27-F45</f>
        <v>218.63583143000051</v>
      </c>
      <c r="G47" s="748">
        <f t="shared" si="26"/>
        <v>-19.062039200000072</v>
      </c>
      <c r="H47" s="748"/>
      <c r="I47" s="748"/>
      <c r="J47" s="815"/>
      <c r="L47" s="294"/>
      <c r="M47" s="294"/>
      <c r="N47" s="424"/>
      <c r="O47" s="424"/>
      <c r="P47" s="294"/>
      <c r="Q47" s="294"/>
      <c r="R47" s="294"/>
      <c r="U47" s="294"/>
      <c r="V47" s="294"/>
      <c r="W47" s="294"/>
      <c r="X47" s="294"/>
      <c r="Y47" s="294"/>
      <c r="Z47" s="294"/>
      <c r="AA47" s="294"/>
      <c r="AB47" s="294"/>
      <c r="AC47" s="294"/>
      <c r="AD47" s="294"/>
      <c r="AE47" s="294"/>
      <c r="AF47" s="294"/>
      <c r="AG47" s="294"/>
    </row>
    <row r="48" spans="3:33" ht="4.5" customHeight="1">
      <c r="C48" s="816"/>
      <c r="D48" s="799"/>
      <c r="E48" s="799"/>
      <c r="F48" s="799"/>
      <c r="G48" s="799"/>
      <c r="H48" s="817"/>
      <c r="I48" s="817"/>
      <c r="J48" s="817"/>
      <c r="K48" s="118"/>
      <c r="L48" s="88"/>
      <c r="M48" s="88"/>
      <c r="N48" s="424"/>
      <c r="O48" s="424"/>
      <c r="P48" s="294"/>
      <c r="Q48" s="294"/>
      <c r="R48" s="294"/>
      <c r="U48" s="88"/>
      <c r="V48" s="88"/>
      <c r="W48" s="88"/>
      <c r="X48" s="88"/>
      <c r="Y48" s="88"/>
      <c r="Z48" s="88"/>
      <c r="AA48" s="88"/>
      <c r="AB48" s="88"/>
      <c r="AC48" s="88"/>
      <c r="AD48" s="88"/>
      <c r="AE48" s="88"/>
      <c r="AF48" s="88"/>
      <c r="AG48" s="88"/>
    </row>
    <row r="49" spans="3:33" ht="15" customHeight="1">
      <c r="C49" s="804" t="str">
        <f>IF(Indice_index!$Z$1=1,"Ativos financeiros líquidos de reembolsos","Financial assets net of reimbursements")</f>
        <v>Ativos financeiros líquidos de reembolsos</v>
      </c>
      <c r="D49" s="804">
        <v>217.27286289000006</v>
      </c>
      <c r="E49" s="804">
        <v>-91.000519999999995</v>
      </c>
      <c r="F49" s="804">
        <v>-80.352852350000006</v>
      </c>
      <c r="G49" s="804">
        <v>-388.48737567999996</v>
      </c>
      <c r="H49" s="805"/>
      <c r="I49" s="805"/>
      <c r="J49" s="818"/>
      <c r="K49" s="118"/>
      <c r="L49" s="88"/>
      <c r="M49" s="88"/>
      <c r="N49" s="424"/>
      <c r="O49" s="424"/>
      <c r="P49" s="294"/>
      <c r="Q49" s="294"/>
      <c r="R49" s="294"/>
      <c r="U49" s="88"/>
      <c r="V49" s="88"/>
      <c r="W49" s="88"/>
      <c r="X49" s="88"/>
      <c r="Y49" s="88"/>
      <c r="Z49" s="88"/>
      <c r="AA49" s="88"/>
      <c r="AB49" s="88"/>
      <c r="AC49" s="88"/>
      <c r="AD49" s="88"/>
      <c r="AE49" s="88"/>
      <c r="AF49" s="88"/>
      <c r="AG49" s="88"/>
    </row>
    <row r="50" spans="3:33" ht="15" customHeight="1">
      <c r="C50" s="804" t="str">
        <f>IF(Indice_index!$Z$1=1,"Passivos financeiros líquidos de amortizações","Financial liabilities net of amortizations")</f>
        <v>Passivos financeiros líquidos de amortizações</v>
      </c>
      <c r="D50" s="804">
        <v>0</v>
      </c>
      <c r="E50" s="804">
        <v>0</v>
      </c>
      <c r="F50" s="804">
        <v>0</v>
      </c>
      <c r="G50" s="804">
        <v>0</v>
      </c>
      <c r="H50" s="805"/>
      <c r="I50" s="805"/>
      <c r="J50" s="818"/>
      <c r="K50" s="118"/>
      <c r="L50" s="88"/>
      <c r="M50" s="88"/>
      <c r="N50" s="424"/>
      <c r="O50" s="424"/>
      <c r="P50" s="294"/>
      <c r="Q50" s="294"/>
      <c r="R50" s="294"/>
      <c r="U50" s="88"/>
      <c r="V50" s="88"/>
      <c r="W50" s="88"/>
      <c r="X50" s="88"/>
      <c r="Y50" s="88"/>
      <c r="Z50" s="88"/>
      <c r="AA50" s="88"/>
      <c r="AB50" s="88"/>
      <c r="AC50" s="88"/>
      <c r="AD50" s="88"/>
      <c r="AE50" s="88"/>
      <c r="AF50" s="88"/>
      <c r="AG50" s="88"/>
    </row>
    <row r="51" spans="3:33" ht="15" customHeight="1">
      <c r="C51" s="800" t="str">
        <f>IF(Indice_index!$Z$1=1,"Poupança (+) / Utilização (-) de saldo da gerência anterior","Saving (+) / Usage (-) of balance from previous management")</f>
        <v>Poupança (+) / Utilização (-) de saldo da gerência anterior</v>
      </c>
      <c r="D51" s="800">
        <f t="shared" ref="D51:E51" si="27">D47-D49+D50</f>
        <v>-136.55578466999907</v>
      </c>
      <c r="E51" s="800">
        <f t="shared" si="27"/>
        <v>-1.4210854715202004E-12</v>
      </c>
      <c r="F51" s="800">
        <f t="shared" ref="F51:G51" si="28">F47-F49+F50</f>
        <v>298.98868378000054</v>
      </c>
      <c r="G51" s="800">
        <f t="shared" si="28"/>
        <v>369.42533647999988</v>
      </c>
      <c r="H51" s="819"/>
      <c r="I51" s="819"/>
      <c r="J51" s="800"/>
      <c r="K51" s="118"/>
      <c r="L51" s="88"/>
      <c r="M51" s="88"/>
      <c r="N51" s="424"/>
      <c r="O51" s="424"/>
      <c r="P51" s="294"/>
      <c r="Q51" s="294"/>
      <c r="R51" s="294"/>
      <c r="U51" s="88"/>
      <c r="V51" s="88"/>
      <c r="W51" s="88"/>
      <c r="X51" s="88"/>
      <c r="Y51" s="88"/>
      <c r="Z51" s="88"/>
      <c r="AA51" s="88"/>
      <c r="AB51" s="88"/>
      <c r="AC51" s="88"/>
      <c r="AD51" s="88"/>
      <c r="AE51" s="88"/>
      <c r="AF51" s="88"/>
      <c r="AG51" s="88"/>
    </row>
    <row r="52" spans="3:33" ht="4.5" customHeight="1">
      <c r="C52" s="804"/>
      <c r="D52" s="804"/>
      <c r="E52" s="804"/>
      <c r="F52" s="804"/>
      <c r="G52" s="804"/>
      <c r="H52" s="818"/>
      <c r="I52" s="818"/>
      <c r="J52" s="818"/>
      <c r="K52" s="110"/>
      <c r="L52" s="88"/>
      <c r="M52" s="88"/>
      <c r="N52" s="88"/>
      <c r="O52" s="88"/>
      <c r="U52" s="88"/>
      <c r="V52" s="88"/>
      <c r="W52" s="88"/>
      <c r="X52" s="88"/>
      <c r="Y52" s="88"/>
      <c r="Z52" s="88"/>
      <c r="AA52" s="88"/>
      <c r="AB52" s="88"/>
      <c r="AC52" s="88"/>
      <c r="AD52" s="88"/>
      <c r="AE52" s="88"/>
      <c r="AF52" s="88"/>
      <c r="AG52" s="88"/>
    </row>
    <row r="53" spans="3:33" ht="15" customHeight="1">
      <c r="C53" s="782" t="str">
        <f>IF(Indice_index!$Z$1=1,"Notas:","Notes:")</f>
        <v>Notas:</v>
      </c>
      <c r="D53" s="782"/>
      <c r="E53" s="782"/>
      <c r="F53" s="804"/>
      <c r="G53" s="804"/>
      <c r="H53" s="818"/>
      <c r="I53" s="818"/>
      <c r="J53" s="818"/>
      <c r="K53" s="110"/>
      <c r="L53" s="88"/>
      <c r="M53" s="88"/>
      <c r="N53" s="88"/>
      <c r="O53" s="88"/>
      <c r="U53" s="88"/>
      <c r="V53" s="88"/>
      <c r="W53" s="88"/>
      <c r="X53" s="88"/>
      <c r="Y53" s="88"/>
      <c r="Z53" s="88"/>
      <c r="AA53" s="88"/>
      <c r="AB53" s="88"/>
      <c r="AC53" s="88"/>
      <c r="AD53" s="88"/>
      <c r="AE53" s="88"/>
      <c r="AF53" s="88"/>
      <c r="AG53" s="88"/>
    </row>
    <row r="54" spans="3:33" s="22" customFormat="1" ht="15" customHeight="1">
      <c r="C54" s="1691" t="str">
        <f>+'5 - Conta AC + SS'!$C$64</f>
        <v>Os dados de 2021 são mensalmente revistos e atualizados face ao publicado nas Sínteses de Execução Orçamental de 2021.</v>
      </c>
      <c r="D54" s="1691"/>
      <c r="E54" s="1691"/>
      <c r="F54" s="1691"/>
      <c r="G54" s="1691"/>
      <c r="H54" s="1691"/>
      <c r="I54" s="1691"/>
      <c r="J54" s="1691"/>
      <c r="K54" s="63"/>
      <c r="R54" s="24"/>
      <c r="S54" s="24"/>
    </row>
    <row r="55" spans="3:33" ht="4.5" customHeight="1">
      <c r="C55" s="804"/>
      <c r="D55" s="804"/>
      <c r="E55" s="804"/>
      <c r="F55" s="804"/>
      <c r="G55" s="804"/>
      <c r="H55" s="818"/>
      <c r="I55" s="818"/>
      <c r="J55" s="818"/>
      <c r="K55" s="110"/>
      <c r="L55" s="88"/>
      <c r="M55" s="88"/>
      <c r="N55" s="88"/>
      <c r="O55" s="88"/>
      <c r="U55" s="88"/>
      <c r="V55" s="88"/>
      <c r="W55" s="88"/>
      <c r="X55" s="88"/>
      <c r="Y55" s="88"/>
      <c r="Z55" s="88"/>
      <c r="AA55" s="88"/>
      <c r="AB55" s="88"/>
      <c r="AC55" s="88"/>
      <c r="AD55" s="88"/>
      <c r="AE55" s="88"/>
      <c r="AF55" s="88"/>
      <c r="AG55" s="88"/>
    </row>
    <row r="56" spans="3:33" ht="15" customHeight="1">
      <c r="C56" s="786" t="str">
        <f>IF(Indice_index!$Z$1=1,"Fonte: Direção-Geral do Orçamento","Source: Budget General Directorate")</f>
        <v>Fonte: Direção-Geral do Orçamento</v>
      </c>
      <c r="D56" s="786"/>
      <c r="E56" s="786"/>
      <c r="G56" s="820"/>
    </row>
    <row r="59" spans="3:33">
      <c r="F59" s="88"/>
      <c r="G59" s="122"/>
    </row>
    <row r="60" spans="3:33">
      <c r="F60" s="88"/>
      <c r="G60" s="122"/>
    </row>
    <row r="61" spans="3:33">
      <c r="F61" s="88"/>
      <c r="G61" s="122"/>
    </row>
    <row r="97" spans="3:11" ht="12" customHeight="1">
      <c r="C97" s="117"/>
      <c r="D97" s="454"/>
      <c r="E97" s="696"/>
      <c r="F97" s="117"/>
      <c r="G97" s="117"/>
      <c r="H97" s="698"/>
      <c r="I97" s="117"/>
      <c r="J97" s="377"/>
      <c r="K97" s="117"/>
    </row>
  </sheetData>
  <mergeCells count="3">
    <mergeCell ref="F6:G6"/>
    <mergeCell ref="I6:J6"/>
    <mergeCell ref="C54:J54"/>
  </mergeCells>
  <printOptions horizontalCentered="1"/>
  <pageMargins left="0.70866141732283472" right="0.70866141732283472" top="0.74803149606299213" bottom="0.74803149606299213" header="0.74803149606299213" footer="0.35433070866141736"/>
  <pageSetup paperSize="9" scale="62" orientation="portrait" r:id="rId1"/>
  <headerFooter differentOddEven="1">
    <oddFooter>&amp;R&amp;G</oddFooter>
    <evenFooter>&amp;L&amp;G</evenFooter>
  </headerFooter>
  <ignoredErrors>
    <ignoredError sqref="J5 J6 G6 E6:F6 I7:J7 I6 D6" unlockedFormula="1"/>
    <ignoredError sqref="D7:E7 F7:G7" numberStoredAsText="1" unlockedFormula="1"/>
    <ignoredError sqref="H7" numberStoredAsText="1"/>
  </ignoredErrors>
  <drawing r:id="rId2"/>
  <legacyDrawingHF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Folha16">
    <pageSetUpPr fitToPage="1"/>
  </sheetPr>
  <dimension ref="B1:R113"/>
  <sheetViews>
    <sheetView showGridLines="0" zoomScaleNormal="100" zoomScaleSheetLayoutView="100" workbookViewId="0">
      <selection activeCell="B2" sqref="B2"/>
    </sheetView>
  </sheetViews>
  <sheetFormatPr defaultColWidth="9.140625" defaultRowHeight="11.25"/>
  <cols>
    <col min="1" max="1" width="2.140625" style="124" customWidth="1"/>
    <col min="2" max="2" width="4.42578125" style="124" customWidth="1"/>
    <col min="3" max="3" width="63.42578125" style="124" customWidth="1"/>
    <col min="4" max="5" width="9.42578125" style="124" customWidth="1"/>
    <col min="6" max="7" width="9.42578125" style="125" customWidth="1"/>
    <col min="8" max="9" width="9.42578125" style="124" customWidth="1"/>
    <col min="10" max="10" width="8.5703125" style="124" customWidth="1"/>
    <col min="11" max="11" width="14.42578125" style="124" bestFit="1" customWidth="1"/>
    <col min="12" max="12" width="11.5703125" style="124" customWidth="1"/>
    <col min="13" max="15" width="8.5703125" style="124" customWidth="1"/>
    <col min="16" max="16384" width="9.140625" style="124"/>
  </cols>
  <sheetData>
    <row r="1" spans="2:15" s="50" customFormat="1" ht="15" customHeight="1">
      <c r="B1" s="49"/>
      <c r="C1" s="49"/>
      <c r="D1" s="49"/>
      <c r="E1" s="49"/>
      <c r="F1" s="123"/>
    </row>
    <row r="2" spans="2:15" ht="24" customHeight="1">
      <c r="B2" s="8"/>
      <c r="C2" s="51" t="str">
        <f>IF(Indice_index!$Z$1=1,"12 - Execução Orçamental da Segurança Social","12 - Social Security Budget Execution")</f>
        <v>12 - Execução Orçamental da Segurança Social</v>
      </c>
      <c r="D2" s="51"/>
      <c r="E2" s="51"/>
      <c r="F2" s="51"/>
      <c r="G2" s="51"/>
      <c r="H2" s="51"/>
      <c r="I2" s="51"/>
    </row>
    <row r="3" spans="2:15" ht="15" customHeight="1">
      <c r="H3" s="126"/>
      <c r="I3" s="126"/>
    </row>
    <row r="4" spans="2:15" ht="15" customHeight="1">
      <c r="H4" s="126"/>
      <c r="I4" s="126"/>
      <c r="J4" s="127"/>
    </row>
    <row r="5" spans="2:15" s="295" customFormat="1" ht="15" customHeight="1">
      <c r="C5" s="915" t="str">
        <f>+'5 - Conta AC + SS'!C5</f>
        <v>Período: janeiro a julho</v>
      </c>
      <c r="D5" s="915"/>
      <c r="E5" s="915"/>
      <c r="F5" s="961"/>
      <c r="G5" s="961"/>
      <c r="H5" s="962"/>
      <c r="I5" s="963" t="str">
        <f>IF(Indice_index!$Z$1=1,"€ Milhões","€ Millions")</f>
        <v>€ Milhões</v>
      </c>
    </row>
    <row r="6" spans="2:15" s="128" customFormat="1" ht="26.25" customHeight="1">
      <c r="C6" s="964"/>
      <c r="D6" s="920" t="str">
        <f>IF(Indice_index!$Z$1=1,"CGE","Final execution")</f>
        <v>CGE</v>
      </c>
      <c r="E6" s="920" t="str">
        <f>IF(Indice_index!$Z$1=1,"Orçamento Inicial","Budget")</f>
        <v>Orçamento Inicial</v>
      </c>
      <c r="F6" s="1717" t="str">
        <f>IF(Indice_index!$Z$1=1,"Execução Acumulada","Accumulated Execution")</f>
        <v>Execução Acumulada</v>
      </c>
      <c r="G6" s="1717"/>
      <c r="H6" s="1718" t="str">
        <f>IF(Indice_index!$Z$1=1,"Variação Homóloga Acumulada","YOY Change Rate")</f>
        <v>Variação Homóloga Acumulada</v>
      </c>
      <c r="I6" s="1719"/>
      <c r="K6" s="590"/>
    </row>
    <row r="7" spans="2:15" ht="33" customHeight="1">
      <c r="C7" s="965"/>
      <c r="D7" s="922" t="s">
        <v>67</v>
      </c>
      <c r="E7" s="922" t="s">
        <v>74</v>
      </c>
      <c r="F7" s="923" t="s">
        <v>67</v>
      </c>
      <c r="G7" s="923" t="s">
        <v>74</v>
      </c>
      <c r="H7" s="924" t="str">
        <f>IF(Indice_index!$Z$1=1,"Relativa (%)","Relative change (%)")</f>
        <v>Relativa (%)</v>
      </c>
      <c r="I7" s="925" t="str">
        <f>IF(Indice_index!$Z$1=1,"Contributo VHA (p.p.)","YOY Change Rate Contrib. (p.p.)")</f>
        <v>Contributo VHA (p.p.)</v>
      </c>
    </row>
    <row r="8" spans="2:15" ht="4.5" customHeight="1">
      <c r="C8" s="950"/>
      <c r="D8" s="950"/>
      <c r="E8" s="950"/>
      <c r="F8" s="966"/>
      <c r="G8" s="966"/>
      <c r="H8" s="950"/>
      <c r="I8" s="966"/>
      <c r="K8" s="97"/>
    </row>
    <row r="9" spans="2:15" s="296" customFormat="1" ht="15" customHeight="1">
      <c r="C9" s="967" t="str">
        <f>IF(Indice_index!$Z$1=1,"Receita corrente","Current revenue")</f>
        <v>Receita corrente</v>
      </c>
      <c r="D9" s="968">
        <f t="shared" ref="D9:E9" si="0">+SUM(D10:D12)+SUM(D23:D27)</f>
        <v>33565.62642660999</v>
      </c>
      <c r="E9" s="968">
        <f t="shared" si="0"/>
        <v>33601.611486000002</v>
      </c>
      <c r="F9" s="968">
        <f t="shared" ref="F9:G9" si="1">+SUM(F10:F12)+SUM(F23:F27)</f>
        <v>18146.202354590001</v>
      </c>
      <c r="G9" s="968">
        <f t="shared" si="1"/>
        <v>19329.98311592</v>
      </c>
      <c r="H9" s="969">
        <f>IF(IFERROR((G9-F9)/F9*100,"")&gt;500,"-",IFERROR((G9-F9)/F9*100,""))</f>
        <v>6.523573022046496</v>
      </c>
      <c r="I9" s="969">
        <f>IFERROR((G9-F9)/$F$32*100,"-")</f>
        <v>6.5234069102130823</v>
      </c>
      <c r="J9" s="297"/>
      <c r="K9" s="297"/>
      <c r="L9" s="661"/>
      <c r="N9" s="465"/>
      <c r="O9" s="465"/>
    </row>
    <row r="10" spans="2:15" s="128" customFormat="1" ht="15" customHeight="1">
      <c r="C10" s="970" t="str">
        <f>IF(Indice_index!$Z$1=1,"Impostos Indiretos","Indirect taxes")</f>
        <v>Impostos Indiretos</v>
      </c>
      <c r="D10" s="951">
        <v>212.25092951000005</v>
      </c>
      <c r="E10" s="951">
        <v>239.990139</v>
      </c>
      <c r="F10" s="951">
        <v>121.91703039999999</v>
      </c>
      <c r="G10" s="951">
        <v>132.82032068999999</v>
      </c>
      <c r="H10" s="957">
        <f>IF(IFERROR((G10-F10)/F10*100,"")&gt;500,"-",IFERROR((G10-F10)/F10*100,""))</f>
        <v>8.9432052718370691</v>
      </c>
      <c r="I10" s="957">
        <f>IFERROR((G10-F10)/$F$32*100,"-")</f>
        <v>6.0084266905920308E-2</v>
      </c>
      <c r="J10" s="218"/>
      <c r="K10" s="218"/>
      <c r="L10" s="218"/>
      <c r="N10" s="465"/>
      <c r="O10" s="465"/>
    </row>
    <row r="11" spans="2:15" ht="15" customHeight="1">
      <c r="C11" s="956" t="str">
        <f>IF(Indice_index!$Z$1=1,"Contribuições e quotizações","Contributions and membership fees")</f>
        <v>Contribuições e quotizações</v>
      </c>
      <c r="D11" s="951">
        <v>19953.700139089997</v>
      </c>
      <c r="E11" s="951">
        <v>21165.819378</v>
      </c>
      <c r="F11" s="951">
        <v>10998.416102720001</v>
      </c>
      <c r="G11" s="951">
        <v>12372.2601106</v>
      </c>
      <c r="H11" s="957">
        <f>IF(IFERROR((G11-F11)/F11*100,"")&gt;500,"-",IFERROR((G11-F11)/F11*100,""))</f>
        <v>12.491289609785143</v>
      </c>
      <c r="I11" s="957">
        <f>IFERROR((G11-F11)/$F$32*100,"-")</f>
        <v>7.5707798160954187</v>
      </c>
      <c r="J11" s="218"/>
      <c r="K11" s="218"/>
      <c r="L11" s="656"/>
      <c r="N11" s="465"/>
      <c r="O11" s="465"/>
    </row>
    <row r="12" spans="2:15" ht="15" customHeight="1">
      <c r="C12" s="956" t="str">
        <f>IF(Indice_index!$Z$1=1,"Transferências correntes da Administração Central","Central Government current transfers")</f>
        <v>Transferências correntes da Administração Central</v>
      </c>
      <c r="D12" s="951">
        <v>10871.419801169997</v>
      </c>
      <c r="E12" s="951">
        <v>9566.7203549999995</v>
      </c>
      <c r="F12" s="951">
        <v>5591.4121743500009</v>
      </c>
      <c r="G12" s="951">
        <v>5633.6967874600014</v>
      </c>
      <c r="H12" s="957">
        <f t="shared" ref="H12:H30" si="2">IF(IFERROR((G12-F12)/F12*100,"")&gt;500,"-",IFERROR((G12-F12)/F12*100,""))</f>
        <v>0.75624210470436348</v>
      </c>
      <c r="I12" s="957">
        <f>IFERROR((G12-F12)/$F$32*100,"-")</f>
        <v>0.23301589818671559</v>
      </c>
      <c r="J12" s="218"/>
      <c r="K12" s="218"/>
      <c r="L12" s="218"/>
      <c r="N12" s="465"/>
      <c r="O12" s="465"/>
    </row>
    <row r="13" spans="2:15" ht="15" customHeight="1">
      <c r="C13" s="971" t="str">
        <f>IF(Indice_index!$Z$1=1,"dos quais:","of which:")</f>
        <v>dos quais:</v>
      </c>
      <c r="D13" s="951"/>
      <c r="E13" s="951"/>
      <c r="F13" s="951"/>
      <c r="G13" s="951"/>
      <c r="H13" s="957"/>
      <c r="I13" s="957"/>
      <c r="J13" s="218"/>
      <c r="K13" s="218"/>
      <c r="L13" s="218"/>
      <c r="N13" s="465"/>
      <c r="O13" s="465"/>
    </row>
    <row r="14" spans="2:15" ht="15" customHeight="1">
      <c r="C14" s="972" t="str">
        <f>IF(Indice_index!$Z$1=1,"Transferências do OE","State Budget transfers")</f>
        <v>Transferências do OE</v>
      </c>
      <c r="D14" s="951">
        <f t="shared" ref="D14:G14" si="3">SUM(D15:D22)</f>
        <v>10519.713074420002</v>
      </c>
      <c r="E14" s="951">
        <f t="shared" si="3"/>
        <v>9208.4277920000004</v>
      </c>
      <c r="F14" s="951">
        <f t="shared" si="3"/>
        <v>5391.8032907699999</v>
      </c>
      <c r="G14" s="951">
        <f t="shared" si="3"/>
        <v>5439.6242112899999</v>
      </c>
      <c r="H14" s="957">
        <f t="shared" si="2"/>
        <v>0.88691886445231938</v>
      </c>
      <c r="I14" s="957">
        <f t="shared" ref="I14:I30" si="4">IFERROR((G14-F14)/$F$32*100,"-")</f>
        <v>0.26352457614062896</v>
      </c>
      <c r="J14" s="218"/>
      <c r="K14" s="218"/>
      <c r="L14" s="218"/>
      <c r="N14" s="465"/>
      <c r="O14" s="465"/>
    </row>
    <row r="15" spans="2:15" ht="15" customHeight="1">
      <c r="C15" s="973" t="str">
        <f>IF(Indice_index!$Z$1=1,"Financiamento da Lei de Bases da Segurança Social","Social Security Framework Law financing")</f>
        <v>Financiamento da Lei de Bases da Segurança Social</v>
      </c>
      <c r="D15" s="951">
        <v>7034.2355838800004</v>
      </c>
      <c r="E15" s="951">
        <v>7147.7003690000001</v>
      </c>
      <c r="F15" s="951">
        <v>4163.7831363599998</v>
      </c>
      <c r="G15" s="951">
        <v>4466.3022871200001</v>
      </c>
      <c r="H15" s="957">
        <f t="shared" si="2"/>
        <v>7.2654876791797562</v>
      </c>
      <c r="I15" s="957">
        <f t="shared" si="4"/>
        <v>1.6670785528921466</v>
      </c>
      <c r="J15" s="218"/>
      <c r="K15" s="656"/>
      <c r="L15" s="218"/>
      <c r="N15" s="465"/>
      <c r="O15" s="465"/>
    </row>
    <row r="16" spans="2:15" ht="15" customHeight="1">
      <c r="C16" s="974" t="str">
        <f>IF(Indice_index!$Z$1=1,"Medidas excecionais e temporárias (COVID-19)","Exceptional and temporary measures (COVID-19)")</f>
        <v>Medidas excecionais e temporárias (COVID-19)</v>
      </c>
      <c r="D16" s="951">
        <v>1545.4616489699999</v>
      </c>
      <c r="E16" s="951">
        <v>200</v>
      </c>
      <c r="F16" s="951">
        <v>450.74999997999993</v>
      </c>
      <c r="G16" s="951">
        <v>200</v>
      </c>
      <c r="H16" s="957">
        <f t="shared" si="2"/>
        <v>-55.629506376289704</v>
      </c>
      <c r="I16" s="957">
        <f t="shared" si="4"/>
        <v>-1.3817966434660363</v>
      </c>
      <c r="J16" s="218"/>
      <c r="K16" s="218"/>
      <c r="L16" s="218"/>
      <c r="N16" s="465"/>
      <c r="O16" s="465"/>
    </row>
    <row r="17" spans="2:15" ht="15" customHeight="1">
      <c r="C17" s="973" t="str">
        <f>IF(Indice_index!$Z$1=1,"Restantes transferências","Other transfers")</f>
        <v>Restantes transferências</v>
      </c>
      <c r="D17" s="951">
        <v>103.67836415000001</v>
      </c>
      <c r="E17" s="951">
        <v>0</v>
      </c>
      <c r="F17" s="951">
        <v>0</v>
      </c>
      <c r="G17" s="951">
        <v>0.35737090000000005</v>
      </c>
      <c r="H17" s="957" t="str">
        <f t="shared" si="2"/>
        <v>-</v>
      </c>
      <c r="I17" s="957">
        <f t="shared" si="4"/>
        <v>1.9693475977340925E-3</v>
      </c>
      <c r="J17" s="218"/>
      <c r="K17" s="218"/>
      <c r="L17" s="218"/>
      <c r="N17" s="465"/>
      <c r="O17" s="465"/>
    </row>
    <row r="18" spans="2:15" ht="15" customHeight="1">
      <c r="C18" s="973" t="str">
        <f>IF(Indice_index!$Z$1=1,"IVA Social","Social tax")</f>
        <v>IVA Social</v>
      </c>
      <c r="D18" s="951">
        <v>915.22045500000002</v>
      </c>
      <c r="E18" s="951">
        <v>970.13368200000002</v>
      </c>
      <c r="F18" s="951">
        <v>533.87859875000004</v>
      </c>
      <c r="G18" s="951">
        <v>533.87859875000004</v>
      </c>
      <c r="H18" s="957">
        <f t="shared" si="2"/>
        <v>0</v>
      </c>
      <c r="I18" s="957">
        <f t="shared" si="4"/>
        <v>0</v>
      </c>
      <c r="J18" s="218"/>
      <c r="K18" s="218"/>
      <c r="L18" s="218"/>
      <c r="N18" s="465"/>
      <c r="O18" s="465"/>
    </row>
    <row r="19" spans="2:15" ht="15" customHeight="1">
      <c r="C19" s="973" t="str">
        <f>IF(Indice_index!$Z$1=1,"Adicional ao IMI","Additional to the real estate municipal tax")</f>
        <v>Adicional ao IMI</v>
      </c>
      <c r="D19" s="951">
        <v>128.194097</v>
      </c>
      <c r="E19" s="951">
        <v>148.06</v>
      </c>
      <c r="F19" s="951">
        <v>0.84300299999999995</v>
      </c>
      <c r="G19" s="951">
        <v>3.7654559999999999</v>
      </c>
      <c r="H19" s="957">
        <f t="shared" si="2"/>
        <v>346.67172002946609</v>
      </c>
      <c r="I19" s="957">
        <f t="shared" si="4"/>
        <v>1.610462909834234E-2</v>
      </c>
      <c r="J19" s="218"/>
      <c r="K19" s="218"/>
      <c r="L19" s="218"/>
      <c r="N19" s="465"/>
      <c r="O19" s="465"/>
    </row>
    <row r="20" spans="2:15" ht="15" customHeight="1">
      <c r="C20" s="973" t="str">
        <f>IF(Indice_index!$Z$1=1,"Consignação do IRC","Assignment of Corporate Income Tax")</f>
        <v>Consignação do IRC</v>
      </c>
      <c r="D20" s="951">
        <v>337.30786999999998</v>
      </c>
      <c r="E20" s="951">
        <v>297.27</v>
      </c>
      <c r="F20" s="951">
        <v>0</v>
      </c>
      <c r="G20" s="951">
        <v>0</v>
      </c>
      <c r="H20" s="957" t="str">
        <f t="shared" si="2"/>
        <v>-</v>
      </c>
      <c r="I20" s="957">
        <f t="shared" si="4"/>
        <v>0</v>
      </c>
      <c r="J20" s="218"/>
      <c r="K20" s="218"/>
      <c r="L20" s="218"/>
      <c r="N20" s="465"/>
      <c r="O20" s="465"/>
    </row>
    <row r="21" spans="2:15" ht="15" customHeight="1">
      <c r="C21" s="973" t="str">
        <f>IF(Indice_index!$Z$1=1,"Adicional à Contribuição do Setor Bancário","Additional contribution on the Banking sector")</f>
        <v>Adicional à Contribuição do Setor Bancário</v>
      </c>
      <c r="D21" s="951">
        <v>33.939816999999998</v>
      </c>
      <c r="E21" s="951">
        <v>34</v>
      </c>
      <c r="F21" s="951">
        <v>0</v>
      </c>
      <c r="G21" s="951">
        <v>0</v>
      </c>
      <c r="H21" s="957" t="str">
        <f t="shared" si="2"/>
        <v>-</v>
      </c>
      <c r="I21" s="957">
        <f t="shared" si="4"/>
        <v>0</v>
      </c>
      <c r="J21" s="218"/>
      <c r="K21" s="218"/>
      <c r="L21" s="218"/>
      <c r="N21" s="465"/>
      <c r="O21" s="465"/>
    </row>
    <row r="22" spans="2:15" ht="15" customHeight="1">
      <c r="C22" s="973" t="str">
        <f>IF(Indice_index!$Z$1=1,"Pensões Bancários","Old age pension scheme from Banking regime")</f>
        <v>Pensões Bancários</v>
      </c>
      <c r="D22" s="951">
        <v>421.67523842000003</v>
      </c>
      <c r="E22" s="951">
        <v>411.26374099999998</v>
      </c>
      <c r="F22" s="951">
        <v>242.54855267999997</v>
      </c>
      <c r="G22" s="951">
        <v>235.32049851999997</v>
      </c>
      <c r="H22" s="957">
        <f t="shared" si="2"/>
        <v>-2.9800442344985427</v>
      </c>
      <c r="I22" s="957">
        <f t="shared" si="4"/>
        <v>-3.983130998155672E-2</v>
      </c>
      <c r="J22" s="218"/>
      <c r="K22" s="218"/>
      <c r="L22" s="218"/>
      <c r="N22" s="465"/>
      <c r="O22" s="465"/>
    </row>
    <row r="23" spans="2:15" ht="15" customHeight="1">
      <c r="C23" s="975" t="str">
        <f>IF(Indice_index!$Z$1=1,"Transferências do Fundo Social Europeu","European Social Fund")</f>
        <v>Transferências do Fundo Social Europeu</v>
      </c>
      <c r="D23" s="951">
        <v>1322.4853037599999</v>
      </c>
      <c r="E23" s="951">
        <v>1622.1324729999999</v>
      </c>
      <c r="F23" s="951">
        <v>804.28761698000005</v>
      </c>
      <c r="G23" s="951">
        <v>642.95164183000009</v>
      </c>
      <c r="H23" s="957">
        <f t="shared" si="2"/>
        <v>-20.059487643959567</v>
      </c>
      <c r="I23" s="957">
        <f t="shared" si="4"/>
        <v>-0.88906683529559793</v>
      </c>
      <c r="J23" s="218"/>
      <c r="K23" s="218"/>
      <c r="L23" s="218"/>
      <c r="N23" s="465"/>
      <c r="O23" s="465"/>
    </row>
    <row r="24" spans="2:15" ht="15" customHeight="1">
      <c r="C24" s="975" t="str">
        <f>IF(Indice_index!$Z$1=1,"Transferências do Fundo Europeu de Auxílio às Pessoas Mais Carenciadas - FEAC","Fund for European Aid to the Most Deprived")</f>
        <v>Transferências do Fundo Europeu de Auxílio às Pessoas Mais Carenciadas - FEAC</v>
      </c>
      <c r="D24" s="951">
        <v>27</v>
      </c>
      <c r="E24" s="951">
        <v>78.720834999999994</v>
      </c>
      <c r="F24" s="951">
        <v>13</v>
      </c>
      <c r="G24" s="951">
        <v>19.5</v>
      </c>
      <c r="H24" s="957">
        <f t="shared" si="2"/>
        <v>50</v>
      </c>
      <c r="I24" s="957">
        <f t="shared" si="4"/>
        <v>3.5819254968078258E-2</v>
      </c>
      <c r="J24" s="218"/>
      <c r="K24" s="218"/>
      <c r="L24" s="218"/>
      <c r="N24" s="465"/>
      <c r="O24" s="465"/>
    </row>
    <row r="25" spans="2:15" ht="15" customHeight="1">
      <c r="C25" s="975" t="str">
        <f>IF(Indice_index!$Z$1=1,"Transferências da União Europeia - Plano de Recuperação e Resiliência","Recovery and Resilience Plan")</f>
        <v>Transferências da União Europeia - Plano de Recuperação e Resiliência</v>
      </c>
      <c r="D25" s="951">
        <v>77.730710099999996</v>
      </c>
      <c r="E25" s="951">
        <v>106.318898</v>
      </c>
      <c r="F25" s="951">
        <v>0</v>
      </c>
      <c r="G25" s="951">
        <v>2.4792898999999999</v>
      </c>
      <c r="H25" s="957" t="str">
        <f t="shared" ref="H25" si="5">IF(IFERROR((G25-F25)/F25*100,"")&gt;500,"-",IFERROR((G25-F25)/F25*100,""))</f>
        <v>-</v>
      </c>
      <c r="I25" s="957">
        <f t="shared" si="4"/>
        <v>1.3662510318135576E-2</v>
      </c>
      <c r="J25" s="218"/>
      <c r="K25" s="218"/>
      <c r="L25" s="218"/>
      <c r="N25" s="465"/>
      <c r="O25" s="465"/>
    </row>
    <row r="26" spans="2:15" ht="15" customHeight="1">
      <c r="C26" s="975" t="str">
        <f>IF(Indice_index!$Z$1=1,"Outras transferências","Other transfers")</f>
        <v>Outras transferências</v>
      </c>
      <c r="D26" s="951">
        <v>2.4134979799999998</v>
      </c>
      <c r="E26" s="951">
        <v>2</v>
      </c>
      <c r="F26" s="951">
        <v>1.5478820299999998</v>
      </c>
      <c r="G26" s="951">
        <v>1.3382692300000003</v>
      </c>
      <c r="H26" s="957">
        <f t="shared" si="2"/>
        <v>-13.541910555031093</v>
      </c>
      <c r="I26" s="957">
        <f t="shared" si="4"/>
        <v>-1.1551037427342734E-3</v>
      </c>
      <c r="J26" s="218"/>
      <c r="K26" s="218"/>
      <c r="L26" s="218"/>
      <c r="N26" s="465"/>
      <c r="O26" s="465"/>
    </row>
    <row r="27" spans="2:15" ht="15" customHeight="1">
      <c r="B27" s="129"/>
      <c r="C27" s="956" t="str">
        <f>IF(Indice_index!$Z$1=1,"Restantes receitas correntes","Other current revenue")</f>
        <v>Restantes receitas correntes</v>
      </c>
      <c r="D27" s="951">
        <v>1098.626045</v>
      </c>
      <c r="E27" s="951">
        <v>819.90940799999998</v>
      </c>
      <c r="F27" s="951">
        <v>615.62154810999994</v>
      </c>
      <c r="G27" s="951">
        <v>524.93669620999992</v>
      </c>
      <c r="H27" s="957">
        <f t="shared" si="2"/>
        <v>-14.730616915279962</v>
      </c>
      <c r="I27" s="957">
        <f t="shared" si="4"/>
        <v>-0.49973289722284875</v>
      </c>
      <c r="J27" s="218"/>
      <c r="K27" s="218"/>
      <c r="L27" s="218"/>
      <c r="N27" s="465"/>
      <c r="O27" s="465"/>
    </row>
    <row r="28" spans="2:15" s="296" customFormat="1" ht="15" customHeight="1">
      <c r="C28" s="967" t="str">
        <f>IF(Indice_index!$Z$1=1,"Receita de capital","Capital revenue")</f>
        <v>Receita de capital</v>
      </c>
      <c r="D28" s="968">
        <f t="shared" ref="D28:E28" si="6">+D29+D30</f>
        <v>0.91545309000000008</v>
      </c>
      <c r="E28" s="968">
        <f t="shared" si="6"/>
        <v>7.2077209999999994</v>
      </c>
      <c r="F28" s="968">
        <f t="shared" ref="F28:G28" si="7">+F29+F30</f>
        <v>0.46207433999999997</v>
      </c>
      <c r="G28" s="968">
        <f t="shared" si="7"/>
        <v>0.61598129000000001</v>
      </c>
      <c r="H28" s="969">
        <f t="shared" si="2"/>
        <v>33.307833107547161</v>
      </c>
      <c r="I28" s="969">
        <f t="shared" si="4"/>
        <v>8.4812804360142669E-4</v>
      </c>
      <c r="J28" s="297"/>
      <c r="K28" s="297"/>
      <c r="L28" s="297"/>
      <c r="N28" s="465"/>
      <c r="O28" s="465"/>
    </row>
    <row r="29" spans="2:15" ht="15" customHeight="1">
      <c r="C29" s="956" t="str">
        <f>IF(Indice_index!$Z$1=1,"Transferências do Orçamento do Estado","State Budget transfers")</f>
        <v>Transferências do Orçamento do Estado</v>
      </c>
      <c r="D29" s="951">
        <v>0.29749999999999999</v>
      </c>
      <c r="E29" s="951">
        <v>1.8776079999999999</v>
      </c>
      <c r="F29" s="951">
        <v>0</v>
      </c>
      <c r="G29" s="951">
        <v>0</v>
      </c>
      <c r="H29" s="957" t="str">
        <f t="shared" si="2"/>
        <v>-</v>
      </c>
      <c r="I29" s="957">
        <f t="shared" si="4"/>
        <v>0</v>
      </c>
      <c r="J29" s="218"/>
      <c r="K29" s="218"/>
      <c r="L29" s="218"/>
      <c r="N29" s="465"/>
      <c r="O29" s="465"/>
    </row>
    <row r="30" spans="2:15" ht="15" customHeight="1">
      <c r="C30" s="956" t="str">
        <f>IF(Indice_index!$Z$1=1,"Restantes receitas de capital","Other capital revenue")</f>
        <v>Restantes receitas de capital</v>
      </c>
      <c r="D30" s="951">
        <v>0.61795309000000009</v>
      </c>
      <c r="E30" s="951">
        <v>5.3301129999999999</v>
      </c>
      <c r="F30" s="951">
        <v>0.46207433999999997</v>
      </c>
      <c r="G30" s="951">
        <v>0.61598129000000001</v>
      </c>
      <c r="H30" s="957">
        <f t="shared" si="2"/>
        <v>33.307833107547161</v>
      </c>
      <c r="I30" s="957">
        <f t="shared" si="4"/>
        <v>8.4812804360142669E-4</v>
      </c>
      <c r="J30" s="218"/>
      <c r="K30" s="218"/>
      <c r="L30" s="218"/>
      <c r="N30" s="465"/>
      <c r="O30" s="465"/>
    </row>
    <row r="31" spans="2:15" ht="4.5" customHeight="1">
      <c r="C31" s="950"/>
      <c r="D31" s="951"/>
      <c r="E31" s="951"/>
      <c r="F31" s="951"/>
      <c r="G31" s="951"/>
      <c r="H31" s="957"/>
      <c r="I31" s="950"/>
      <c r="J31" s="218"/>
      <c r="K31" s="218"/>
      <c r="L31" s="218"/>
      <c r="N31" s="465"/>
      <c r="O31" s="465"/>
    </row>
    <row r="32" spans="2:15" s="296" customFormat="1" ht="15" customHeight="1">
      <c r="C32" s="1220" t="str">
        <f>IF(Indice_index!$Z$1=1,"Receita Efetiva","Effective revenue")</f>
        <v>Receita Efetiva</v>
      </c>
      <c r="D32" s="1221">
        <f t="shared" ref="D32:E32" si="8">+D9+D28</f>
        <v>33566.541879699987</v>
      </c>
      <c r="E32" s="1221">
        <f t="shared" si="8"/>
        <v>33608.819207</v>
      </c>
      <c r="F32" s="1221">
        <f t="shared" ref="F32:G32" si="9">+F9+F28</f>
        <v>18146.664428930002</v>
      </c>
      <c r="G32" s="1221">
        <f t="shared" si="9"/>
        <v>19330.599097210001</v>
      </c>
      <c r="H32" s="976">
        <f t="shared" ref="H32" si="10">IF(IFERROR((G32-F32)/F32*100,"")&gt;500,"-",IFERROR((G32-F32)/F32*100,""))</f>
        <v>6.5242550382566824</v>
      </c>
      <c r="I32" s="976"/>
      <c r="J32" s="297"/>
      <c r="K32" s="297"/>
      <c r="L32" s="297"/>
      <c r="N32" s="465"/>
      <c r="O32" s="465"/>
    </row>
    <row r="33" spans="3:15" ht="4.5" customHeight="1">
      <c r="C33" s="950"/>
      <c r="D33" s="951"/>
      <c r="E33" s="951"/>
      <c r="F33" s="951"/>
      <c r="G33" s="951"/>
      <c r="H33" s="957"/>
      <c r="I33" s="957"/>
      <c r="J33" s="218"/>
      <c r="K33" s="218"/>
      <c r="L33" s="218"/>
      <c r="N33" s="465"/>
      <c r="O33" s="465"/>
    </row>
    <row r="34" spans="3:15" s="296" customFormat="1" ht="15" customHeight="1">
      <c r="C34" s="967" t="str">
        <f>IF(Indice_index!$Z$1=1,"Despesa Corrente","Current expenditure")</f>
        <v>Despesa Corrente</v>
      </c>
      <c r="D34" s="968">
        <f>+D35+D55+D56+D57+D58+D61+D62</f>
        <v>31196.79567548</v>
      </c>
      <c r="E34" s="968">
        <f>+E35+E55+E56+E57+E58+E61+E62</f>
        <v>30914.324376</v>
      </c>
      <c r="F34" s="968">
        <f>+F35+F55+F56+F57+F58+F61+F62</f>
        <v>18575.947416949999</v>
      </c>
      <c r="G34" s="968">
        <f>+G35+G55+G56+G57+G58+G61+G62</f>
        <v>17469.365035530001</v>
      </c>
      <c r="H34" s="969">
        <f t="shared" ref="H34" si="11">IF(IFERROR((G34-F34)/F34*100,"")&gt;500,"-",IFERROR((G34-F34)/F34*100,""))</f>
        <v>-5.9570710262146527</v>
      </c>
      <c r="I34" s="969">
        <f t="shared" ref="I34:I48" si="12">IFERROR((G34-F34)/$F$67*100,"-")</f>
        <v>-5.9518233185183789</v>
      </c>
      <c r="J34" s="297"/>
      <c r="K34" s="297"/>
      <c r="L34" s="297"/>
      <c r="N34" s="465"/>
      <c r="O34" s="465"/>
    </row>
    <row r="35" spans="3:15" s="128" customFormat="1" ht="15" customHeight="1">
      <c r="C35" s="977" t="str">
        <f>IF(Indice_index!$Z$1=1,"Prestações Sociais","Social Benefits")</f>
        <v>Prestações Sociais</v>
      </c>
      <c r="D35" s="978">
        <f t="shared" ref="D35:E35" si="13">+D36+SUM(D42:D54)</f>
        <v>27677.403530839998</v>
      </c>
      <c r="E35" s="978">
        <f t="shared" si="13"/>
        <v>26876.693802000002</v>
      </c>
      <c r="F35" s="979">
        <f t="shared" ref="F35:G35" si="14">+F36+SUM(F42:F54)</f>
        <v>16487.344199210002</v>
      </c>
      <c r="G35" s="979">
        <f t="shared" si="14"/>
        <v>15646.134021179998</v>
      </c>
      <c r="H35" s="980">
        <f t="shared" ref="H35:H58" si="15">IF(IFERROR((G35-F35)/F35*100,"")&gt;500,"-",IFERROR((G35-F35)/F35*100,""))</f>
        <v>-5.102156950604031</v>
      </c>
      <c r="I35" s="980">
        <f t="shared" si="12"/>
        <v>-4.5245021404996439</v>
      </c>
      <c r="J35" s="218"/>
      <c r="K35" s="218"/>
      <c r="L35" s="218"/>
      <c r="N35" s="465"/>
      <c r="O35" s="465"/>
    </row>
    <row r="36" spans="3:15" s="130" customFormat="1" ht="15" customHeight="1">
      <c r="C36" s="977" t="str">
        <f>IF(Indice_index!$Z$1=1,"      Pensões","      Pensions")</f>
        <v xml:space="preserve">      Pensões</v>
      </c>
      <c r="D36" s="645">
        <f t="shared" ref="D36:E36" si="16">(SUM(D37:D41))</f>
        <v>18459.21372498</v>
      </c>
      <c r="E36" s="645">
        <f t="shared" si="16"/>
        <v>19078.314131000003</v>
      </c>
      <c r="F36" s="645">
        <f>((SUM(F37:F41)))</f>
        <v>10492.35954827</v>
      </c>
      <c r="G36" s="645">
        <f>((SUM(G37:G41)))</f>
        <v>10829.452143799999</v>
      </c>
      <c r="H36" s="957">
        <f t="shared" si="15"/>
        <v>3.2127434632716096</v>
      </c>
      <c r="I36" s="957">
        <f t="shared" si="12"/>
        <v>1.8130738427271649</v>
      </c>
      <c r="J36" s="218"/>
      <c r="K36" s="218"/>
      <c r="L36" s="218"/>
      <c r="N36" s="465"/>
      <c r="O36" s="465"/>
    </row>
    <row r="37" spans="3:15" s="130" customFormat="1" ht="15" customHeight="1">
      <c r="C37" s="977" t="str">
        <f>IF(Indice_index!$Z$1=1,"            Sobrevivência","            Survival")</f>
        <v xml:space="preserve">            Sobrevivência</v>
      </c>
      <c r="D37" s="951">
        <v>2590.4848075700002</v>
      </c>
      <c r="E37" s="951">
        <v>2649.420505</v>
      </c>
      <c r="F37" s="951">
        <v>1477.1379226700001</v>
      </c>
      <c r="G37" s="951">
        <v>1511.1553515399996</v>
      </c>
      <c r="H37" s="957">
        <f t="shared" si="15"/>
        <v>2.302928409590308</v>
      </c>
      <c r="I37" s="957">
        <f t="shared" si="12"/>
        <v>0.18296489243276576</v>
      </c>
      <c r="J37" s="218"/>
      <c r="K37" s="218"/>
      <c r="L37" s="218"/>
      <c r="N37" s="465"/>
      <c r="O37" s="465"/>
    </row>
    <row r="38" spans="3:15" s="130" customFormat="1" ht="15" customHeight="1">
      <c r="C38" s="977" t="str">
        <f>IF(Indice_index!$Z$1=1,"            Invalidez","            Disability")</f>
        <v xml:space="preserve">            Invalidez</v>
      </c>
      <c r="D38" s="951">
        <v>1166.6139236599995</v>
      </c>
      <c r="E38" s="951">
        <v>1179.448492</v>
      </c>
      <c r="F38" s="951">
        <v>672.10800835999999</v>
      </c>
      <c r="G38" s="951">
        <v>669.00159850000011</v>
      </c>
      <c r="H38" s="957">
        <f t="shared" si="15"/>
        <v>-0.46218908588513513</v>
      </c>
      <c r="I38" s="957">
        <f t="shared" si="12"/>
        <v>-1.6708021880754417E-2</v>
      </c>
      <c r="J38" s="218"/>
      <c r="K38" s="218"/>
      <c r="L38" s="218"/>
      <c r="N38" s="465"/>
      <c r="O38" s="465"/>
    </row>
    <row r="39" spans="3:15" s="130" customFormat="1" ht="15" customHeight="1">
      <c r="C39" s="977" t="str">
        <f>IF(Indice_index!$Z$1=1,"            Velhice","            Old-age")</f>
        <v xml:space="preserve">            Velhice</v>
      </c>
      <c r="D39" s="951">
        <v>13911.745101300001</v>
      </c>
      <c r="E39" s="951">
        <v>14284.298789</v>
      </c>
      <c r="F39" s="951">
        <v>7910.7267418299998</v>
      </c>
      <c r="G39" s="951">
        <v>8134.4905120299991</v>
      </c>
      <c r="H39" s="957">
        <f t="shared" si="15"/>
        <v>2.8286120542729765</v>
      </c>
      <c r="I39" s="957">
        <f t="shared" si="12"/>
        <v>1.2035275887972636</v>
      </c>
      <c r="J39" s="218"/>
      <c r="K39" s="218"/>
      <c r="L39" s="218"/>
      <c r="N39" s="465"/>
      <c r="O39" s="465"/>
    </row>
    <row r="40" spans="3:15" s="130" customFormat="1" ht="15" customHeight="1">
      <c r="C40" s="977" t="str">
        <f>IF(Indice_index!$Z$1=1,"            Beneficiários dos antigos combatentes","            War veteran beneficiaries")</f>
        <v xml:space="preserve">            Beneficiários dos antigos combatentes</v>
      </c>
      <c r="D40" s="951">
        <v>43.599297430000007</v>
      </c>
      <c r="E40" s="951">
        <v>45.013061</v>
      </c>
      <c r="F40" s="951">
        <v>0.26337980000000005</v>
      </c>
      <c r="G40" s="951">
        <v>0.43787185000000006</v>
      </c>
      <c r="H40" s="981">
        <f t="shared" si="15"/>
        <v>66.251113411127193</v>
      </c>
      <c r="I40" s="981">
        <f t="shared" si="12"/>
        <v>9.385165257677281E-4</v>
      </c>
      <c r="J40" s="218"/>
      <c r="K40" s="218"/>
      <c r="L40" s="218"/>
      <c r="N40" s="465"/>
      <c r="O40" s="465"/>
    </row>
    <row r="41" spans="3:15" s="130" customFormat="1" ht="15" customHeight="1">
      <c r="C41" s="977" t="str">
        <f>IF(Indice_index!$Z$1=1,"            Parcela de atualização extraordinária de pensões","            Portion of extraordinary pensions update")</f>
        <v xml:space="preserve">            Parcela de atualização extraordinária de pensões</v>
      </c>
      <c r="D41" s="951">
        <v>746.77059501999997</v>
      </c>
      <c r="E41" s="951">
        <v>920.133284</v>
      </c>
      <c r="F41" s="951">
        <v>432.12349561000002</v>
      </c>
      <c r="G41" s="951">
        <v>514.36680988000001</v>
      </c>
      <c r="H41" s="981">
        <f t="shared" si="15"/>
        <v>19.03236345755802</v>
      </c>
      <c r="I41" s="981">
        <f t="shared" si="12"/>
        <v>0.44235086685212188</v>
      </c>
      <c r="J41" s="218"/>
      <c r="K41" s="218"/>
      <c r="L41" s="218"/>
      <c r="N41" s="465"/>
      <c r="O41" s="465"/>
    </row>
    <row r="42" spans="3:15" s="130" customFormat="1" ht="15" customHeight="1">
      <c r="C42" s="975" t="str">
        <f>IF(Indice_index!$Z$1=1,"Subsídio familiar a crianças e jovens","Family benefit")</f>
        <v>Subsídio familiar a crianças e jovens</v>
      </c>
      <c r="D42" s="951">
        <v>785.93262444000004</v>
      </c>
      <c r="E42" s="951">
        <v>838.27399400000002</v>
      </c>
      <c r="F42" s="951">
        <v>458.28069415000004</v>
      </c>
      <c r="G42" s="951">
        <v>441.15257627999995</v>
      </c>
      <c r="H42" s="981">
        <f t="shared" si="15"/>
        <v>-3.7374731444379554</v>
      </c>
      <c r="I42" s="957">
        <f t="shared" si="12"/>
        <v>-9.2124665142581733E-2</v>
      </c>
      <c r="J42" s="218"/>
      <c r="K42" s="218"/>
      <c r="L42" s="218"/>
      <c r="N42" s="465"/>
      <c r="O42" s="465"/>
    </row>
    <row r="43" spans="3:15" s="130" customFormat="1" ht="15" customHeight="1">
      <c r="C43" s="956" t="str">
        <f>IF(Indice_index!$Z$1=1,"Subsídio por doença","Illness benefit")</f>
        <v>Subsídio por doença</v>
      </c>
      <c r="D43" s="951">
        <v>753.50125893000006</v>
      </c>
      <c r="E43" s="951">
        <v>799.45637299999999</v>
      </c>
      <c r="F43" s="951">
        <v>450.38835367000007</v>
      </c>
      <c r="G43" s="951">
        <v>489.62233008999999</v>
      </c>
      <c r="H43" s="957">
        <f t="shared" si="15"/>
        <v>8.711143638662266</v>
      </c>
      <c r="I43" s="957">
        <f t="shared" si="12"/>
        <v>0.21102242332387799</v>
      </c>
      <c r="J43" s="218"/>
      <c r="K43" s="218"/>
      <c r="L43" s="218"/>
      <c r="N43" s="465"/>
      <c r="O43" s="465"/>
    </row>
    <row r="44" spans="3:15" s="130" customFormat="1" ht="15" customHeight="1">
      <c r="C44" s="956" t="str">
        <f>IF(Indice_index!$Z$1=1,"Prestações de desemprego","Unemployment benefits")</f>
        <v>Prestações de desemprego</v>
      </c>
      <c r="D44" s="951">
        <v>1592.5085594000002</v>
      </c>
      <c r="E44" s="951">
        <v>1542.9161469999999</v>
      </c>
      <c r="F44" s="951">
        <v>1016.3450083099999</v>
      </c>
      <c r="G44" s="951">
        <v>779.00927177999995</v>
      </c>
      <c r="H44" s="957">
        <f t="shared" si="15"/>
        <v>-23.35188686808694</v>
      </c>
      <c r="I44" s="957">
        <f t="shared" si="12"/>
        <v>-1.2765252679916386</v>
      </c>
      <c r="J44" s="218"/>
      <c r="K44" s="218"/>
      <c r="L44" s="218"/>
      <c r="N44" s="465"/>
      <c r="O44" s="465"/>
    </row>
    <row r="45" spans="3:15" s="130" customFormat="1" ht="15" customHeight="1">
      <c r="C45" s="956" t="str">
        <f>IF(Indice_index!$Z$1=1,"Complemento Solidário para Idosos","Elderly pension supplement")</f>
        <v>Complemento Solidário para Idosos</v>
      </c>
      <c r="D45" s="951">
        <v>204.31185116</v>
      </c>
      <c r="E45" s="951">
        <v>205.21606800000001</v>
      </c>
      <c r="F45" s="951">
        <v>119.99451827</v>
      </c>
      <c r="G45" s="951">
        <v>117.14959752</v>
      </c>
      <c r="H45" s="957">
        <f t="shared" si="15"/>
        <v>-2.3708755958323326</v>
      </c>
      <c r="I45" s="957">
        <f t="shared" si="12"/>
        <v>-1.5301586166100513E-2</v>
      </c>
      <c r="J45" s="218"/>
      <c r="K45" s="218"/>
      <c r="L45" s="218"/>
      <c r="N45" s="465"/>
      <c r="O45" s="465"/>
    </row>
    <row r="46" spans="3:15" s="130" customFormat="1" ht="15" customHeight="1">
      <c r="C46" s="956" t="str">
        <f>IF(Indice_index!$Z$1=1,"Prestação Social para a Inclusão","Social benefits for inclusion")</f>
        <v>Prestação Social para a Inclusão</v>
      </c>
      <c r="D46" s="951">
        <v>524.53333005000002</v>
      </c>
      <c r="E46" s="951">
        <v>450.62609900000001</v>
      </c>
      <c r="F46" s="951">
        <v>340.17131879000004</v>
      </c>
      <c r="G46" s="951">
        <v>270.21687555</v>
      </c>
      <c r="H46" s="957">
        <f t="shared" si="15"/>
        <v>-20.564474244574814</v>
      </c>
      <c r="I46" s="957">
        <f t="shared" si="12"/>
        <v>-0.37625439687149398</v>
      </c>
      <c r="J46" s="218"/>
      <c r="K46" s="218"/>
      <c r="L46" s="218"/>
      <c r="N46" s="465"/>
      <c r="O46" s="465"/>
    </row>
    <row r="47" spans="3:15" s="130" customFormat="1" ht="15" customHeight="1">
      <c r="C47" s="956" t="str">
        <f>IF(Indice_index!$Z$1=1,"Prestações de parentalidade","Parenthood benefits")</f>
        <v>Prestações de parentalidade</v>
      </c>
      <c r="D47" s="951">
        <v>638.13390999000012</v>
      </c>
      <c r="E47" s="951">
        <v>672.95038899999997</v>
      </c>
      <c r="F47" s="951">
        <v>365.93229517999993</v>
      </c>
      <c r="G47" s="951">
        <v>413.04289107000005</v>
      </c>
      <c r="H47" s="957">
        <f t="shared" si="15"/>
        <v>12.874129042594259</v>
      </c>
      <c r="I47" s="957">
        <f t="shared" si="12"/>
        <v>0.25338731925913144</v>
      </c>
      <c r="J47" s="218"/>
      <c r="K47" s="218"/>
      <c r="L47" s="218"/>
      <c r="N47" s="465"/>
      <c r="O47" s="465"/>
    </row>
    <row r="48" spans="3:15" s="130" customFormat="1" ht="15" customHeight="1">
      <c r="C48" s="956" t="str">
        <f>IF(Indice_index!$Z$1=1,"Medidas excecionais e temporárias (COVID-19)","Exceptional and temporary measures (COVID-19)")</f>
        <v>Medidas excecionais e temporárias (COVID-19)</v>
      </c>
      <c r="D48" s="951">
        <v>1919.9825029600001</v>
      </c>
      <c r="E48" s="951">
        <v>200</v>
      </c>
      <c r="F48" s="951">
        <v>1596.4092446599998</v>
      </c>
      <c r="G48" s="951">
        <v>576.84871631999988</v>
      </c>
      <c r="H48" s="957">
        <f t="shared" si="15"/>
        <v>-63.865862199836108</v>
      </c>
      <c r="I48" s="957">
        <f t="shared" si="12"/>
        <v>-5.4837707784828353</v>
      </c>
      <c r="J48" s="656"/>
      <c r="K48" s="218"/>
      <c r="L48" s="218"/>
      <c r="N48" s="465"/>
      <c r="O48" s="465"/>
    </row>
    <row r="49" spans="3:15" s="130" customFormat="1" ht="15" hidden="1" customHeight="1">
      <c r="C49" s="956" t="str">
        <f>IF(Indice_index!$Z$1=1,"Complemento-creche","Child daycare supplement")</f>
        <v>Complemento-creche</v>
      </c>
      <c r="D49" s="951">
        <v>0</v>
      </c>
      <c r="E49" s="951">
        <v>0</v>
      </c>
      <c r="F49" s="951">
        <v>0</v>
      </c>
      <c r="G49" s="951">
        <v>0</v>
      </c>
      <c r="H49" s="957" t="str">
        <f t="shared" ref="H49:H50" si="17">IF(IFERROR((G49-F49)/F49*100,"")&gt;500,"-",IFERROR((G49-F49)/F49*100,""))</f>
        <v>-</v>
      </c>
      <c r="I49" s="957">
        <f t="shared" ref="I49:I50" si="18">IFERROR((G49-F49)/$F$67*100,"-")</f>
        <v>0</v>
      </c>
      <c r="J49" s="218"/>
      <c r="K49" s="218"/>
      <c r="L49" s="218"/>
      <c r="N49" s="465"/>
      <c r="O49" s="465"/>
    </row>
    <row r="50" spans="3:15" s="130" customFormat="1" ht="15" customHeight="1">
      <c r="C50" s="956" t="s">
        <v>596</v>
      </c>
      <c r="D50" s="951">
        <v>0</v>
      </c>
      <c r="E50" s="951">
        <v>35.451974</v>
      </c>
      <c r="F50" s="951">
        <v>0</v>
      </c>
      <c r="G50" s="951">
        <v>0</v>
      </c>
      <c r="H50" s="957" t="str">
        <f t="shared" si="17"/>
        <v>-</v>
      </c>
      <c r="I50" s="957">
        <f t="shared" si="18"/>
        <v>0</v>
      </c>
      <c r="J50" s="218"/>
      <c r="K50" s="218"/>
      <c r="L50" s="218"/>
      <c r="N50" s="465"/>
      <c r="O50" s="465"/>
    </row>
    <row r="51" spans="3:15" s="130" customFormat="1" ht="15" customHeight="1">
      <c r="C51" s="956" t="str">
        <f>IF(Indice_index!$Z$1=1,"Outras prestações","Other benefits")</f>
        <v>Outras prestações</v>
      </c>
      <c r="D51" s="951">
        <v>393.84301586999993</v>
      </c>
      <c r="E51" s="951">
        <v>404.353476</v>
      </c>
      <c r="F51" s="951">
        <v>240.30800222000002</v>
      </c>
      <c r="G51" s="951">
        <v>315.48603754000004</v>
      </c>
      <c r="H51" s="957">
        <f t="shared" si="15"/>
        <v>31.28403325128355</v>
      </c>
      <c r="I51" s="957">
        <f t="shared" ref="I51:I58" si="19">IFERROR((G51-F51)/$F$67*100,"-")</f>
        <v>0.4043498172127038</v>
      </c>
      <c r="J51" s="218"/>
      <c r="K51" s="218"/>
      <c r="L51" s="218"/>
      <c r="N51" s="465"/>
      <c r="O51" s="465"/>
    </row>
    <row r="52" spans="3:15" s="130" customFormat="1" ht="15" customHeight="1">
      <c r="C52" s="956" t="str">
        <f>IF(Indice_index!$Z$1=1,"Ação social","Social assistance")</f>
        <v>Ação social</v>
      </c>
      <c r="D52" s="951">
        <v>2047.68765882</v>
      </c>
      <c r="E52" s="951">
        <v>2241.9352680000002</v>
      </c>
      <c r="F52" s="951">
        <v>1194.6019529500004</v>
      </c>
      <c r="G52" s="951">
        <v>1210.1482552999998</v>
      </c>
      <c r="H52" s="957">
        <f t="shared" si="15"/>
        <v>1.3013792846737573</v>
      </c>
      <c r="I52" s="957">
        <f t="shared" si="19"/>
        <v>8.3616770334557639E-2</v>
      </c>
      <c r="J52" s="218"/>
      <c r="K52" s="218"/>
      <c r="L52" s="218"/>
      <c r="N52" s="465"/>
      <c r="O52" s="465"/>
    </row>
    <row r="53" spans="3:15" s="130" customFormat="1" ht="15" customHeight="1">
      <c r="C53" s="956" t="str">
        <f>IF(Indice_index!$Z$1=1,"Rendimento Social de Inserção","Social Integration Income")</f>
        <v>Rendimento Social de Inserção</v>
      </c>
      <c r="D53" s="951">
        <v>356.16135638999998</v>
      </c>
      <c r="E53" s="951">
        <v>377.199883</v>
      </c>
      <c r="F53" s="951">
        <v>211.78768378000001</v>
      </c>
      <c r="G53" s="951">
        <v>200.75589169000003</v>
      </c>
      <c r="H53" s="957">
        <f t="shared" si="15"/>
        <v>-5.2088921759300906</v>
      </c>
      <c r="I53" s="957">
        <f t="shared" si="19"/>
        <v>-5.9335191404414615E-2</v>
      </c>
      <c r="J53" s="218"/>
      <c r="K53" s="218"/>
      <c r="L53" s="218"/>
      <c r="N53" s="465"/>
      <c r="O53" s="465"/>
    </row>
    <row r="54" spans="3:15" s="130" customFormat="1" ht="15" customHeight="1">
      <c r="C54" s="956" t="str">
        <f>IF(Indice_index!$Z$1=1,"Subsídio de Apoio ao Cuidador Informal","Social Benefit for Informal Caregivers")</f>
        <v>Subsídio de Apoio ao Cuidador Informal</v>
      </c>
      <c r="D54" s="951">
        <v>1.5937378499999999</v>
      </c>
      <c r="E54" s="951">
        <v>30</v>
      </c>
      <c r="F54" s="951">
        <v>0.76557895999999992</v>
      </c>
      <c r="G54" s="951">
        <v>3.2494342400000003</v>
      </c>
      <c r="H54" s="957">
        <f t="shared" si="15"/>
        <v>324.44142404331495</v>
      </c>
      <c r="I54" s="957">
        <f t="shared" si="19"/>
        <v>1.3359572701996609E-2</v>
      </c>
      <c r="J54" s="218"/>
      <c r="K54" s="218"/>
      <c r="L54" s="218"/>
      <c r="N54" s="465"/>
      <c r="O54" s="465"/>
    </row>
    <row r="55" spans="3:15" s="130" customFormat="1" ht="15" customHeight="1">
      <c r="C55" s="982" t="str">
        <f>IF(Indice_index!$Z$1=1,"Pensão velhice do regime substitutivo dos bancários","Old age pension scheme from Banking regime")</f>
        <v>Pensão velhice do regime substitutivo dos bancários</v>
      </c>
      <c r="D55" s="951">
        <v>429.57635345999995</v>
      </c>
      <c r="E55" s="951">
        <v>419.72063000000003</v>
      </c>
      <c r="F55" s="951">
        <v>247.08216306</v>
      </c>
      <c r="G55" s="951">
        <v>240.03958138999994</v>
      </c>
      <c r="H55" s="981">
        <f t="shared" si="15"/>
        <v>-2.8502995047400006</v>
      </c>
      <c r="I55" s="957">
        <f t="shared" si="19"/>
        <v>-3.7878970883567134E-2</v>
      </c>
      <c r="J55" s="218"/>
      <c r="K55" s="218"/>
      <c r="L55" s="218"/>
      <c r="M55" s="128"/>
      <c r="N55" s="465"/>
      <c r="O55" s="465"/>
    </row>
    <row r="56" spans="3:15" ht="15" customHeight="1">
      <c r="C56" s="977" t="str">
        <f>IF(Indice_index!$Z$1=1,"Administração","Administration")</f>
        <v>Administração</v>
      </c>
      <c r="D56" s="951">
        <v>327.75730796999994</v>
      </c>
      <c r="E56" s="951">
        <v>405.168835</v>
      </c>
      <c r="F56" s="951">
        <v>176.13755940000004</v>
      </c>
      <c r="G56" s="951">
        <v>179.94761804999993</v>
      </c>
      <c r="H56" s="957">
        <f t="shared" si="15"/>
        <v>2.1631153871886153</v>
      </c>
      <c r="I56" s="981">
        <f t="shared" si="19"/>
        <v>2.0492641396379806E-2</v>
      </c>
      <c r="J56" s="218"/>
      <c r="K56" s="218"/>
      <c r="L56" s="218"/>
      <c r="N56" s="465"/>
      <c r="O56" s="465"/>
    </row>
    <row r="57" spans="3:15" ht="15" customHeight="1">
      <c r="C57" s="977" t="str">
        <f>IF(Indice_index!$Z$1=1,"Transferências correntes","Current transfers")</f>
        <v>Transferências correntes</v>
      </c>
      <c r="D57" s="951">
        <v>1313.6678272599991</v>
      </c>
      <c r="E57" s="951">
        <v>1424.7060240000001</v>
      </c>
      <c r="F57" s="951">
        <v>815.3640035200001</v>
      </c>
      <c r="G57" s="951">
        <v>765.68332049000367</v>
      </c>
      <c r="H57" s="957">
        <f>IF(IFERROR((G57-F57)/F57*100,"")&gt;500,"-",IFERROR((G57-F57)/F57*100,""))</f>
        <v>-6.0930679813580726</v>
      </c>
      <c r="I57" s="981">
        <f t="shared" si="19"/>
        <v>-0.26721069547340393</v>
      </c>
      <c r="J57" s="218"/>
      <c r="K57" s="218"/>
      <c r="L57" s="218"/>
      <c r="N57" s="465"/>
      <c r="O57" s="465"/>
    </row>
    <row r="58" spans="3:15" ht="15" customHeight="1">
      <c r="C58" s="982" t="str">
        <f>IF(Indice_index!$Z$1=1,"Ações de Formação Profissional","Vocational Training Programs")</f>
        <v>Ações de Formação Profissional</v>
      </c>
      <c r="D58" s="951">
        <v>1279.2804758</v>
      </c>
      <c r="E58" s="951">
        <v>1539.1685090000001</v>
      </c>
      <c r="F58" s="951">
        <v>741.34234661000016</v>
      </c>
      <c r="G58" s="951">
        <v>518.67222288000005</v>
      </c>
      <c r="H58" s="957">
        <f t="shared" si="15"/>
        <v>-30.036072369023962</v>
      </c>
      <c r="I58" s="957">
        <f t="shared" si="19"/>
        <v>-1.1976453420963868</v>
      </c>
      <c r="J58" s="218"/>
      <c r="K58" s="218"/>
      <c r="L58" s="218"/>
      <c r="N58" s="465"/>
      <c r="O58" s="465"/>
    </row>
    <row r="59" spans="3:15" ht="15" customHeight="1">
      <c r="C59" s="971" t="str">
        <f>IF(Indice_index!$Z$1=1,"dos quais:","of which:")</f>
        <v>dos quais:</v>
      </c>
      <c r="D59" s="951"/>
      <c r="E59" s="951"/>
      <c r="F59" s="951"/>
      <c r="G59" s="951"/>
      <c r="H59" s="957"/>
      <c r="I59" s="957"/>
      <c r="J59" s="218"/>
      <c r="K59" s="218"/>
      <c r="L59" s="218"/>
      <c r="N59" s="465"/>
      <c r="O59" s="465"/>
    </row>
    <row r="60" spans="3:15" s="131" customFormat="1" ht="15" customHeight="1">
      <c r="C60" s="983" t="str">
        <f>IF(Indice_index!$Z$1=1,"Com suporte no Fundo Social Europeu","Supported by the European Social Fund")</f>
        <v>Com suporte no Fundo Social Europeu</v>
      </c>
      <c r="D60" s="951">
        <v>1210.2826756499999</v>
      </c>
      <c r="E60" s="951">
        <v>1398.0811430000001</v>
      </c>
      <c r="F60" s="951">
        <v>694.12508103000005</v>
      </c>
      <c r="G60" s="951">
        <v>469.60776711</v>
      </c>
      <c r="H60" s="957">
        <f t="shared" ref="H60:H65" si="20">IF(IFERROR((G60-F60)/F60*100,"")&gt;500,"-",IFERROR((G60-F60)/F60*100,""))</f>
        <v>-32.345368299736805</v>
      </c>
      <c r="I60" s="957">
        <f t="shared" ref="I60:I65" si="21">IFERROR((G60-F60)/$F$67*100,"-")</f>
        <v>-1.2075805713492438</v>
      </c>
      <c r="J60" s="218"/>
      <c r="K60" s="218"/>
      <c r="L60" s="218"/>
      <c r="N60" s="465"/>
      <c r="O60" s="465"/>
    </row>
    <row r="61" spans="3:15" s="131" customFormat="1" ht="15" customHeight="1">
      <c r="C61" s="982" t="str">
        <f>IF(Indice_index!$Z$1=1,"Subsídios Correntes - Outros PO PT2020","Current subsidies – Others PO PT2020")</f>
        <v>Subsídios Correntes - Outros PO PT2020</v>
      </c>
      <c r="D61" s="951">
        <v>165.51368667</v>
      </c>
      <c r="E61" s="951">
        <v>237.78716399999999</v>
      </c>
      <c r="F61" s="951">
        <v>106.76519386999999</v>
      </c>
      <c r="G61" s="951">
        <v>116.36794015</v>
      </c>
      <c r="H61" s="957">
        <f t="shared" si="20"/>
        <v>8.9942667005246602</v>
      </c>
      <c r="I61" s="957">
        <f t="shared" si="21"/>
        <v>5.1648978142755382E-2</v>
      </c>
      <c r="J61" s="218"/>
      <c r="K61" s="218"/>
      <c r="L61" s="218"/>
      <c r="N61" s="465"/>
      <c r="O61" s="465"/>
    </row>
    <row r="62" spans="3:15" s="131" customFormat="1" ht="15" customHeight="1">
      <c r="C62" s="982" t="str">
        <f>IF(Indice_index!$Z$1=1,"Subsídios Correntes - Programa Operacional de Apoio às Pessoas Mais Carenciadas - POAPMC","Current subsidies – Operational Program for Aid to the Most Deprived - POAPMC")</f>
        <v>Subsídios Correntes - Programa Operacional de Apoio às Pessoas Mais Carenciadas - POAPMC</v>
      </c>
      <c r="D62" s="951">
        <v>3.5964934799999964</v>
      </c>
      <c r="E62" s="951">
        <v>11.079412</v>
      </c>
      <c r="F62" s="951">
        <v>1.9119512799999989</v>
      </c>
      <c r="G62" s="951">
        <v>2.5203313899999995</v>
      </c>
      <c r="H62" s="957">
        <f t="shared" si="20"/>
        <v>31.819854217205833</v>
      </c>
      <c r="I62" s="957">
        <f t="shared" si="21"/>
        <v>3.2722108954728237E-3</v>
      </c>
      <c r="J62" s="218"/>
      <c r="K62" s="218"/>
      <c r="L62" s="218"/>
      <c r="N62" s="465"/>
      <c r="O62" s="465"/>
    </row>
    <row r="63" spans="3:15" s="296" customFormat="1" ht="15" customHeight="1">
      <c r="C63" s="967" t="str">
        <f>IF(Indice_index!$Z$1=1,"Despesa de Capital","Capital expenditure")</f>
        <v>Despesa de Capital</v>
      </c>
      <c r="D63" s="968">
        <f t="shared" ref="D63:E63" si="22">+D64+D65</f>
        <v>41.481170159999998</v>
      </c>
      <c r="E63" s="968">
        <f t="shared" si="22"/>
        <v>98.483846</v>
      </c>
      <c r="F63" s="968">
        <f t="shared" ref="F63:G63" si="23">+F64+F65</f>
        <v>16.37836626</v>
      </c>
      <c r="G63" s="968">
        <f t="shared" si="23"/>
        <v>12.46682845</v>
      </c>
      <c r="H63" s="969">
        <f t="shared" si="20"/>
        <v>-23.882344233276417</v>
      </c>
      <c r="I63" s="969">
        <f t="shared" si="21"/>
        <v>-2.1038453475962414E-2</v>
      </c>
      <c r="J63" s="661"/>
      <c r="K63" s="297"/>
      <c r="L63" s="297"/>
      <c r="N63" s="465"/>
      <c r="O63" s="465"/>
    </row>
    <row r="64" spans="3:15" ht="15" customHeight="1">
      <c r="C64" s="975" t="str">
        <f>IF(Indice_index!$Z$1=1,"PIDDAC","PIDDAC - Central Admin. Invest. and Expend. Develop. Program")</f>
        <v>PIDDAC</v>
      </c>
      <c r="D64" s="951">
        <v>0.35642126000000002</v>
      </c>
      <c r="E64" s="951">
        <v>2.8776079999999999</v>
      </c>
      <c r="F64" s="951">
        <v>4.8867510000000003E-2</v>
      </c>
      <c r="G64" s="951">
        <v>0</v>
      </c>
      <c r="H64" s="980">
        <f t="shared" si="20"/>
        <v>-100</v>
      </c>
      <c r="I64" s="957">
        <f t="shared" si="21"/>
        <v>-2.6283699290666657E-4</v>
      </c>
      <c r="J64" s="218"/>
      <c r="K64" s="218"/>
      <c r="L64" s="218"/>
      <c r="M64" s="128"/>
      <c r="N64" s="465"/>
      <c r="O64" s="465"/>
    </row>
    <row r="65" spans="3:18" ht="15" customHeight="1">
      <c r="C65" s="975" t="str">
        <f>IF(Indice_index!$Z$1=1,"Outras","Others")</f>
        <v>Outras</v>
      </c>
      <c r="D65" s="951">
        <v>41.1247489</v>
      </c>
      <c r="E65" s="951">
        <v>95.606238000000005</v>
      </c>
      <c r="F65" s="951">
        <v>16.329498749999999</v>
      </c>
      <c r="G65" s="951">
        <v>12.46682845</v>
      </c>
      <c r="H65" s="980">
        <f t="shared" si="20"/>
        <v>-23.654555226320095</v>
      </c>
      <c r="I65" s="957">
        <f t="shared" si="21"/>
        <v>-2.0775616483055745E-2</v>
      </c>
      <c r="J65" s="218"/>
      <c r="K65" s="218"/>
      <c r="L65" s="218"/>
      <c r="N65" s="465"/>
      <c r="O65" s="465"/>
    </row>
    <row r="66" spans="3:18" ht="4.5" customHeight="1">
      <c r="C66" s="950"/>
      <c r="D66" s="951"/>
      <c r="E66" s="951"/>
      <c r="F66" s="951"/>
      <c r="G66" s="951"/>
      <c r="H66" s="957"/>
      <c r="I66" s="950"/>
      <c r="J66" s="218"/>
      <c r="K66" s="218"/>
      <c r="L66" s="218"/>
      <c r="N66" s="465"/>
      <c r="O66" s="465"/>
    </row>
    <row r="67" spans="3:18" s="296" customFormat="1" ht="15" customHeight="1">
      <c r="C67" s="1220" t="str">
        <f>IF(Indice_index!$Z$1=1,"Despesa efetiva","Effective expenditure")</f>
        <v>Despesa efetiva</v>
      </c>
      <c r="D67" s="1221">
        <f>+D34+D63</f>
        <v>31238.276845640001</v>
      </c>
      <c r="E67" s="1221">
        <f>+E34+E63</f>
        <v>31012.808222</v>
      </c>
      <c r="F67" s="1221">
        <f>+F34+F63</f>
        <v>18592.325783209999</v>
      </c>
      <c r="G67" s="1221">
        <f>+G34+G63</f>
        <v>17481.831863980002</v>
      </c>
      <c r="H67" s="976">
        <f>IF(IFERROR((G67-F67)/F67*100,"")&gt;500,"-",IFERROR((G67-F67)/F67*100,""))</f>
        <v>-5.9728617719943387</v>
      </c>
      <c r="I67" s="976"/>
      <c r="J67" s="297"/>
      <c r="K67" s="297"/>
      <c r="L67" s="297"/>
      <c r="N67" s="465"/>
      <c r="O67" s="465"/>
    </row>
    <row r="68" spans="3:18" ht="4.5" customHeight="1">
      <c r="C68" s="1222"/>
      <c r="D68" s="645"/>
      <c r="E68" s="645"/>
      <c r="F68" s="645"/>
      <c r="G68" s="645"/>
      <c r="H68" s="1223"/>
      <c r="I68" s="1223"/>
      <c r="J68" s="218"/>
      <c r="K68" s="218"/>
      <c r="L68" s="218"/>
      <c r="M68" s="128"/>
      <c r="N68" s="465"/>
      <c r="O68" s="465"/>
    </row>
    <row r="69" spans="3:18" s="298" customFormat="1" ht="15" customHeight="1">
      <c r="C69" s="1220" t="str">
        <f>IF(Indice_index!$Z$1=1,"Saldo global","Overall balance")</f>
        <v>Saldo global</v>
      </c>
      <c r="D69" s="1221">
        <f>+D32-D67</f>
        <v>2328.2650340599866</v>
      </c>
      <c r="E69" s="1221">
        <f>+E32-E67</f>
        <v>2596.0109850000008</v>
      </c>
      <c r="F69" s="1221">
        <f>+F32-F67</f>
        <v>-445.66135427999689</v>
      </c>
      <c r="G69" s="1221">
        <f>+G32-G67</f>
        <v>1848.767233229999</v>
      </c>
      <c r="H69" s="1221"/>
      <c r="I69" s="1221"/>
      <c r="J69" s="297"/>
      <c r="K69" s="297"/>
      <c r="L69" s="297"/>
      <c r="M69" s="296"/>
      <c r="N69" s="465"/>
      <c r="O69" s="465"/>
    </row>
    <row r="70" spans="3:18" ht="4.5" customHeight="1">
      <c r="C70" s="955"/>
      <c r="D70" s="951"/>
      <c r="E70" s="951"/>
      <c r="F70" s="951"/>
      <c r="G70" s="951"/>
      <c r="H70" s="950"/>
      <c r="I70" s="950"/>
      <c r="J70" s="218"/>
      <c r="K70" s="218"/>
      <c r="L70" s="218"/>
      <c r="N70" s="465"/>
      <c r="O70" s="465"/>
    </row>
    <row r="71" spans="3:18" ht="15" customHeight="1">
      <c r="C71" s="1217" t="str">
        <f>IF(Indice_index!$Z$1=1,"Ativos financeiros líquidos de reembolsos","Financial assets net of reimbursements")</f>
        <v>Ativos financeiros líquidos de reembolsos</v>
      </c>
      <c r="D71" s="1211">
        <v>4376.8330583500019</v>
      </c>
      <c r="E71" s="1211">
        <v>451.730343</v>
      </c>
      <c r="F71" s="1211">
        <v>1863.1326310000009</v>
      </c>
      <c r="G71" s="1211">
        <v>-1468.7454423599997</v>
      </c>
      <c r="H71" s="1212"/>
      <c r="I71" s="1213"/>
      <c r="J71" s="218"/>
      <c r="K71" s="218"/>
      <c r="L71" s="218"/>
      <c r="N71" s="465"/>
      <c r="O71" s="465"/>
    </row>
    <row r="72" spans="3:18" ht="15" hidden="1" customHeight="1">
      <c r="C72" s="1218" t="str">
        <f>IF(Indice_index!$Z$1=1,"Alienação de partes de Capital","Disposal of Capital Shares")</f>
        <v>Alienação de partes de Capital</v>
      </c>
      <c r="D72" s="1211">
        <v>0</v>
      </c>
      <c r="E72" s="172">
        <v>0</v>
      </c>
      <c r="F72" s="1211">
        <v>0</v>
      </c>
      <c r="G72" s="1211">
        <v>0</v>
      </c>
      <c r="H72" s="1212"/>
      <c r="I72" s="1212"/>
      <c r="J72" s="218"/>
      <c r="K72" s="218"/>
      <c r="L72" s="218"/>
      <c r="N72" s="465"/>
      <c r="O72" s="465"/>
    </row>
    <row r="73" spans="3:18" ht="15" customHeight="1">
      <c r="C73" s="1217" t="str">
        <f>IF(Indice_index!$Z$1=1,"Passivos financeiros líquidos de amortizações","Financial liabilities net of amortizations")</f>
        <v>Passivos financeiros líquidos de amortizações</v>
      </c>
      <c r="D73" s="1211">
        <v>0</v>
      </c>
      <c r="E73" s="172">
        <v>-39.512804000000003</v>
      </c>
      <c r="F73" s="1211">
        <v>0</v>
      </c>
      <c r="G73" s="1211">
        <v>-5.8375830000000004E-2</v>
      </c>
      <c r="H73" s="1212"/>
      <c r="I73" s="1212"/>
      <c r="J73" s="218"/>
      <c r="K73" s="218"/>
      <c r="L73" s="218"/>
      <c r="N73" s="465"/>
      <c r="O73" s="465"/>
    </row>
    <row r="74" spans="3:18" ht="15" customHeight="1">
      <c r="C74" s="1219" t="str">
        <f>IF(Indice_index!$Z$1=1,"Poupança (+) / Utilização (-) de saldo da gerência anterior","Saving (+) / Usage (-) of balance from previous management")</f>
        <v>Poupança (+) / Utilização (-) de saldo da gerência anterior</v>
      </c>
      <c r="D74" s="1214">
        <f t="shared" ref="D74" si="24">+D69-D71+D73</f>
        <v>-2048.5680242900153</v>
      </c>
      <c r="E74" s="1215">
        <v>2104.7678379999934</v>
      </c>
      <c r="F74" s="1214">
        <f t="shared" ref="F74:G74" si="25">+F69-F71+F73</f>
        <v>-2308.7939852799977</v>
      </c>
      <c r="G74" s="1214">
        <f t="shared" si="25"/>
        <v>3317.4542997599988</v>
      </c>
      <c r="H74" s="1216"/>
      <c r="I74" s="1216"/>
      <c r="J74" s="218"/>
      <c r="K74" s="218"/>
      <c r="L74" s="218"/>
      <c r="N74" s="465"/>
      <c r="O74" s="465"/>
    </row>
    <row r="75" spans="3:18" ht="4.5" customHeight="1">
      <c r="C75" s="950"/>
      <c r="D75" s="950"/>
      <c r="E75" s="950"/>
      <c r="F75" s="951"/>
      <c r="G75" s="951"/>
      <c r="H75" s="950"/>
      <c r="I75" s="950"/>
      <c r="J75" s="385"/>
      <c r="K75" s="132"/>
    </row>
    <row r="76" spans="3:18" ht="15" customHeight="1">
      <c r="C76" s="958" t="str">
        <f>IF(Indice_index!$Z$1=1,"Notas:","Notes:")</f>
        <v>Notas:</v>
      </c>
      <c r="D76" s="958"/>
      <c r="E76" s="958"/>
      <c r="F76" s="334"/>
      <c r="G76" s="138"/>
      <c r="H76" s="646"/>
      <c r="I76" s="646"/>
      <c r="K76" s="132"/>
    </row>
    <row r="77" spans="3:18" s="97" customFormat="1" ht="15" customHeight="1">
      <c r="C77" s="1720" t="str">
        <f>IF(Indice_index!$Z$1=1,"Valores consolidados - são excluídas transferências intra-setoriais.","Consolidated data - transfers within the subsector are excluded.")</f>
        <v>Valores consolidados - são excluídas transferências intra-setoriais.</v>
      </c>
      <c r="D77" s="1720"/>
      <c r="E77" s="1720"/>
      <c r="F77" s="1720"/>
      <c r="G77" s="1720"/>
      <c r="H77" s="1720"/>
      <c r="I77" s="1720"/>
    </row>
    <row r="78" spans="3:18" ht="15" customHeight="1">
      <c r="C78" s="1720" t="str">
        <f>IF(Indice_index!$Z$1=1,"As diferenças de consolidação são imputadas a outras receitas e/ou despesas correntes e de capital.","Other current revenues/expenditure and other capital revenues/expenditure are influenced by subsector consolidation differences.")</f>
        <v>As diferenças de consolidação são imputadas a outras receitas e/ou despesas correntes e de capital.</v>
      </c>
      <c r="D78" s="1720"/>
      <c r="E78" s="1720"/>
      <c r="F78" s="1720"/>
      <c r="G78" s="1720"/>
      <c r="H78" s="1720"/>
      <c r="I78" s="1720"/>
      <c r="J78" s="53"/>
      <c r="K78" s="63"/>
    </row>
    <row r="79" spans="3:18" s="22" customFormat="1" ht="15" customHeight="1">
      <c r="C79" s="1721" t="str">
        <f>+'5 - Conta AC + SS'!$C$64</f>
        <v>Os dados de 2021 são mensalmente revistos e atualizados face ao publicado nas Sínteses de Execução Orçamental de 2021.</v>
      </c>
      <c r="D79" s="1721"/>
      <c r="E79" s="1721"/>
      <c r="F79" s="1721"/>
      <c r="G79" s="1721"/>
      <c r="H79" s="1721"/>
      <c r="I79" s="1721"/>
      <c r="J79" s="63"/>
      <c r="Q79" s="24"/>
      <c r="R79" s="24"/>
    </row>
    <row r="80" spans="3:18" ht="62.25" customHeight="1">
      <c r="C80" s="1716" t="str">
        <f>IF(Indice_index!$Z$1=1,C112,C113)</f>
        <v>A linha de despesa "Pensão velhice do regime substitutivo dos bancários" inclui:
- a partir de agosto de 2017, os complementos de pensões dos trabalhadores da Companhia Carris de Ferro de Lisboa, S. A. (Carris), cujo processamento de despesa fica a cargo do Instituto da Segurança Social, I.P., em cumprimento do disposto no Decreto-Lei n.º 95/2017, de 10 de agosto;
- a partir de janeiro de 2020, os complementos de pensões dos trabalhadores da Sociedade de Transportes Coletivos do Porto, S.A. (STCP), cujo processamento de despesa fica a cargo do Instituto da Segurança Social, I.P., em cumprimento do disposto no Decreto-Lei n.º 151/2019,de 11 de outubro.</v>
      </c>
      <c r="D80" s="1716"/>
      <c r="E80" s="1716"/>
      <c r="F80" s="1716"/>
      <c r="G80" s="1716"/>
      <c r="H80" s="1716"/>
      <c r="I80" s="1716"/>
      <c r="J80" s="53"/>
      <c r="K80" s="63"/>
    </row>
    <row r="81" spans="3:11" ht="4.5" customHeight="1">
      <c r="C81" s="646"/>
      <c r="D81" s="646"/>
      <c r="E81" s="646"/>
      <c r="F81" s="959"/>
      <c r="G81" s="960"/>
      <c r="H81" s="646"/>
      <c r="I81" s="646"/>
    </row>
    <row r="82" spans="3:11" ht="15" customHeight="1">
      <c r="C82" s="950" t="str">
        <f>IF(Indice_index!$Z$1=1,"Fonte: Instituto de Gestão Financeira da Segurança Social, IP","Souce: Social Security Finance Management Institute")</f>
        <v>Fonte: Instituto de Gestão Financeira da Segurança Social, IP</v>
      </c>
      <c r="D82" s="950"/>
      <c r="E82" s="950"/>
      <c r="F82" s="138"/>
      <c r="G82" s="138"/>
      <c r="H82" s="646"/>
      <c r="I82" s="646"/>
    </row>
    <row r="83" spans="3:11">
      <c r="C83" s="646"/>
      <c r="D83" s="646"/>
      <c r="E83" s="646"/>
      <c r="F83" s="647"/>
      <c r="G83" s="647"/>
      <c r="H83" s="647"/>
      <c r="I83" s="647"/>
      <c r="J83" s="63"/>
      <c r="K83" s="57"/>
    </row>
    <row r="84" spans="3:11">
      <c r="C84" s="646"/>
      <c r="D84" s="646"/>
      <c r="E84" s="646"/>
      <c r="F84" s="959"/>
      <c r="G84" s="959"/>
      <c r="H84" s="646"/>
      <c r="I84" s="646"/>
    </row>
    <row r="85" spans="3:11" ht="12.75">
      <c r="C85" s="646"/>
      <c r="D85" s="646"/>
      <c r="E85" s="646"/>
      <c r="F85" s="138"/>
      <c r="G85" s="138"/>
      <c r="H85" s="646"/>
      <c r="I85" s="646"/>
    </row>
    <row r="86" spans="3:11">
      <c r="C86" s="646"/>
      <c r="D86" s="646"/>
      <c r="E86" s="646"/>
      <c r="F86" s="959"/>
      <c r="G86" s="959"/>
      <c r="H86" s="646"/>
      <c r="I86" s="646"/>
    </row>
    <row r="87" spans="3:11">
      <c r="C87" s="646"/>
      <c r="D87" s="646"/>
      <c r="E87" s="646"/>
      <c r="F87" s="959"/>
      <c r="G87" s="959"/>
      <c r="H87" s="646"/>
      <c r="I87" s="646"/>
    </row>
    <row r="88" spans="3:11">
      <c r="C88" s="646"/>
      <c r="D88" s="646"/>
      <c r="E88" s="646"/>
      <c r="F88" s="959"/>
      <c r="G88" s="959"/>
      <c r="H88" s="646"/>
      <c r="I88" s="646"/>
    </row>
    <row r="89" spans="3:11">
      <c r="C89" s="646"/>
      <c r="D89" s="646"/>
      <c r="E89" s="646"/>
      <c r="F89" s="959"/>
      <c r="G89" s="959"/>
      <c r="H89" s="646"/>
      <c r="I89" s="646"/>
    </row>
    <row r="90" spans="3:11">
      <c r="C90" s="646"/>
      <c r="D90" s="646"/>
      <c r="E90" s="646"/>
      <c r="F90" s="959"/>
      <c r="G90" s="959"/>
      <c r="H90" s="646"/>
      <c r="I90" s="646"/>
    </row>
    <row r="91" spans="3:11">
      <c r="C91" s="646"/>
      <c r="D91" s="646"/>
      <c r="E91" s="646"/>
      <c r="F91" s="959"/>
      <c r="G91" s="959"/>
      <c r="H91" s="646"/>
      <c r="I91" s="646"/>
    </row>
    <row r="92" spans="3:11">
      <c r="C92" s="646"/>
      <c r="D92" s="646"/>
      <c r="E92" s="646"/>
      <c r="F92" s="959"/>
      <c r="G92" s="959"/>
      <c r="H92" s="646"/>
      <c r="I92" s="646"/>
    </row>
    <row r="93" spans="3:11">
      <c r="C93" s="646"/>
      <c r="D93" s="646"/>
      <c r="E93" s="646"/>
      <c r="F93" s="959"/>
      <c r="G93" s="959"/>
      <c r="H93" s="646"/>
      <c r="I93" s="646"/>
    </row>
    <row r="94" spans="3:11">
      <c r="C94" s="646"/>
      <c r="D94" s="646"/>
      <c r="E94" s="646"/>
      <c r="F94" s="959"/>
      <c r="G94" s="959"/>
      <c r="H94" s="646"/>
      <c r="I94" s="646"/>
    </row>
    <row r="95" spans="3:11">
      <c r="C95" s="646"/>
      <c r="D95" s="646"/>
      <c r="E95" s="646"/>
      <c r="F95" s="959"/>
      <c r="G95" s="959"/>
      <c r="H95" s="646"/>
      <c r="I95" s="646"/>
    </row>
    <row r="96" spans="3:11">
      <c r="C96" s="646"/>
      <c r="D96" s="646"/>
      <c r="E96" s="646"/>
      <c r="F96" s="959"/>
      <c r="G96" s="959"/>
      <c r="H96" s="646"/>
      <c r="I96" s="646"/>
    </row>
    <row r="97" spans="3:9">
      <c r="C97" s="646"/>
      <c r="D97" s="646"/>
      <c r="E97" s="646"/>
      <c r="F97" s="959"/>
      <c r="G97" s="959"/>
      <c r="H97" s="646"/>
      <c r="I97" s="646"/>
    </row>
    <row r="98" spans="3:9">
      <c r="C98" s="646"/>
      <c r="D98" s="646"/>
      <c r="E98" s="646"/>
      <c r="F98" s="959"/>
      <c r="G98" s="959"/>
      <c r="H98" s="646"/>
      <c r="I98" s="646"/>
    </row>
    <row r="99" spans="3:9">
      <c r="C99" s="646"/>
      <c r="D99" s="646"/>
      <c r="E99" s="646"/>
      <c r="F99" s="959"/>
      <c r="G99" s="959"/>
      <c r="H99" s="646"/>
      <c r="I99" s="646"/>
    </row>
    <row r="100" spans="3:9">
      <c r="C100" s="646"/>
      <c r="D100" s="646"/>
      <c r="E100" s="646"/>
      <c r="F100" s="959"/>
      <c r="G100" s="959"/>
      <c r="H100" s="646"/>
      <c r="I100" s="646"/>
    </row>
    <row r="101" spans="3:9">
      <c r="C101" s="646"/>
      <c r="D101" s="646"/>
      <c r="E101" s="646"/>
      <c r="F101" s="959"/>
      <c r="G101" s="959"/>
      <c r="H101" s="646"/>
      <c r="I101" s="646"/>
    </row>
    <row r="102" spans="3:9">
      <c r="C102" s="646"/>
      <c r="D102" s="646"/>
      <c r="E102" s="646"/>
      <c r="F102" s="959"/>
      <c r="G102" s="959"/>
      <c r="H102" s="646"/>
      <c r="I102" s="646"/>
    </row>
    <row r="103" spans="3:9">
      <c r="C103" s="646"/>
      <c r="D103" s="646"/>
      <c r="E103" s="646"/>
      <c r="F103" s="959"/>
      <c r="G103" s="959"/>
      <c r="H103" s="646"/>
      <c r="I103" s="646"/>
    </row>
    <row r="104" spans="3:9">
      <c r="C104" s="646"/>
      <c r="D104" s="646"/>
      <c r="E104" s="646"/>
      <c r="F104" s="959"/>
      <c r="G104" s="959"/>
      <c r="H104" s="646"/>
      <c r="I104" s="646"/>
    </row>
    <row r="109" spans="3:9">
      <c r="C109" s="212"/>
      <c r="D109" s="212"/>
      <c r="E109" s="212"/>
    </row>
    <row r="110" spans="3:9" s="135" customFormat="1">
      <c r="C110" s="133" t="s">
        <v>7</v>
      </c>
      <c r="D110" s="133"/>
      <c r="E110" s="133"/>
      <c r="F110" s="134"/>
      <c r="G110" s="134"/>
    </row>
    <row r="111" spans="3:9">
      <c r="C111" s="133" t="s">
        <v>8</v>
      </c>
      <c r="D111" s="133"/>
      <c r="E111" s="133"/>
    </row>
    <row r="112" spans="3:9">
      <c r="C112" s="365" t="s">
        <v>59</v>
      </c>
      <c r="D112" s="362"/>
      <c r="E112" s="362"/>
      <c r="F112" s="363"/>
      <c r="G112" s="363"/>
      <c r="H112" s="364"/>
      <c r="I112" s="364"/>
    </row>
    <row r="113" spans="3:9">
      <c r="C113" s="365" t="s">
        <v>60</v>
      </c>
      <c r="D113" s="362"/>
      <c r="E113" s="362"/>
      <c r="F113" s="363"/>
      <c r="G113" s="363"/>
      <c r="H113" s="364"/>
      <c r="I113" s="364"/>
    </row>
  </sheetData>
  <mergeCells count="6">
    <mergeCell ref="C80:I80"/>
    <mergeCell ref="F6:G6"/>
    <mergeCell ref="H6:I6"/>
    <mergeCell ref="C77:I77"/>
    <mergeCell ref="C78:I78"/>
    <mergeCell ref="C79:I79"/>
  </mergeCells>
  <printOptions horizontalCentered="1"/>
  <pageMargins left="0.70866141732283472" right="0.70866141732283472" top="0.74803149606299213" bottom="0.74803149606299213" header="0.74803149606299213" footer="0.35433070866141736"/>
  <pageSetup paperSize="9" scale="60" orientation="portrait" r:id="rId1"/>
  <headerFooter differentOddEven="1">
    <oddFooter>&amp;R&amp;G</oddFooter>
    <evenFooter>&amp;L&amp;G</evenFooter>
  </headerFooter>
  <ignoredErrors>
    <ignoredError sqref="C80 F77:G77 H77:I77 C77:C78 H7:I7 I6 G6 E6:F6 H6 D6" unlockedFormula="1"/>
    <ignoredError sqref="F33:G33 E9:G9 D35:D36 F14:G14 F35:G36 D9 D14:E14 E35:E36" formulaRange="1"/>
    <ignoredError sqref="E7:G7 D7" numberStoredAsText="1" unlockedFormula="1"/>
  </ignoredErrors>
  <drawing r:id="rId2"/>
  <legacyDrawingHF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Folha17"/>
  <dimension ref="B1:AB149"/>
  <sheetViews>
    <sheetView showGridLines="0" zoomScaleNormal="100" zoomScaleSheetLayoutView="100" workbookViewId="0">
      <selection activeCell="B2" sqref="B2"/>
    </sheetView>
  </sheetViews>
  <sheetFormatPr defaultColWidth="9.140625" defaultRowHeight="15"/>
  <cols>
    <col min="1" max="1" width="3.5703125" style="478" customWidth="1"/>
    <col min="2" max="2" width="4.42578125" style="478" customWidth="1"/>
    <col min="3" max="3" width="49" style="478" customWidth="1"/>
    <col min="4" max="5" width="9.42578125" style="478" customWidth="1"/>
    <col min="6" max="6" width="9.42578125" style="479" customWidth="1"/>
    <col min="7" max="7" width="10.5703125" style="479" customWidth="1"/>
    <col min="8" max="8" width="9.42578125" style="489" customWidth="1"/>
    <col min="9" max="9" width="9.42578125" style="479" customWidth="1"/>
    <col min="10" max="10" width="20.7109375" style="478" bestFit="1" customWidth="1"/>
    <col min="11" max="11" width="18.28515625" style="478" bestFit="1" customWidth="1"/>
    <col min="12" max="15" width="8.5703125" style="478" customWidth="1"/>
    <col min="16" max="16384" width="9.140625" style="478"/>
  </cols>
  <sheetData>
    <row r="1" spans="2:19" ht="15" customHeight="1">
      <c r="G1" s="480"/>
      <c r="H1" s="481"/>
      <c r="I1" s="482"/>
    </row>
    <row r="2" spans="2:19" ht="24" customHeight="1">
      <c r="B2" s="8"/>
      <c r="C2" s="51" t="str">
        <f>IF(Indice_index!$Z$1=1,"13 - Execução Orçamental da Segurança Social por Classificação Económica","13 - Social Security Budget Execution by Economic Categories")</f>
        <v>13 - Execução Orçamental da Segurança Social por Classificação Económica</v>
      </c>
      <c r="D2" s="51"/>
      <c r="E2" s="51"/>
      <c r="F2" s="51"/>
      <c r="G2" s="51"/>
      <c r="H2" s="51"/>
      <c r="I2" s="51"/>
      <c r="J2" s="483"/>
      <c r="K2" s="483"/>
      <c r="L2" s="483"/>
      <c r="M2" s="483"/>
      <c r="N2" s="483"/>
      <c r="O2" s="483"/>
      <c r="P2" s="483"/>
      <c r="Q2" s="483"/>
      <c r="R2" s="483"/>
      <c r="S2" s="483"/>
    </row>
    <row r="3" spans="2:19" ht="15" customHeight="1">
      <c r="B3" s="483"/>
      <c r="C3" s="484"/>
      <c r="D3" s="484"/>
      <c r="E3" s="484"/>
      <c r="F3" s="485"/>
      <c r="G3" s="485"/>
      <c r="H3" s="481"/>
      <c r="I3" s="482"/>
      <c r="J3" s="486"/>
      <c r="K3" s="483"/>
      <c r="L3" s="483"/>
      <c r="M3" s="483"/>
      <c r="N3" s="483"/>
      <c r="O3" s="483"/>
      <c r="P3" s="483"/>
      <c r="Q3" s="483"/>
      <c r="R3" s="483"/>
      <c r="S3" s="483"/>
    </row>
    <row r="4" spans="2:19" ht="15" customHeight="1">
      <c r="B4" s="483"/>
      <c r="C4" s="487"/>
      <c r="D4" s="487"/>
      <c r="E4" s="487"/>
      <c r="F4" s="488"/>
      <c r="G4" s="488"/>
      <c r="I4" s="478"/>
      <c r="J4" s="486"/>
      <c r="K4" s="483"/>
      <c r="M4" s="483"/>
      <c r="N4" s="483"/>
      <c r="O4" s="483"/>
      <c r="P4" s="483"/>
      <c r="Q4" s="483"/>
      <c r="R4" s="483"/>
      <c r="S4" s="483"/>
    </row>
    <row r="5" spans="2:19" s="491" customFormat="1" ht="15" customHeight="1">
      <c r="B5" s="490"/>
      <c r="C5" s="915" t="str">
        <f>+'5 - Conta AC + SS'!C5</f>
        <v>Período: janeiro a julho</v>
      </c>
      <c r="D5" s="915"/>
      <c r="E5" s="915"/>
      <c r="F5" s="916"/>
      <c r="G5" s="916"/>
      <c r="H5" s="917"/>
      <c r="I5" s="918" t="str">
        <f>IF(Indice_index!$Z$1=1,"€ Milhões","€ Millions")</f>
        <v>€ Milhões</v>
      </c>
      <c r="J5" s="490"/>
      <c r="K5" s="490"/>
      <c r="L5" s="490"/>
      <c r="M5" s="490"/>
      <c r="N5" s="490"/>
      <c r="O5" s="490"/>
      <c r="P5" s="490"/>
      <c r="Q5" s="490"/>
      <c r="R5" s="490"/>
      <c r="S5" s="490"/>
    </row>
    <row r="6" spans="2:19" ht="27" customHeight="1">
      <c r="B6" s="483"/>
      <c r="C6" s="919"/>
      <c r="D6" s="920" t="str">
        <f>IF(Indice_index!$Z$1=1,"CGE","Final execution")</f>
        <v>CGE</v>
      </c>
      <c r="E6" s="920" t="str">
        <f>IF(Indice_index!$Z$1=1,"Orçamento Inicial","Budget")</f>
        <v>Orçamento Inicial</v>
      </c>
      <c r="F6" s="1717" t="str">
        <f>IF(Indice_index!$Z$1=1,"Execução Acumulada","Accumulated Execution")</f>
        <v>Execução Acumulada</v>
      </c>
      <c r="G6" s="1717"/>
      <c r="H6" s="1718" t="str">
        <f>IF(Indice_index!$Z$1=1,"Variação Homóloga Acumulada","YOY Change Rate")</f>
        <v>Variação Homóloga Acumulada</v>
      </c>
      <c r="I6" s="1719"/>
      <c r="J6" s="492"/>
      <c r="K6" s="85"/>
      <c r="L6" s="483"/>
      <c r="M6" s="493"/>
      <c r="N6" s="493"/>
      <c r="O6" s="85"/>
      <c r="P6" s="86"/>
      <c r="Q6" s="483"/>
      <c r="R6" s="483"/>
      <c r="S6" s="483"/>
    </row>
    <row r="7" spans="2:19" ht="33" customHeight="1">
      <c r="B7" s="483"/>
      <c r="C7" s="921"/>
      <c r="D7" s="922" t="s">
        <v>67</v>
      </c>
      <c r="E7" s="922" t="s">
        <v>74</v>
      </c>
      <c r="F7" s="923" t="s">
        <v>67</v>
      </c>
      <c r="G7" s="923" t="s">
        <v>74</v>
      </c>
      <c r="H7" s="924" t="str">
        <f>IF(Indice_index!$Z$1=1,"Relativa (%)","Relative change (%)")</f>
        <v>Relativa (%)</v>
      </c>
      <c r="I7" s="925" t="str">
        <f>IF(Indice_index!$Z$1=1,"Contributo VHA (p.p.)","YOY Change Rate Contrib. (p.p.)")</f>
        <v>Contributo VHA (p.p.)</v>
      </c>
      <c r="J7" s="494"/>
      <c r="K7" s="492"/>
      <c r="L7" s="483"/>
      <c r="M7" s="483"/>
      <c r="N7" s="483"/>
      <c r="O7" s="483"/>
      <c r="P7" s="483"/>
      <c r="Q7" s="483"/>
      <c r="R7" s="483"/>
      <c r="S7" s="483"/>
    </row>
    <row r="8" spans="2:19" s="491" customFormat="1" ht="15" customHeight="1">
      <c r="B8" s="490"/>
      <c r="C8" s="926" t="str">
        <f>IF(Indice_index!$Z$1=1,"Receita corrente","Current revenue")</f>
        <v>Receita corrente</v>
      </c>
      <c r="D8" s="927">
        <f t="shared" ref="D8:E8" si="0">+D9+D12+D13+D14+D19</f>
        <v>33565.626426610004</v>
      </c>
      <c r="E8" s="927">
        <f t="shared" si="0"/>
        <v>33601.192499999997</v>
      </c>
      <c r="F8" s="927">
        <f t="shared" ref="F8:G8" si="1">+F9+F12+F13+F14+F19</f>
        <v>18146.202354590001</v>
      </c>
      <c r="G8" s="927">
        <f t="shared" si="1"/>
        <v>19330.270459799998</v>
      </c>
      <c r="H8" s="927">
        <f>IF(IFERROR((G8-F8)/F8*100,"")&gt;500,"-",IFERROR((G8-F8)/F8*100,""))</f>
        <v>6.5251565152445927</v>
      </c>
      <c r="I8" s="927">
        <f>IFERROR((G8-F8)/$F$29*100,"-")</f>
        <v>6.5249903630901844</v>
      </c>
      <c r="J8" s="495"/>
      <c r="K8" s="495"/>
      <c r="L8" s="495"/>
      <c r="M8" s="496"/>
      <c r="N8" s="497"/>
      <c r="O8" s="497"/>
      <c r="P8" s="496"/>
      <c r="Q8" s="490"/>
      <c r="R8" s="490"/>
      <c r="S8" s="490"/>
    </row>
    <row r="9" spans="2:19" ht="15" customHeight="1">
      <c r="B9" s="483"/>
      <c r="C9" s="928" t="str">
        <f>IF(Indice_index!$Z$1=1,"Receitas fiscais","Tax revenue")</f>
        <v>Receitas fiscais</v>
      </c>
      <c r="D9" s="929">
        <f t="shared" ref="D9:E9" si="2">+D10+D11</f>
        <v>212.25092951000005</v>
      </c>
      <c r="E9" s="929">
        <f t="shared" si="2"/>
        <v>239.990139</v>
      </c>
      <c r="F9" s="929">
        <f t="shared" ref="F9:G9" si="3">+F10+F11</f>
        <v>121.9170304</v>
      </c>
      <c r="G9" s="929">
        <f t="shared" si="3"/>
        <v>132.82032068999999</v>
      </c>
      <c r="H9" s="930">
        <f t="shared" ref="H9:H27" si="4">IF(IFERROR((G9-F9)/F9*100,"")&gt;500,"-",IFERROR((G9-F9)/F9*100,""))</f>
        <v>8.9432052718370567</v>
      </c>
      <c r="I9" s="930">
        <f t="shared" ref="I9:I26" si="5">IFERROR((G9-F9)/$F$29*100,"-")</f>
        <v>6.0084266905920225E-2</v>
      </c>
      <c r="J9" s="498"/>
      <c r="K9" s="498"/>
      <c r="L9" s="498"/>
      <c r="M9" s="499"/>
      <c r="N9" s="497"/>
      <c r="O9" s="497"/>
      <c r="P9" s="499"/>
      <c r="Q9" s="483"/>
      <c r="R9" s="483"/>
      <c r="S9" s="483"/>
    </row>
    <row r="10" spans="2:19" ht="15" hidden="1" customHeight="1">
      <c r="B10" s="483"/>
      <c r="C10" s="931" t="str">
        <f>IF(Indice_index!$Z$1=1,"Impostos diretos","Direct taxes")</f>
        <v>Impostos diretos</v>
      </c>
      <c r="D10" s="929">
        <v>0</v>
      </c>
      <c r="E10" s="929">
        <v>0</v>
      </c>
      <c r="F10" s="929">
        <v>0</v>
      </c>
      <c r="G10" s="929">
        <v>0</v>
      </c>
      <c r="H10" s="932" t="str">
        <f t="shared" si="4"/>
        <v>-</v>
      </c>
      <c r="I10" s="932">
        <f t="shared" si="5"/>
        <v>0</v>
      </c>
      <c r="J10" s="498"/>
      <c r="K10" s="498"/>
      <c r="L10" s="498"/>
      <c r="M10" s="483"/>
      <c r="N10" s="497"/>
      <c r="O10" s="497"/>
      <c r="P10" s="483"/>
      <c r="Q10" s="483"/>
      <c r="R10" s="483"/>
      <c r="S10" s="483"/>
    </row>
    <row r="11" spans="2:19" ht="15" customHeight="1">
      <c r="B11" s="483"/>
      <c r="C11" s="931" t="str">
        <f>IF(Indice_index!$Z$1=1,"Impostos indiretos","Indirect taxes")</f>
        <v>Impostos indiretos</v>
      </c>
      <c r="D11" s="929">
        <v>212.25092951000005</v>
      </c>
      <c r="E11" s="929">
        <v>239.990139</v>
      </c>
      <c r="F11" s="929">
        <v>121.9170304</v>
      </c>
      <c r="G11" s="929">
        <v>132.82032068999999</v>
      </c>
      <c r="H11" s="932">
        <f t="shared" si="4"/>
        <v>8.9432052718370567</v>
      </c>
      <c r="I11" s="932">
        <f t="shared" si="5"/>
        <v>6.0084266905920225E-2</v>
      </c>
      <c r="J11" s="498"/>
      <c r="K11" s="498"/>
      <c r="L11" s="498"/>
      <c r="M11" s="483"/>
      <c r="N11" s="497"/>
      <c r="O11" s="497"/>
      <c r="P11" s="483"/>
      <c r="Q11" s="483"/>
      <c r="R11" s="483"/>
      <c r="S11" s="483"/>
    </row>
    <row r="12" spans="2:19" ht="15" customHeight="1">
      <c r="B12" s="483"/>
      <c r="C12" s="928" t="str">
        <f>IF(Indice_index!$Z$1=1,"Contribuições para Segurança Social, CGA e ADSE","Contributions to the Social Security, Public Servants Social and ADSE")</f>
        <v>Contribuições para Segurança Social, CGA e ADSE</v>
      </c>
      <c r="D12" s="929">
        <v>19953.700139089997</v>
      </c>
      <c r="E12" s="929">
        <v>21165.819378</v>
      </c>
      <c r="F12" s="929">
        <v>10998.416102720001</v>
      </c>
      <c r="G12" s="929">
        <v>12372.260110599998</v>
      </c>
      <c r="H12" s="932">
        <f t="shared" si="4"/>
        <v>12.491289609785126</v>
      </c>
      <c r="I12" s="932">
        <f t="shared" si="5"/>
        <v>7.5707798160954081</v>
      </c>
      <c r="J12" s="498"/>
      <c r="K12" s="655"/>
      <c r="L12" s="498"/>
      <c r="M12" s="483"/>
      <c r="N12" s="497"/>
      <c r="O12" s="497"/>
      <c r="P12" s="483"/>
      <c r="Q12" s="483"/>
      <c r="R12" s="483"/>
      <c r="S12" s="483"/>
    </row>
    <row r="13" spans="2:19" ht="15" customHeight="1">
      <c r="B13" s="483"/>
      <c r="C13" s="928" t="str">
        <f>IF(Indice_index!$Z$1=1,"Taxas, Multas e Outras Penalidades","Taxes, fines and other penalties")</f>
        <v>Taxas, Multas e Outras Penalidades</v>
      </c>
      <c r="D13" s="929">
        <v>76.977224400000026</v>
      </c>
      <c r="E13" s="929">
        <v>88.190309999999997</v>
      </c>
      <c r="F13" s="929">
        <v>40.588613459999991</v>
      </c>
      <c r="G13" s="929">
        <v>51.4496635</v>
      </c>
      <c r="H13" s="932">
        <f t="shared" si="4"/>
        <v>26.758859478418877</v>
      </c>
      <c r="I13" s="932">
        <f t="shared" si="5"/>
        <v>5.9851495477510293E-2</v>
      </c>
      <c r="J13" s="498"/>
      <c r="K13" s="498"/>
      <c r="L13" s="498"/>
      <c r="M13" s="483"/>
      <c r="N13" s="497"/>
      <c r="O13" s="497"/>
      <c r="P13" s="483"/>
      <c r="Q13" s="483"/>
      <c r="R13" s="483"/>
      <c r="S13" s="483"/>
    </row>
    <row r="14" spans="2:19" ht="15" customHeight="1">
      <c r="B14" s="483"/>
      <c r="C14" s="928" t="str">
        <f>IF(Indice_index!$Z$1=1,"Transferências Correntes","Current transfers")</f>
        <v>Transferências Correntes</v>
      </c>
      <c r="D14" s="933">
        <f t="shared" ref="D14:E14" si="6">SUM(D15:D18)</f>
        <v>12301.049313010004</v>
      </c>
      <c r="E14" s="933">
        <f t="shared" si="6"/>
        <v>11375.892560999999</v>
      </c>
      <c r="F14" s="933">
        <f t="shared" ref="F14:G14" si="7">SUM(F15:F18)</f>
        <v>6410.2476733600006</v>
      </c>
      <c r="G14" s="933">
        <f t="shared" si="7"/>
        <v>6299.9659884200009</v>
      </c>
      <c r="H14" s="932">
        <f t="shared" si="4"/>
        <v>-1.7203966298886282</v>
      </c>
      <c r="I14" s="932">
        <f t="shared" si="5"/>
        <v>-0.60772427556540365</v>
      </c>
      <c r="J14" s="498"/>
      <c r="K14" s="498"/>
      <c r="L14" s="498"/>
      <c r="M14" s="483"/>
      <c r="N14" s="497"/>
      <c r="O14" s="497"/>
      <c r="P14" s="483"/>
      <c r="Q14" s="483"/>
      <c r="R14" s="483"/>
      <c r="S14" s="483"/>
    </row>
    <row r="15" spans="2:19" ht="15" customHeight="1">
      <c r="B15" s="483"/>
      <c r="C15" s="934" t="str">
        <f>IF(Indice_index!$Z$1=1,"Administração Central","Central Administration")</f>
        <v>Administração Central</v>
      </c>
      <c r="D15" s="929">
        <v>10871.419801170003</v>
      </c>
      <c r="E15" s="929">
        <v>9566.7203549999995</v>
      </c>
      <c r="F15" s="929">
        <v>5591.41217435</v>
      </c>
      <c r="G15" s="929">
        <v>5633.6967874600005</v>
      </c>
      <c r="H15" s="932">
        <f t="shared" si="4"/>
        <v>0.7562421047043637</v>
      </c>
      <c r="I15" s="932">
        <f t="shared" si="5"/>
        <v>0.23301589818671559</v>
      </c>
      <c r="J15" s="498"/>
      <c r="K15" s="498"/>
      <c r="L15" s="498"/>
      <c r="M15" s="483"/>
      <c r="N15" s="497"/>
      <c r="O15" s="497"/>
      <c r="P15" s="483"/>
      <c r="Q15" s="483"/>
      <c r="R15" s="483"/>
      <c r="S15" s="483"/>
    </row>
    <row r="16" spans="2:19" ht="15" hidden="1" customHeight="1">
      <c r="B16" s="483"/>
      <c r="C16" s="931" t="str">
        <f>IF(Indice_index!$Z$1=1,"Outros subsectores das AP","Other General Government subsectors")</f>
        <v>Outros subsectores das AP</v>
      </c>
      <c r="D16" s="929">
        <v>0</v>
      </c>
      <c r="E16" s="929">
        <v>0</v>
      </c>
      <c r="F16" s="929">
        <v>0</v>
      </c>
      <c r="G16" s="929">
        <v>0</v>
      </c>
      <c r="H16" s="932" t="str">
        <f t="shared" si="4"/>
        <v>-</v>
      </c>
      <c r="I16" s="932">
        <f t="shared" si="5"/>
        <v>0</v>
      </c>
      <c r="J16" s="498"/>
      <c r="K16" s="498"/>
      <c r="L16" s="498"/>
      <c r="M16" s="483"/>
      <c r="N16" s="497"/>
      <c r="O16" s="497"/>
      <c r="P16" s="483"/>
      <c r="Q16" s="483"/>
      <c r="R16" s="483"/>
      <c r="S16" s="483"/>
    </row>
    <row r="17" spans="2:28" ht="15" customHeight="1">
      <c r="B17" s="483"/>
      <c r="C17" s="931" t="str">
        <f>IF(Indice_index!$Z$1=1,"União Europeia","European Union")</f>
        <v>União Europeia</v>
      </c>
      <c r="D17" s="929">
        <v>1427.2160138600002</v>
      </c>
      <c r="E17" s="929">
        <v>1807.172206</v>
      </c>
      <c r="F17" s="929">
        <v>817.28761698000005</v>
      </c>
      <c r="G17" s="929">
        <v>664.93093173</v>
      </c>
      <c r="H17" s="932">
        <f t="shared" si="4"/>
        <v>-18.641746440865063</v>
      </c>
      <c r="I17" s="932">
        <f t="shared" si="5"/>
        <v>-0.83958507000938454</v>
      </c>
      <c r="J17" s="498"/>
      <c r="K17" s="498"/>
      <c r="L17" s="498"/>
      <c r="M17" s="483"/>
      <c r="N17" s="497"/>
      <c r="O17" s="497"/>
      <c r="P17" s="483"/>
      <c r="Q17" s="483"/>
      <c r="R17" s="483"/>
      <c r="S17" s="483"/>
      <c r="T17" s="483"/>
      <c r="U17" s="483"/>
      <c r="V17" s="483"/>
      <c r="W17" s="483"/>
      <c r="X17" s="483"/>
      <c r="Y17" s="483"/>
      <c r="Z17" s="483"/>
      <c r="AA17" s="483"/>
      <c r="AB17" s="483"/>
    </row>
    <row r="18" spans="2:28" ht="15" customHeight="1">
      <c r="B18" s="483"/>
      <c r="C18" s="931" t="str">
        <f>IF(Indice_index!$Z$1=1,"Outras transferências","Other transfers")</f>
        <v>Outras transferências</v>
      </c>
      <c r="D18" s="929">
        <v>2.4134979799999998</v>
      </c>
      <c r="E18" s="929">
        <v>2</v>
      </c>
      <c r="F18" s="929">
        <v>1.5478820299999998</v>
      </c>
      <c r="G18" s="929">
        <v>1.3382692300000003</v>
      </c>
      <c r="H18" s="932">
        <f t="shared" si="4"/>
        <v>-13.541910555031093</v>
      </c>
      <c r="I18" s="932">
        <f t="shared" si="5"/>
        <v>-1.1551037427342734E-3</v>
      </c>
      <c r="J18" s="498"/>
      <c r="K18" s="498"/>
      <c r="L18" s="498"/>
      <c r="M18" s="483"/>
      <c r="N18" s="497"/>
      <c r="O18" s="497"/>
      <c r="P18" s="483"/>
      <c r="Q18" s="483"/>
      <c r="R18" s="483"/>
      <c r="S18" s="483"/>
      <c r="T18" s="483"/>
      <c r="U18" s="483"/>
      <c r="V18" s="483"/>
      <c r="W18" s="483"/>
      <c r="X18" s="483"/>
      <c r="Y18" s="483"/>
      <c r="Z18" s="483"/>
      <c r="AA18" s="483"/>
      <c r="AB18" s="483"/>
    </row>
    <row r="19" spans="2:28" ht="15" customHeight="1">
      <c r="B19" s="500"/>
      <c r="C19" s="928" t="str">
        <f>IF(Indice_index!$Z$1=1,"Outras receitas correntes","Other current revenue")</f>
        <v>Outras receitas correntes</v>
      </c>
      <c r="D19" s="929">
        <v>1021.6488205999999</v>
      </c>
      <c r="E19" s="929">
        <v>731.30011200000001</v>
      </c>
      <c r="F19" s="929">
        <v>575.0329346499999</v>
      </c>
      <c r="G19" s="929">
        <v>473.77437659000003</v>
      </c>
      <c r="H19" s="932">
        <f t="shared" si="4"/>
        <v>-17.609175398211235</v>
      </c>
      <c r="I19" s="932">
        <f t="shared" si="5"/>
        <v>-0.55800093982324483</v>
      </c>
      <c r="J19" s="498"/>
      <c r="K19" s="498"/>
      <c r="L19" s="498"/>
      <c r="M19" s="483"/>
      <c r="N19" s="497"/>
      <c r="O19" s="497"/>
      <c r="P19" s="483"/>
      <c r="Q19" s="483"/>
      <c r="R19" s="483"/>
      <c r="S19" s="483"/>
      <c r="T19" s="483"/>
      <c r="U19" s="483"/>
      <c r="V19" s="483"/>
      <c r="W19" s="483"/>
      <c r="X19" s="483"/>
      <c r="Y19" s="483"/>
      <c r="Z19" s="483"/>
      <c r="AA19" s="483"/>
      <c r="AB19" s="483"/>
    </row>
    <row r="20" spans="2:28" s="491" customFormat="1" ht="15" customHeight="1">
      <c r="B20" s="501"/>
      <c r="C20" s="926" t="str">
        <f>IF(Indice_index!$Z$1=1,"Receita de capital","Capital revenue")</f>
        <v>Receita de capital</v>
      </c>
      <c r="D20" s="927">
        <f t="shared" ref="D20:E20" si="8">+D21+D22+D27</f>
        <v>0.91545309000000008</v>
      </c>
      <c r="E20" s="927">
        <f t="shared" si="8"/>
        <v>7.6267070000000006</v>
      </c>
      <c r="F20" s="927">
        <f t="shared" ref="F20:G20" si="9">+F21+F22+F27</f>
        <v>0.46207433999999997</v>
      </c>
      <c r="G20" s="927">
        <f t="shared" si="9"/>
        <v>0.32863741000000002</v>
      </c>
      <c r="H20" s="927">
        <f t="shared" si="4"/>
        <v>-28.877805679493036</v>
      </c>
      <c r="I20" s="927">
        <f t="shared" si="5"/>
        <v>-7.353248335119399E-4</v>
      </c>
      <c r="J20" s="495"/>
      <c r="K20" s="495"/>
      <c r="L20" s="495"/>
      <c r="M20" s="490"/>
      <c r="N20" s="497"/>
      <c r="O20" s="497"/>
      <c r="P20" s="490"/>
      <c r="Q20" s="490"/>
      <c r="R20" s="490"/>
      <c r="S20" s="490"/>
      <c r="T20" s="490"/>
      <c r="U20" s="490"/>
      <c r="V20" s="490"/>
      <c r="W20" s="490"/>
      <c r="X20" s="490"/>
      <c r="Y20" s="490"/>
      <c r="Z20" s="490"/>
      <c r="AA20" s="490"/>
      <c r="AB20" s="490"/>
    </row>
    <row r="21" spans="2:28" ht="15" customHeight="1">
      <c r="B21" s="500"/>
      <c r="C21" s="928" t="str">
        <f>IF(Indice_index!$Z$1=1,"Venda de bens de investimento","Sale of investment goods")</f>
        <v>Venda de bens de investimento</v>
      </c>
      <c r="D21" s="929">
        <v>0.61795309000000009</v>
      </c>
      <c r="E21" s="929">
        <v>5.3141949999999998</v>
      </c>
      <c r="F21" s="929">
        <v>0.46207433999999997</v>
      </c>
      <c r="G21" s="929">
        <v>0.32441848000000001</v>
      </c>
      <c r="H21" s="932">
        <f t="shared" si="4"/>
        <v>-29.790847074520517</v>
      </c>
      <c r="I21" s="932">
        <f t="shared" si="5"/>
        <v>-7.5857389956770517E-4</v>
      </c>
      <c r="J21" s="498"/>
      <c r="K21" s="498"/>
      <c r="L21" s="498"/>
      <c r="M21" s="483"/>
      <c r="N21" s="497"/>
      <c r="O21" s="497"/>
      <c r="P21" s="483"/>
      <c r="Q21" s="483"/>
      <c r="R21" s="483"/>
      <c r="S21" s="483"/>
      <c r="T21" s="483"/>
      <c r="U21" s="483"/>
      <c r="V21" s="483"/>
      <c r="W21" s="483"/>
      <c r="X21" s="483"/>
      <c r="Y21" s="483"/>
      <c r="Z21" s="483"/>
      <c r="AA21" s="483"/>
      <c r="AB21" s="483"/>
    </row>
    <row r="22" spans="2:28" ht="15" customHeight="1">
      <c r="B22" s="502"/>
      <c r="C22" s="928" t="str">
        <f>IF(Indice_index!$Z$1=1,"Transferências de capital","Capital transfers")</f>
        <v>Transferências de capital</v>
      </c>
      <c r="D22" s="933">
        <f t="shared" ref="D22:E22" si="10">+SUM(D23:D26)</f>
        <v>0.29749999999999999</v>
      </c>
      <c r="E22" s="933">
        <f t="shared" si="10"/>
        <v>1.8776079999999999</v>
      </c>
      <c r="F22" s="933">
        <f t="shared" ref="F22:G22" si="11">+SUM(F23:F26)</f>
        <v>0</v>
      </c>
      <c r="G22" s="933">
        <f t="shared" si="11"/>
        <v>0</v>
      </c>
      <c r="H22" s="932" t="str">
        <f t="shared" si="4"/>
        <v>-</v>
      </c>
      <c r="I22" s="932">
        <f t="shared" si="5"/>
        <v>0</v>
      </c>
      <c r="J22" s="498"/>
      <c r="K22" s="498"/>
      <c r="L22" s="498"/>
      <c r="M22" s="483"/>
      <c r="N22" s="497"/>
      <c r="O22" s="497"/>
      <c r="P22" s="483"/>
      <c r="Q22" s="483"/>
      <c r="R22" s="483"/>
      <c r="S22" s="483"/>
      <c r="T22" s="483"/>
      <c r="U22" s="483"/>
      <c r="V22" s="483"/>
      <c r="W22" s="483"/>
      <c r="X22" s="483"/>
      <c r="Y22" s="483"/>
      <c r="Z22" s="483"/>
      <c r="AA22" s="483"/>
      <c r="AB22" s="483"/>
    </row>
    <row r="23" spans="2:28" ht="15" customHeight="1">
      <c r="B23" s="502"/>
      <c r="C23" s="934" t="str">
        <f>IF(Indice_index!$Z$1=1,"Administração Central","Central Administration")</f>
        <v>Administração Central</v>
      </c>
      <c r="D23" s="929">
        <v>0.29749999999999999</v>
      </c>
      <c r="E23" s="929">
        <v>1.8776079999999999</v>
      </c>
      <c r="F23" s="929">
        <v>0</v>
      </c>
      <c r="G23" s="929">
        <v>0</v>
      </c>
      <c r="H23" s="932" t="str">
        <f t="shared" si="4"/>
        <v>-</v>
      </c>
      <c r="I23" s="932">
        <f t="shared" si="5"/>
        <v>0</v>
      </c>
      <c r="J23" s="498"/>
      <c r="K23" s="498"/>
      <c r="L23" s="498"/>
      <c r="M23" s="483"/>
      <c r="N23" s="497"/>
      <c r="O23" s="497"/>
      <c r="P23" s="483"/>
      <c r="Q23" s="483"/>
      <c r="R23" s="483"/>
      <c r="S23" s="483"/>
      <c r="T23" s="483"/>
      <c r="U23" s="483"/>
      <c r="V23" s="483"/>
      <c r="W23" s="483"/>
      <c r="X23" s="483"/>
      <c r="Y23" s="483"/>
      <c r="Z23" s="483"/>
      <c r="AA23" s="483"/>
      <c r="AB23" s="483"/>
    </row>
    <row r="24" spans="2:28" ht="15" hidden="1" customHeight="1">
      <c r="B24" s="502"/>
      <c r="C24" s="931" t="str">
        <f>IF(Indice_index!$Z$1=1,"Outros subsectores das AP","Other General Government subsectors")</f>
        <v>Outros subsectores das AP</v>
      </c>
      <c r="D24" s="929">
        <v>0</v>
      </c>
      <c r="E24" s="929">
        <v>0</v>
      </c>
      <c r="F24" s="929">
        <v>0</v>
      </c>
      <c r="G24" s="929">
        <v>0</v>
      </c>
      <c r="H24" s="932" t="str">
        <f t="shared" si="4"/>
        <v>-</v>
      </c>
      <c r="I24" s="932">
        <f t="shared" si="5"/>
        <v>0</v>
      </c>
      <c r="J24" s="498"/>
      <c r="K24" s="498"/>
      <c r="L24" s="498"/>
      <c r="M24" s="483"/>
      <c r="N24" s="497"/>
      <c r="O24" s="497"/>
      <c r="P24" s="483"/>
      <c r="Q24" s="483"/>
      <c r="R24" s="483"/>
      <c r="S24" s="483"/>
      <c r="T24" s="483"/>
      <c r="U24" s="483"/>
      <c r="V24" s="483"/>
      <c r="W24" s="483"/>
      <c r="X24" s="483"/>
      <c r="Y24" s="483"/>
      <c r="Z24" s="483"/>
      <c r="AA24" s="483"/>
      <c r="AB24" s="483"/>
    </row>
    <row r="25" spans="2:28" ht="15" hidden="1" customHeight="1">
      <c r="B25" s="483"/>
      <c r="C25" s="931" t="str">
        <f>IF(Indice_index!$Z$1=1,"União Europeia","European Union")</f>
        <v>União Europeia</v>
      </c>
      <c r="D25" s="929">
        <v>0</v>
      </c>
      <c r="E25" s="929">
        <v>0</v>
      </c>
      <c r="F25" s="929">
        <v>0</v>
      </c>
      <c r="G25" s="929">
        <v>0</v>
      </c>
      <c r="H25" s="932" t="str">
        <f t="shared" si="4"/>
        <v>-</v>
      </c>
      <c r="I25" s="932">
        <f t="shared" si="5"/>
        <v>0</v>
      </c>
      <c r="J25" s="498"/>
      <c r="K25" s="498"/>
      <c r="L25" s="498"/>
      <c r="M25" s="483"/>
      <c r="N25" s="497"/>
      <c r="O25" s="497"/>
      <c r="P25" s="483"/>
      <c r="Q25" s="483"/>
      <c r="R25" s="483"/>
      <c r="S25" s="483"/>
      <c r="T25" s="483"/>
      <c r="U25" s="483"/>
      <c r="V25" s="483"/>
      <c r="W25" s="483"/>
      <c r="X25" s="483"/>
      <c r="Y25" s="483"/>
      <c r="Z25" s="483"/>
      <c r="AA25" s="483"/>
      <c r="AB25" s="483"/>
    </row>
    <row r="26" spans="2:28" ht="15" hidden="1" customHeight="1">
      <c r="B26" s="483"/>
      <c r="C26" s="931" t="str">
        <f>IF(Indice_index!$Z$1=1,"Outras transferências","Other transfers")</f>
        <v>Outras transferências</v>
      </c>
      <c r="D26" s="929">
        <v>0</v>
      </c>
      <c r="E26" s="929">
        <v>0</v>
      </c>
      <c r="F26" s="929">
        <v>0</v>
      </c>
      <c r="G26" s="929">
        <v>0</v>
      </c>
      <c r="H26" s="932" t="str">
        <f t="shared" si="4"/>
        <v>-</v>
      </c>
      <c r="I26" s="932">
        <f t="shared" si="5"/>
        <v>0</v>
      </c>
      <c r="J26" s="498"/>
      <c r="K26" s="498"/>
      <c r="L26" s="498"/>
      <c r="M26" s="483"/>
      <c r="N26" s="497"/>
      <c r="O26" s="497"/>
      <c r="P26" s="483"/>
      <c r="Q26" s="483"/>
      <c r="R26" s="483"/>
      <c r="S26" s="483"/>
      <c r="T26" s="483"/>
      <c r="U26" s="483"/>
      <c r="V26" s="483"/>
      <c r="W26" s="483"/>
      <c r="X26" s="483"/>
      <c r="Y26" s="483"/>
      <c r="Z26" s="483"/>
      <c r="AA26" s="483"/>
      <c r="AB26" s="483"/>
    </row>
    <row r="27" spans="2:28" ht="15" customHeight="1">
      <c r="B27" s="483"/>
      <c r="C27" s="928" t="str">
        <f>IF(Indice_index!$Z$1=1,"Outras Receitas de Capital","Other capital revenue")</f>
        <v>Outras Receitas de Capital</v>
      </c>
      <c r="D27" s="929">
        <v>0</v>
      </c>
      <c r="E27" s="929">
        <v>0.43490400000000001</v>
      </c>
      <c r="F27" s="929">
        <v>0</v>
      </c>
      <c r="G27" s="929">
        <v>4.2189300000000001E-3</v>
      </c>
      <c r="H27" s="932" t="str">
        <f t="shared" si="4"/>
        <v>-</v>
      </c>
      <c r="I27" s="932">
        <f>IFERROR((G27-F27)/$F$29*100,"-")</f>
        <v>2.3249066055765296E-5</v>
      </c>
      <c r="J27" s="498"/>
      <c r="K27" s="498"/>
      <c r="L27" s="498"/>
      <c r="M27" s="483"/>
      <c r="N27" s="497"/>
      <c r="O27" s="497"/>
      <c r="P27" s="483"/>
      <c r="Q27" s="483"/>
      <c r="R27" s="483"/>
      <c r="S27" s="483"/>
      <c r="T27" s="483"/>
      <c r="U27" s="483"/>
      <c r="V27" s="483"/>
      <c r="W27" s="483"/>
      <c r="X27" s="483"/>
      <c r="Y27" s="483"/>
      <c r="Z27" s="483"/>
      <c r="AA27" s="483"/>
      <c r="AB27" s="483"/>
    </row>
    <row r="28" spans="2:28" ht="4.5" customHeight="1">
      <c r="B28" s="483"/>
      <c r="C28" s="931"/>
      <c r="D28" s="932"/>
      <c r="E28" s="932"/>
      <c r="F28" s="932"/>
      <c r="G28" s="932"/>
      <c r="H28" s="932"/>
      <c r="I28" s="932"/>
      <c r="J28" s="498"/>
      <c r="K28" s="498"/>
      <c r="L28" s="498"/>
      <c r="M28" s="483"/>
      <c r="N28" s="497"/>
      <c r="O28" s="497"/>
      <c r="P28" s="483"/>
      <c r="Q28" s="483"/>
      <c r="R28" s="483"/>
      <c r="S28" s="483"/>
      <c r="T28" s="483"/>
      <c r="U28" s="483"/>
      <c r="V28" s="483"/>
      <c r="W28" s="483"/>
      <c r="X28" s="483"/>
      <c r="Y28" s="483"/>
      <c r="Z28" s="483"/>
      <c r="AA28" s="483"/>
      <c r="AB28" s="483"/>
    </row>
    <row r="29" spans="2:28" s="491" customFormat="1" ht="15" customHeight="1">
      <c r="B29" s="490"/>
      <c r="C29" s="935" t="str">
        <f>IF(Indice_index!$Z$1=1,"Receita efetiva","Effective revenue")</f>
        <v>Receita efetiva</v>
      </c>
      <c r="D29" s="936">
        <f t="shared" ref="D29:G29" si="12">+D8+D20</f>
        <v>33566.541879700002</v>
      </c>
      <c r="E29" s="936">
        <f t="shared" ref="E29" si="13">+E8+E20</f>
        <v>33608.819207</v>
      </c>
      <c r="F29" s="936">
        <f t="shared" ref="F29" si="14">+F8+F20</f>
        <v>18146.664428930002</v>
      </c>
      <c r="G29" s="936">
        <f t="shared" si="12"/>
        <v>19330.599097209997</v>
      </c>
      <c r="H29" s="936">
        <f t="shared" ref="H29" si="15">IF(IFERROR((G29-F29)/F29*100,"")&gt;500,"-",IFERROR((G29-F29)/F29*100,""))</f>
        <v>6.5242550382566611</v>
      </c>
      <c r="I29" s="936"/>
      <c r="J29" s="495"/>
      <c r="K29" s="495"/>
      <c r="L29" s="495"/>
      <c r="M29" s="490"/>
      <c r="N29" s="497"/>
      <c r="O29" s="497"/>
      <c r="P29" s="490"/>
      <c r="Q29" s="490"/>
      <c r="R29" s="490"/>
      <c r="S29" s="490"/>
      <c r="T29" s="490"/>
      <c r="U29" s="490"/>
      <c r="V29" s="490"/>
      <c r="W29" s="490"/>
      <c r="X29" s="490"/>
      <c r="Y29" s="490"/>
      <c r="Z29" s="490"/>
      <c r="AA29" s="490"/>
      <c r="AB29" s="490"/>
    </row>
    <row r="30" spans="2:28" ht="4.5" customHeight="1">
      <c r="B30" s="483"/>
      <c r="C30" s="931"/>
      <c r="D30" s="932"/>
      <c r="E30" s="932"/>
      <c r="F30" s="932"/>
      <c r="G30" s="932"/>
      <c r="H30" s="932"/>
      <c r="I30" s="932"/>
      <c r="J30" s="498"/>
      <c r="K30" s="498"/>
      <c r="L30" s="498"/>
      <c r="M30" s="483"/>
      <c r="N30" s="497"/>
      <c r="O30" s="497"/>
      <c r="P30" s="483"/>
      <c r="Q30" s="483"/>
      <c r="R30" s="483"/>
      <c r="S30" s="483"/>
      <c r="T30" s="483"/>
      <c r="U30" s="483"/>
      <c r="V30" s="483"/>
      <c r="W30" s="483"/>
      <c r="X30" s="483"/>
      <c r="Y30" s="483"/>
      <c r="Z30" s="483"/>
      <c r="AA30" s="483"/>
      <c r="AB30" s="483"/>
    </row>
    <row r="31" spans="2:28" s="491" customFormat="1" ht="15" customHeight="1">
      <c r="B31" s="490"/>
      <c r="C31" s="926" t="str">
        <f>IF(Indice_index!$Z$1=1,"Despesa corrente","Current Expenditure")</f>
        <v>Despesa corrente</v>
      </c>
      <c r="D31" s="927">
        <f t="shared" ref="D31:E31" si="16">+D32+D36+D37+D38+D43+D44</f>
        <v>31195.450149439996</v>
      </c>
      <c r="E31" s="927">
        <f t="shared" si="16"/>
        <v>30910.787177000002</v>
      </c>
      <c r="F31" s="927">
        <f t="shared" ref="F31:G31" si="17">+F32+F36+F37+F38+F43+F44</f>
        <v>18575.649524010001</v>
      </c>
      <c r="G31" s="927">
        <f t="shared" si="17"/>
        <v>17469.127604199999</v>
      </c>
      <c r="H31" s="927">
        <f t="shared" ref="H31:H52" si="18">IF(IFERROR((G31-F31)/F31*100,"")&gt;500,"-",IFERROR((G31-F31)/F31*100,""))</f>
        <v>-5.9568410697013014</v>
      </c>
      <c r="I31" s="927">
        <f>IFERROR((G31-F31)/$F$54*100,"-")</f>
        <v>-5.9514981219254377</v>
      </c>
      <c r="J31" s="495"/>
      <c r="K31" s="495"/>
      <c r="L31" s="495"/>
      <c r="M31" s="490"/>
      <c r="N31" s="497"/>
      <c r="O31" s="497"/>
      <c r="P31" s="490"/>
      <c r="Q31" s="490"/>
      <c r="R31" s="490"/>
      <c r="S31" s="490"/>
      <c r="T31" s="490"/>
      <c r="U31" s="490"/>
      <c r="V31" s="490"/>
      <c r="W31" s="490"/>
      <c r="X31" s="490"/>
      <c r="Y31" s="490"/>
      <c r="Z31" s="490"/>
      <c r="AA31" s="490"/>
      <c r="AB31" s="490"/>
    </row>
    <row r="32" spans="2:28" ht="15" customHeight="1">
      <c r="B32" s="483"/>
      <c r="C32" s="928" t="str">
        <f>IF(Indice_index!$Z$1=1,"Despesas com o pessoal","Employees")</f>
        <v>Despesas com o pessoal</v>
      </c>
      <c r="D32" s="932">
        <f t="shared" ref="D32:E32" si="19">+D33+D34+D35</f>
        <v>292.95986727999991</v>
      </c>
      <c r="E32" s="932">
        <f t="shared" si="19"/>
        <v>324.63119100000006</v>
      </c>
      <c r="F32" s="932">
        <f t="shared" ref="F32:G32" si="20">+F33+F34+F35</f>
        <v>164.52367730000003</v>
      </c>
      <c r="G32" s="932">
        <f t="shared" si="20"/>
        <v>170.37000442999997</v>
      </c>
      <c r="H32" s="932">
        <f t="shared" si="18"/>
        <v>3.5534867843608144</v>
      </c>
      <c r="I32" s="932">
        <f t="shared" ref="I32:I52" si="21">IFERROR((G32-F32)/$F$54*100,"-")</f>
        <v>3.1444840189275958E-2</v>
      </c>
      <c r="J32" s="498"/>
      <c r="K32" s="498"/>
      <c r="L32" s="498"/>
      <c r="M32" s="483"/>
      <c r="N32" s="497"/>
      <c r="O32" s="497"/>
      <c r="P32" s="483"/>
      <c r="Q32" s="483"/>
      <c r="R32" s="483"/>
      <c r="S32" s="483"/>
      <c r="T32" s="483"/>
      <c r="U32" s="483"/>
      <c r="V32" s="483"/>
      <c r="W32" s="483"/>
      <c r="X32" s="483"/>
      <c r="Y32" s="483"/>
      <c r="Z32" s="483"/>
      <c r="AA32" s="483"/>
      <c r="AB32" s="483"/>
    </row>
    <row r="33" spans="2:28" ht="15" customHeight="1">
      <c r="B33" s="483"/>
      <c r="C33" s="934" t="str">
        <f>IF(Indice_index!$Z$1=1,"Remunerações Certas e Permanentes","Certain and permanent wages")</f>
        <v>Remunerações Certas e Permanentes</v>
      </c>
      <c r="D33" s="929">
        <v>233.69650922999992</v>
      </c>
      <c r="E33" s="929">
        <v>260.99803300000002</v>
      </c>
      <c r="F33" s="929">
        <v>131.67843855000004</v>
      </c>
      <c r="G33" s="929">
        <v>136.71701804999995</v>
      </c>
      <c r="H33" s="932">
        <f t="shared" si="18"/>
        <v>3.8264271322496715</v>
      </c>
      <c r="I33" s="932">
        <f t="shared" si="21"/>
        <v>2.7100318479520488E-2</v>
      </c>
      <c r="J33" s="498"/>
      <c r="K33" s="498"/>
      <c r="L33" s="498"/>
      <c r="M33" s="483"/>
      <c r="N33" s="497"/>
      <c r="O33" s="497"/>
      <c r="P33" s="483"/>
      <c r="Q33" s="483"/>
      <c r="R33" s="483"/>
      <c r="S33" s="483"/>
      <c r="T33" s="483"/>
      <c r="U33" s="483"/>
      <c r="V33" s="483"/>
      <c r="W33" s="483"/>
      <c r="X33" s="483"/>
      <c r="Y33" s="483"/>
      <c r="Z33" s="483"/>
      <c r="AA33" s="483"/>
      <c r="AB33" s="483"/>
    </row>
    <row r="34" spans="2:28" ht="15" customHeight="1">
      <c r="B34" s="483"/>
      <c r="C34" s="934" t="str">
        <f>IF(Indice_index!$Z$1=1,"Abonos Variáveis ou Eventuais","Variable or contingent bonuses")</f>
        <v>Abonos Variáveis ou Eventuais</v>
      </c>
      <c r="D34" s="929">
        <v>5.1169230200000007</v>
      </c>
      <c r="E34" s="929">
        <v>7.6004949999999996</v>
      </c>
      <c r="F34" s="929">
        <v>2.6922048400000009</v>
      </c>
      <c r="G34" s="929">
        <v>2.8726287400000001</v>
      </c>
      <c r="H34" s="932">
        <f t="shared" si="18"/>
        <v>6.70171516369457</v>
      </c>
      <c r="I34" s="932">
        <f t="shared" si="21"/>
        <v>9.7042135612174403E-4</v>
      </c>
      <c r="J34" s="498"/>
      <c r="K34" s="498"/>
      <c r="L34" s="498"/>
      <c r="M34" s="483"/>
      <c r="N34" s="497"/>
      <c r="O34" s="497"/>
      <c r="P34" s="483"/>
      <c r="Q34" s="483"/>
      <c r="R34" s="483"/>
      <c r="S34" s="483"/>
      <c r="T34" s="483"/>
      <c r="U34" s="483"/>
      <c r="V34" s="483"/>
      <c r="W34" s="483"/>
      <c r="X34" s="483"/>
      <c r="Y34" s="483"/>
      <c r="Z34" s="483"/>
      <c r="AA34" s="483"/>
      <c r="AB34" s="483"/>
    </row>
    <row r="35" spans="2:28" ht="15" customHeight="1">
      <c r="B35" s="483"/>
      <c r="C35" s="934" t="str">
        <f>IF(Indice_index!$Z$1=1,"Segurança social","Social security")</f>
        <v>Segurança social</v>
      </c>
      <c r="D35" s="929">
        <v>54.146435030000006</v>
      </c>
      <c r="E35" s="929">
        <v>56.032662999999999</v>
      </c>
      <c r="F35" s="929">
        <v>30.153033909999998</v>
      </c>
      <c r="G35" s="929">
        <v>30.780357640000005</v>
      </c>
      <c r="H35" s="932">
        <f t="shared" si="18"/>
        <v>2.0804663698930841</v>
      </c>
      <c r="I35" s="932">
        <f t="shared" si="21"/>
        <v>3.3741003536336429E-3</v>
      </c>
      <c r="J35" s="498"/>
      <c r="K35" s="498"/>
      <c r="L35" s="498"/>
      <c r="M35" s="483"/>
      <c r="N35" s="497"/>
      <c r="O35" s="497"/>
      <c r="P35" s="483"/>
      <c r="Q35" s="483"/>
      <c r="R35" s="483"/>
      <c r="S35" s="483"/>
      <c r="T35" s="483"/>
      <c r="U35" s="483"/>
      <c r="V35" s="483"/>
      <c r="W35" s="483"/>
      <c r="X35" s="483"/>
      <c r="Y35" s="483"/>
      <c r="Z35" s="483"/>
      <c r="AA35" s="483"/>
      <c r="AB35" s="483"/>
    </row>
    <row r="36" spans="2:28" ht="15" customHeight="1">
      <c r="B36" s="483"/>
      <c r="C36" s="928" t="str">
        <f>IF(Indice_index!$Z$1=1,"Aquisição de bens e serviços","Purchase of goods and services")</f>
        <v>Aquisição de bens e serviços</v>
      </c>
      <c r="D36" s="929">
        <v>99.981533720000002</v>
      </c>
      <c r="E36" s="929">
        <v>186.896266</v>
      </c>
      <c r="F36" s="929">
        <v>50.880880510000004</v>
      </c>
      <c r="G36" s="929">
        <v>43.411637700000007</v>
      </c>
      <c r="H36" s="932">
        <f t="shared" si="18"/>
        <v>-14.679861541570629</v>
      </c>
      <c r="I36" s="932">
        <f t="shared" si="21"/>
        <v>-4.0173794807022885E-2</v>
      </c>
      <c r="J36" s="498"/>
      <c r="K36" s="498"/>
      <c r="L36" s="498"/>
      <c r="M36" s="483"/>
      <c r="N36" s="497"/>
      <c r="O36" s="497"/>
      <c r="P36" s="483"/>
      <c r="Q36" s="483"/>
      <c r="R36" s="483"/>
      <c r="S36" s="483"/>
      <c r="T36" s="483"/>
      <c r="U36" s="483"/>
      <c r="V36" s="483"/>
      <c r="W36" s="503"/>
      <c r="X36" s="483"/>
      <c r="Y36" s="483"/>
      <c r="Z36" s="503"/>
      <c r="AA36" s="483"/>
      <c r="AB36" s="503"/>
    </row>
    <row r="37" spans="2:28" ht="15" customHeight="1">
      <c r="C37" s="928" t="str">
        <f>IF(Indice_index!$Z$1=1,"Juros e outros encargos","Interests")</f>
        <v>Juros e outros encargos</v>
      </c>
      <c r="D37" s="929">
        <v>6.5070547399999992</v>
      </c>
      <c r="E37" s="929">
        <v>10.362807</v>
      </c>
      <c r="F37" s="929">
        <v>3.518316829999999</v>
      </c>
      <c r="G37" s="929">
        <v>4.08062287</v>
      </c>
      <c r="H37" s="932">
        <f t="shared" si="18"/>
        <v>15.982245692182339</v>
      </c>
      <c r="I37" s="932">
        <f t="shared" si="21"/>
        <v>3.0243985962627525E-3</v>
      </c>
      <c r="J37" s="498"/>
      <c r="K37" s="498"/>
      <c r="L37" s="498"/>
      <c r="M37" s="483"/>
      <c r="N37" s="497"/>
      <c r="O37" s="497"/>
      <c r="P37" s="483"/>
      <c r="Q37" s="483"/>
      <c r="R37" s="483"/>
      <c r="S37" s="483"/>
      <c r="T37" s="483"/>
      <c r="U37" s="483"/>
      <c r="V37" s="483"/>
    </row>
    <row r="38" spans="2:28" ht="15" customHeight="1">
      <c r="C38" s="928" t="str">
        <f>IF(Indice_index!$Z$1=1,"Transferências correntes","Current transfers")</f>
        <v>Transferências correntes</v>
      </c>
      <c r="D38" s="933">
        <f t="shared" ref="D38:E38" si="22">+D39+D40+D41+D42</f>
        <v>29805.776706309996</v>
      </c>
      <c r="E38" s="933">
        <f t="shared" si="22"/>
        <v>28761.380738</v>
      </c>
      <c r="F38" s="933">
        <f t="shared" ref="F38:G38" si="23">+F39+F40+F41+F42</f>
        <v>17705.689440639999</v>
      </c>
      <c r="G38" s="933">
        <f t="shared" si="23"/>
        <v>16734.363364550001</v>
      </c>
      <c r="H38" s="932">
        <f t="shared" si="18"/>
        <v>-5.4859545534584244</v>
      </c>
      <c r="I38" s="932">
        <f t="shared" si="21"/>
        <v>-5.2243387267189769</v>
      </c>
      <c r="J38" s="498"/>
      <c r="K38" s="498"/>
      <c r="L38" s="498"/>
      <c r="M38" s="483"/>
      <c r="N38" s="497"/>
      <c r="O38" s="497"/>
      <c r="P38" s="483"/>
      <c r="Q38" s="483"/>
      <c r="R38" s="483"/>
      <c r="S38" s="483"/>
      <c r="T38" s="483"/>
      <c r="U38" s="483"/>
      <c r="V38" s="483"/>
    </row>
    <row r="39" spans="2:28" ht="15" customHeight="1">
      <c r="C39" s="934" t="str">
        <f>IF(Indice_index!$Z$1=1,"Administração Central","Central Administration")</f>
        <v>Administração Central</v>
      </c>
      <c r="D39" s="929">
        <v>2005.25270972</v>
      </c>
      <c r="E39" s="929">
        <v>1793.2989580000001</v>
      </c>
      <c r="F39" s="929">
        <v>1201.8877466500001</v>
      </c>
      <c r="G39" s="929">
        <v>1020.4510170699999</v>
      </c>
      <c r="H39" s="932">
        <f t="shared" si="18"/>
        <v>-15.095979644165226</v>
      </c>
      <c r="I39" s="932">
        <f t="shared" si="21"/>
        <v>-0.97586892406892145</v>
      </c>
      <c r="J39" s="498"/>
      <c r="K39" s="498"/>
      <c r="L39" s="498"/>
      <c r="M39" s="483"/>
      <c r="N39" s="497"/>
      <c r="O39" s="497"/>
      <c r="P39" s="483"/>
      <c r="Q39" s="483"/>
      <c r="R39" s="483"/>
      <c r="S39" s="483"/>
      <c r="T39" s="483"/>
      <c r="U39" s="483"/>
      <c r="V39" s="483"/>
    </row>
    <row r="40" spans="2:28" ht="15" customHeight="1">
      <c r="C40" s="931" t="str">
        <f>IF(Indice_index!$Z$1=1,"Outros subsectores das AP","Other General Government subsectors")</f>
        <v>Outros subsectores das AP</v>
      </c>
      <c r="D40" s="929">
        <v>92.915999979999995</v>
      </c>
      <c r="E40" s="929">
        <v>86.357648999999995</v>
      </c>
      <c r="F40" s="929">
        <v>56.47038405</v>
      </c>
      <c r="G40" s="929">
        <v>42.292510450000002</v>
      </c>
      <c r="H40" s="932">
        <f t="shared" si="18"/>
        <v>-25.106741947153445</v>
      </c>
      <c r="I40" s="932">
        <f t="shared" si="21"/>
        <v>-7.6256589763522092E-2</v>
      </c>
      <c r="J40" s="498"/>
      <c r="K40" s="498"/>
      <c r="L40" s="498"/>
      <c r="M40" s="483"/>
      <c r="N40" s="497"/>
      <c r="O40" s="497"/>
      <c r="P40" s="483"/>
      <c r="Q40" s="483"/>
      <c r="R40" s="483"/>
      <c r="S40" s="483"/>
      <c r="T40" s="483"/>
      <c r="U40" s="483"/>
      <c r="V40" s="483"/>
    </row>
    <row r="41" spans="2:28" ht="15" customHeight="1">
      <c r="C41" s="931" t="str">
        <f>IF(Indice_index!$Z$1=1,"União Europeia","European Union")</f>
        <v>União Europeia</v>
      </c>
      <c r="D41" s="929">
        <v>0</v>
      </c>
      <c r="E41" s="929">
        <v>0</v>
      </c>
      <c r="F41" s="929">
        <v>0</v>
      </c>
      <c r="G41" s="929">
        <v>0</v>
      </c>
      <c r="H41" s="932" t="str">
        <f t="shared" si="18"/>
        <v>-</v>
      </c>
      <c r="I41" s="932">
        <f t="shared" si="21"/>
        <v>0</v>
      </c>
      <c r="J41" s="498"/>
      <c r="K41" s="498"/>
      <c r="L41" s="498"/>
      <c r="M41" s="483"/>
      <c r="N41" s="497"/>
      <c r="O41" s="497"/>
      <c r="P41" s="483"/>
      <c r="Q41" s="483"/>
      <c r="R41" s="483"/>
      <c r="S41" s="483"/>
      <c r="T41" s="483"/>
      <c r="U41" s="483"/>
      <c r="V41" s="483"/>
    </row>
    <row r="42" spans="2:28" ht="15" customHeight="1">
      <c r="C42" s="931" t="str">
        <f>IF(Indice_index!$Z$1=1,"Outras transferências","Other transfers")</f>
        <v>Outras transferências</v>
      </c>
      <c r="D42" s="929">
        <v>27707.607996609997</v>
      </c>
      <c r="E42" s="929">
        <v>26881.724130999999</v>
      </c>
      <c r="F42" s="929">
        <v>16447.33130994</v>
      </c>
      <c r="G42" s="929">
        <v>15671.619837030001</v>
      </c>
      <c r="H42" s="932">
        <f t="shared" si="18"/>
        <v>-4.7163363970250636</v>
      </c>
      <c r="I42" s="932">
        <f t="shared" si="21"/>
        <v>-4.1722132128865441</v>
      </c>
      <c r="J42" s="498"/>
      <c r="K42" s="498"/>
      <c r="L42" s="498"/>
      <c r="M42" s="483"/>
      <c r="N42" s="497"/>
      <c r="O42" s="497"/>
      <c r="P42" s="483"/>
      <c r="Q42" s="483"/>
      <c r="R42" s="483"/>
      <c r="S42" s="483"/>
      <c r="T42" s="483"/>
      <c r="U42" s="483"/>
      <c r="V42" s="483"/>
    </row>
    <row r="43" spans="2:28" ht="15" customHeight="1">
      <c r="C43" s="928" t="str">
        <f>IF(Indice_index!$Z$1=1,"Subsídios","Subsidies")</f>
        <v>Subsídios</v>
      </c>
      <c r="D43" s="929">
        <v>980.28050590999999</v>
      </c>
      <c r="E43" s="929">
        <v>1612.925189</v>
      </c>
      <c r="F43" s="929">
        <v>645.46045809000009</v>
      </c>
      <c r="G43" s="929">
        <v>511.21670311000003</v>
      </c>
      <c r="H43" s="932">
        <f t="shared" si="18"/>
        <v>-20.7981377166379</v>
      </c>
      <c r="I43" s="932">
        <f t="shared" si="21"/>
        <v>-0.72203852570844207</v>
      </c>
      <c r="J43" s="498"/>
      <c r="K43" s="498"/>
      <c r="L43" s="498"/>
      <c r="M43" s="483"/>
      <c r="N43" s="497"/>
      <c r="O43" s="497"/>
      <c r="P43" s="483"/>
      <c r="Q43" s="483"/>
      <c r="R43" s="483"/>
      <c r="S43" s="483"/>
      <c r="T43" s="483"/>
      <c r="U43" s="483"/>
      <c r="V43" s="483"/>
    </row>
    <row r="44" spans="2:28" ht="15" customHeight="1">
      <c r="C44" s="928" t="str">
        <f>IF(Indice_index!$Z$1=1,"Outras despesas correntes","Other current expenditure")</f>
        <v>Outras despesas correntes</v>
      </c>
      <c r="D44" s="929">
        <v>9.9444814800000003</v>
      </c>
      <c r="E44" s="929">
        <v>14.590985999999999</v>
      </c>
      <c r="F44" s="929">
        <v>5.5767506400000002</v>
      </c>
      <c r="G44" s="929">
        <v>5.6852715400000005</v>
      </c>
      <c r="H44" s="932">
        <f t="shared" si="18"/>
        <v>1.9459521683042342</v>
      </c>
      <c r="I44" s="932">
        <f t="shared" si="21"/>
        <v>5.8368652349025216E-4</v>
      </c>
      <c r="J44" s="498"/>
      <c r="K44" s="498"/>
      <c r="L44" s="498"/>
      <c r="M44" s="483"/>
      <c r="N44" s="497"/>
      <c r="O44" s="497"/>
      <c r="P44" s="483"/>
      <c r="Q44" s="483"/>
      <c r="R44" s="483"/>
      <c r="S44" s="483"/>
      <c r="T44" s="483"/>
      <c r="U44" s="483"/>
      <c r="V44" s="483"/>
    </row>
    <row r="45" spans="2:28" s="491" customFormat="1" ht="15" customHeight="1">
      <c r="C45" s="926" t="str">
        <f>IF(Indice_index!$Z$1=1,"Despesa de capital","Capital expenditure")</f>
        <v>Despesa de capital</v>
      </c>
      <c r="D45" s="927">
        <f t="shared" ref="D45:E45" si="24">+D46+D47+D52</f>
        <v>42.826696200000008</v>
      </c>
      <c r="E45" s="927">
        <f t="shared" si="24"/>
        <v>102.021045</v>
      </c>
      <c r="F45" s="927">
        <f t="shared" ref="F45:G45" si="25">+F46+F47+F52</f>
        <v>16.676259200000001</v>
      </c>
      <c r="G45" s="927">
        <f t="shared" si="25"/>
        <v>12.704259780000001</v>
      </c>
      <c r="H45" s="927">
        <f t="shared" si="18"/>
        <v>-23.818287856787446</v>
      </c>
      <c r="I45" s="927">
        <f t="shared" si="21"/>
        <v>-2.1363650068927664E-2</v>
      </c>
      <c r="J45" s="495"/>
      <c r="K45" s="495"/>
      <c r="L45" s="495"/>
      <c r="M45" s="490"/>
      <c r="N45" s="497"/>
      <c r="O45" s="497"/>
      <c r="P45" s="490"/>
      <c r="Q45" s="490"/>
      <c r="R45" s="490"/>
      <c r="S45" s="490"/>
      <c r="T45" s="490"/>
      <c r="U45" s="490"/>
      <c r="V45" s="490"/>
    </row>
    <row r="46" spans="2:28" ht="15" customHeight="1">
      <c r="C46" s="928" t="str">
        <f>IF(Indice_index!$Z$1=1,"Investimento","Investment")</f>
        <v>Investimento</v>
      </c>
      <c r="D46" s="929">
        <v>38.651164250000008</v>
      </c>
      <c r="E46" s="929">
        <v>95.302459999999996</v>
      </c>
      <c r="F46" s="929">
        <v>14.996977129999999</v>
      </c>
      <c r="G46" s="929">
        <v>12.366999860000002</v>
      </c>
      <c r="H46" s="932">
        <f t="shared" si="18"/>
        <v>-17.536715880822296</v>
      </c>
      <c r="I46" s="932">
        <f t="shared" si="21"/>
        <v>-1.4145499065937338E-2</v>
      </c>
      <c r="J46" s="498"/>
      <c r="K46" s="498"/>
      <c r="L46" s="498"/>
      <c r="M46" s="483"/>
      <c r="N46" s="497"/>
      <c r="O46" s="497"/>
      <c r="P46" s="483"/>
      <c r="Q46" s="483"/>
      <c r="R46" s="483"/>
      <c r="S46" s="483"/>
      <c r="T46" s="483"/>
      <c r="U46" s="483"/>
      <c r="V46" s="483"/>
    </row>
    <row r="47" spans="2:28" ht="15" customHeight="1">
      <c r="C47" s="928" t="str">
        <f>IF(Indice_index!$Z$1=1,"Transferências de capital","Capital transfers")</f>
        <v>Transferências de capital</v>
      </c>
      <c r="D47" s="933">
        <f t="shared" ref="D47" si="26">+D49+D51+D48+D50</f>
        <v>4.1755319499999999</v>
      </c>
      <c r="E47" s="933">
        <f>(+E49+E51+E48+E50)</f>
        <v>6.718585</v>
      </c>
      <c r="F47" s="933">
        <f>(+F49+F51+F48+F50)</f>
        <v>1.6792820700000002</v>
      </c>
      <c r="G47" s="933">
        <f>(+G49+G51+G48+G50)</f>
        <v>0.33725991999999999</v>
      </c>
      <c r="H47" s="932">
        <f t="shared" si="18"/>
        <v>-79.91642226013883</v>
      </c>
      <c r="I47" s="932">
        <f t="shared" si="21"/>
        <v>-7.218151002990318E-3</v>
      </c>
      <c r="J47" s="498"/>
      <c r="K47" s="498"/>
      <c r="L47" s="498"/>
      <c r="M47" s="483"/>
      <c r="N47" s="497"/>
      <c r="O47" s="497"/>
      <c r="P47" s="483"/>
      <c r="Q47" s="483"/>
      <c r="R47" s="483"/>
      <c r="S47" s="483"/>
      <c r="T47" s="483"/>
      <c r="U47" s="483"/>
      <c r="V47" s="483"/>
    </row>
    <row r="48" spans="2:28" ht="15" hidden="1" customHeight="1">
      <c r="C48" s="934" t="str">
        <f>IF(Indice_index!$Z$1=1,"Administração Central","Central Administration")</f>
        <v>Administração Central</v>
      </c>
      <c r="D48" s="929">
        <v>0</v>
      </c>
      <c r="E48" s="929">
        <v>0</v>
      </c>
      <c r="F48" s="929">
        <v>0</v>
      </c>
      <c r="G48" s="929">
        <v>0</v>
      </c>
      <c r="H48" s="932" t="str">
        <f t="shared" si="18"/>
        <v>-</v>
      </c>
      <c r="I48" s="932">
        <f t="shared" si="21"/>
        <v>0</v>
      </c>
      <c r="J48" s="498"/>
      <c r="K48" s="498"/>
      <c r="L48" s="498"/>
      <c r="M48" s="483"/>
      <c r="N48" s="497"/>
      <c r="O48" s="497"/>
      <c r="P48" s="483"/>
      <c r="Q48" s="483"/>
      <c r="R48" s="483"/>
      <c r="S48" s="483"/>
      <c r="T48" s="483"/>
      <c r="U48" s="483"/>
      <c r="V48" s="483"/>
    </row>
    <row r="49" spans="2:22" ht="15" hidden="1" customHeight="1">
      <c r="C49" s="931" t="str">
        <f>IF(Indice_index!$Z$1=1,"Outros subsectores das AP","Other General Government subsectors")</f>
        <v>Outros subsectores das AP</v>
      </c>
      <c r="D49" s="929">
        <v>0</v>
      </c>
      <c r="E49" s="929">
        <v>0</v>
      </c>
      <c r="F49" s="929">
        <v>0</v>
      </c>
      <c r="G49" s="929">
        <v>0</v>
      </c>
      <c r="H49" s="932" t="str">
        <f t="shared" si="18"/>
        <v>-</v>
      </c>
      <c r="I49" s="932">
        <f t="shared" si="21"/>
        <v>0</v>
      </c>
      <c r="J49" s="498"/>
      <c r="K49" s="498"/>
      <c r="L49" s="498"/>
      <c r="M49" s="483"/>
      <c r="N49" s="497"/>
      <c r="O49" s="497"/>
      <c r="P49" s="483"/>
      <c r="Q49" s="483"/>
      <c r="R49" s="483"/>
      <c r="S49" s="483"/>
      <c r="T49" s="483"/>
      <c r="U49" s="483"/>
      <c r="V49" s="483"/>
    </row>
    <row r="50" spans="2:22" ht="15" customHeight="1">
      <c r="C50" s="931" t="str">
        <f>IF(Indice_index!$Z$1=1,"União Europeia","European Union")</f>
        <v>União Europeia</v>
      </c>
      <c r="D50" s="929">
        <v>0.77931732999999992</v>
      </c>
      <c r="E50" s="929">
        <v>0.88119999999999998</v>
      </c>
      <c r="F50" s="929">
        <v>0.11189797</v>
      </c>
      <c r="G50" s="929">
        <v>0</v>
      </c>
      <c r="H50" s="932">
        <f t="shared" si="18"/>
        <v>-100</v>
      </c>
      <c r="I50" s="932">
        <f t="shared" si="21"/>
        <v>-6.0185030805048954E-4</v>
      </c>
      <c r="J50" s="498"/>
      <c r="K50" s="498"/>
      <c r="L50" s="498"/>
      <c r="M50" s="483"/>
      <c r="N50" s="497"/>
      <c r="O50" s="497"/>
      <c r="P50" s="483"/>
      <c r="Q50" s="483"/>
      <c r="R50" s="483"/>
      <c r="S50" s="483"/>
      <c r="T50" s="483"/>
      <c r="U50" s="483"/>
      <c r="V50" s="483"/>
    </row>
    <row r="51" spans="2:22" ht="15" customHeight="1">
      <c r="C51" s="931" t="str">
        <f>IF(Indice_index!$Z$1=1,"Outras transferências","Other transfers")</f>
        <v>Outras transferências</v>
      </c>
      <c r="D51" s="929">
        <v>3.3962146200000003</v>
      </c>
      <c r="E51" s="929">
        <v>5.8373850000000003</v>
      </c>
      <c r="F51" s="929">
        <v>1.5673841000000002</v>
      </c>
      <c r="G51" s="929">
        <v>0.33725991999999999</v>
      </c>
      <c r="H51" s="932">
        <f t="shared" si="18"/>
        <v>-78.482624648291392</v>
      </c>
      <c r="I51" s="932">
        <f t="shared" si="21"/>
        <v>-6.6163006949398273E-3</v>
      </c>
      <c r="J51" s="498"/>
      <c r="K51" s="498"/>
      <c r="L51" s="498"/>
      <c r="M51" s="483"/>
      <c r="N51" s="497"/>
      <c r="O51" s="497"/>
      <c r="P51" s="483"/>
      <c r="Q51" s="483"/>
      <c r="R51" s="483"/>
      <c r="S51" s="483"/>
      <c r="T51" s="483"/>
      <c r="U51" s="483"/>
      <c r="V51" s="483"/>
    </row>
    <row r="52" spans="2:22" ht="15" customHeight="1">
      <c r="C52" s="928" t="str">
        <f>IF(Indice_index!$Z$1=1,"Outras despesas de capital","Other capital expenditure")</f>
        <v>Outras despesas de capital</v>
      </c>
      <c r="D52" s="929">
        <v>0</v>
      </c>
      <c r="E52" s="929">
        <v>0</v>
      </c>
      <c r="F52" s="929">
        <v>0</v>
      </c>
      <c r="G52" s="929">
        <v>0</v>
      </c>
      <c r="H52" s="932" t="str">
        <f t="shared" si="18"/>
        <v>-</v>
      </c>
      <c r="I52" s="932">
        <f t="shared" si="21"/>
        <v>0</v>
      </c>
      <c r="J52" s="498"/>
      <c r="K52" s="498"/>
      <c r="L52" s="498"/>
      <c r="M52" s="483"/>
      <c r="N52" s="497"/>
      <c r="O52" s="497"/>
      <c r="P52" s="483"/>
      <c r="Q52" s="483"/>
      <c r="R52" s="483"/>
      <c r="S52" s="483"/>
      <c r="T52" s="483"/>
      <c r="U52" s="483"/>
      <c r="V52" s="483"/>
    </row>
    <row r="53" spans="2:22" ht="4.5" customHeight="1">
      <c r="C53" s="928"/>
      <c r="D53" s="932"/>
      <c r="E53" s="932"/>
      <c r="F53" s="932"/>
      <c r="G53" s="932"/>
      <c r="H53" s="932"/>
      <c r="I53" s="932"/>
      <c r="J53" s="498"/>
      <c r="K53" s="498"/>
      <c r="L53" s="498"/>
      <c r="M53" s="504"/>
      <c r="N53" s="497"/>
      <c r="O53" s="497"/>
      <c r="P53" s="483"/>
      <c r="Q53" s="483"/>
      <c r="R53" s="483"/>
      <c r="S53" s="483"/>
      <c r="T53" s="483"/>
      <c r="U53" s="483"/>
      <c r="V53" s="483"/>
    </row>
    <row r="54" spans="2:22" s="491" customFormat="1" ht="15" customHeight="1">
      <c r="C54" s="935" t="str">
        <f>IF(Indice_index!$Z$1=1,"Despesa efetiva","Effective Expenditure")</f>
        <v>Despesa efetiva</v>
      </c>
      <c r="D54" s="936">
        <f t="shared" ref="D54:E54" si="27">+D45+D31</f>
        <v>31238.276845639997</v>
      </c>
      <c r="E54" s="936">
        <f t="shared" si="27"/>
        <v>31012.808222000003</v>
      </c>
      <c r="F54" s="936">
        <f t="shared" ref="F54:G54" si="28">+F45+F31</f>
        <v>18592.325783210003</v>
      </c>
      <c r="G54" s="936">
        <f t="shared" si="28"/>
        <v>17481.831863979998</v>
      </c>
      <c r="H54" s="936">
        <f t="shared" ref="H54" si="29">IF(IFERROR((G54-F54)/F54*100,"")&gt;500,"-",IFERROR((G54-F54)/F54*100,""))</f>
        <v>-5.9728617719943768</v>
      </c>
      <c r="I54" s="936"/>
      <c r="J54" s="495"/>
      <c r="K54" s="495"/>
      <c r="L54" s="495"/>
      <c r="M54" s="490"/>
      <c r="N54" s="497"/>
      <c r="O54" s="497"/>
      <c r="P54" s="490"/>
      <c r="Q54" s="490"/>
      <c r="R54" s="490"/>
      <c r="S54" s="490"/>
      <c r="T54" s="490"/>
      <c r="U54" s="490"/>
      <c r="V54" s="490"/>
    </row>
    <row r="55" spans="2:22" ht="4.5" customHeight="1">
      <c r="C55" s="937"/>
      <c r="D55" s="169"/>
      <c r="E55" s="169"/>
      <c r="F55" s="169"/>
      <c r="G55" s="169"/>
      <c r="H55" s="938"/>
      <c r="I55" s="932"/>
      <c r="J55" s="498"/>
      <c r="K55" s="498"/>
      <c r="L55" s="498"/>
      <c r="N55" s="497"/>
      <c r="O55" s="497"/>
      <c r="P55" s="504"/>
      <c r="Q55" s="504"/>
      <c r="R55" s="504"/>
      <c r="S55" s="483"/>
      <c r="T55" s="483"/>
      <c r="U55" s="483"/>
      <c r="V55" s="483"/>
    </row>
    <row r="56" spans="2:22" s="491" customFormat="1" ht="15" customHeight="1">
      <c r="C56" s="939" t="str">
        <f>IF(Indice_index!$Z$1=1,"Saldo global","Overall Balance")</f>
        <v>Saldo global</v>
      </c>
      <c r="D56" s="940">
        <f t="shared" ref="D56:G56" si="30">+D29-D54</f>
        <v>2328.2650340600048</v>
      </c>
      <c r="E56" s="940">
        <f t="shared" ref="E56" si="31">+E29-E54</f>
        <v>2596.0109849999972</v>
      </c>
      <c r="F56" s="940">
        <f>+F29-F54</f>
        <v>-445.66135428000052</v>
      </c>
      <c r="G56" s="940">
        <f t="shared" si="30"/>
        <v>1848.767233229999</v>
      </c>
      <c r="H56" s="940"/>
      <c r="I56" s="940"/>
      <c r="J56" s="505"/>
      <c r="K56" s="506"/>
      <c r="L56" s="495"/>
      <c r="N56" s="497"/>
      <c r="O56" s="497"/>
      <c r="P56" s="490"/>
      <c r="Q56" s="490"/>
      <c r="R56" s="490"/>
      <c r="S56" s="490"/>
      <c r="T56" s="490"/>
      <c r="U56" s="490"/>
      <c r="V56" s="490"/>
    </row>
    <row r="57" spans="2:22" ht="8.25" customHeight="1">
      <c r="B57" s="483"/>
      <c r="C57" s="941"/>
      <c r="D57" s="169"/>
      <c r="E57" s="169"/>
      <c r="F57" s="169"/>
      <c r="G57" s="169"/>
      <c r="H57" s="930"/>
      <c r="I57" s="942"/>
      <c r="J57" s="498"/>
      <c r="K57" s="498"/>
      <c r="L57" s="498"/>
      <c r="N57" s="497"/>
      <c r="O57" s="497"/>
    </row>
    <row r="58" spans="2:22" ht="15" customHeight="1">
      <c r="B58" s="483"/>
      <c r="C58" s="943" t="str">
        <f>IF(Indice_index!$Z$1=1,"Despesa  primária","Primary Expenditure")</f>
        <v>Despesa  primária</v>
      </c>
      <c r="D58" s="944">
        <f t="shared" ref="D58:E58" si="32">+D54-D37</f>
        <v>31231.769790899998</v>
      </c>
      <c r="E58" s="944">
        <f t="shared" si="32"/>
        <v>31002.445415000002</v>
      </c>
      <c r="F58" s="944">
        <f t="shared" ref="F58:G58" si="33">+F54-F37</f>
        <v>18588.807466380003</v>
      </c>
      <c r="G58" s="944">
        <f t="shared" si="33"/>
        <v>17477.75124111</v>
      </c>
      <c r="H58" s="933">
        <f t="shared" ref="H58" si="34">IF(IFERROR((G58-F58)/F58*100,"")&gt;500,"-",IFERROR((G58-F58)/F58*100,""))</f>
        <v>-5.9770172308227769</v>
      </c>
      <c r="I58" s="932"/>
      <c r="J58" s="498"/>
      <c r="K58" s="498"/>
      <c r="L58" s="498"/>
      <c r="N58" s="497"/>
      <c r="O58" s="497"/>
    </row>
    <row r="59" spans="2:22" ht="15" customHeight="1">
      <c r="B59" s="483"/>
      <c r="C59" s="943" t="str">
        <f>IF(Indice_index!$Z$1=1,"Saldo primário","Primary balance")</f>
        <v>Saldo primário</v>
      </c>
      <c r="D59" s="944">
        <f t="shared" ref="D59:E59" si="35">+D56+D37</f>
        <v>2334.7720888000049</v>
      </c>
      <c r="E59" s="944">
        <f t="shared" si="35"/>
        <v>2606.3737919999971</v>
      </c>
      <c r="F59" s="944">
        <f t="shared" ref="F59:G59" si="36">+F56+F37</f>
        <v>-442.14303745000052</v>
      </c>
      <c r="G59" s="944">
        <f t="shared" si="36"/>
        <v>1852.847856099999</v>
      </c>
      <c r="H59" s="933"/>
      <c r="I59" s="933"/>
      <c r="J59" s="498"/>
      <c r="K59" s="498"/>
      <c r="L59" s="498"/>
      <c r="N59" s="497"/>
      <c r="O59" s="497"/>
    </row>
    <row r="60" spans="2:22" ht="15" customHeight="1">
      <c r="B60" s="483"/>
      <c r="C60" s="943" t="str">
        <f>IF(Indice_index!$Z$1=1,"Saldo corrente","Current balance")</f>
        <v>Saldo corrente</v>
      </c>
      <c r="D60" s="944">
        <f t="shared" ref="D60:E60" si="37">+D8-D31</f>
        <v>2370.1762771700087</v>
      </c>
      <c r="E60" s="944">
        <f t="shared" si="37"/>
        <v>2690.4053229999954</v>
      </c>
      <c r="F60" s="944">
        <f t="shared" ref="F60:G60" si="38">+F8-F31</f>
        <v>-429.44716942000014</v>
      </c>
      <c r="G60" s="944">
        <f t="shared" si="38"/>
        <v>1861.1428555999992</v>
      </c>
      <c r="H60" s="933"/>
      <c r="I60" s="933"/>
      <c r="J60" s="498"/>
      <c r="K60" s="498"/>
      <c r="L60" s="498"/>
      <c r="N60" s="497"/>
      <c r="O60" s="497"/>
    </row>
    <row r="61" spans="2:22" ht="15" customHeight="1">
      <c r="B61" s="483"/>
      <c r="C61" s="943" t="str">
        <f>IF(Indice_index!$Z$1=1,"Saldo de capital","Capital balance")</f>
        <v>Saldo de capital</v>
      </c>
      <c r="D61" s="944">
        <f t="shared" ref="D61:E61" si="39">+D20-D45</f>
        <v>-41.911243110000008</v>
      </c>
      <c r="E61" s="944">
        <f t="shared" si="39"/>
        <v>-94.394338000000005</v>
      </c>
      <c r="F61" s="944">
        <f>+F20-F45</f>
        <v>-16.21418486</v>
      </c>
      <c r="G61" s="944">
        <f t="shared" ref="G61" si="40">+G20-G45</f>
        <v>-12.37562237</v>
      </c>
      <c r="H61" s="933"/>
      <c r="I61" s="933"/>
      <c r="J61" s="498"/>
      <c r="K61" s="498"/>
      <c r="L61" s="498"/>
      <c r="N61" s="497"/>
      <c r="O61" s="497"/>
    </row>
    <row r="62" spans="2:22" ht="4.5" customHeight="1">
      <c r="B62" s="483"/>
      <c r="C62" s="943"/>
      <c r="D62" s="929"/>
      <c r="E62" s="929"/>
      <c r="F62" s="929"/>
      <c r="G62" s="929"/>
      <c r="H62" s="930"/>
      <c r="I62" s="942"/>
      <c r="J62" s="498"/>
      <c r="K62" s="498"/>
      <c r="L62" s="498"/>
      <c r="N62" s="497"/>
      <c r="O62" s="497"/>
    </row>
    <row r="63" spans="2:22" ht="15" customHeight="1">
      <c r="B63" s="483"/>
      <c r="C63" s="943" t="str">
        <f>IF(Indice_index!$Z$1=1,"Ativos financeiros líquidos de reembolsos","Financial assets net of reimbursements")</f>
        <v>Ativos financeiros líquidos de reembolsos</v>
      </c>
      <c r="D63" s="929">
        <v>4376.8330583500019</v>
      </c>
      <c r="E63" s="929">
        <v>451.730343</v>
      </c>
      <c r="F63" s="929">
        <v>1863.1326310000009</v>
      </c>
      <c r="G63" s="929">
        <v>-1468.7454423599997</v>
      </c>
      <c r="H63" s="930"/>
      <c r="I63" s="942"/>
      <c r="J63" s="498"/>
      <c r="K63" s="498"/>
      <c r="L63" s="498"/>
      <c r="N63" s="497"/>
      <c r="O63" s="497"/>
    </row>
    <row r="64" spans="2:22" ht="15" customHeight="1">
      <c r="B64" s="483"/>
      <c r="C64" s="941" t="str">
        <f>IF(Indice_index!$Z$1=1,"dos quais Receitas de:","of which revenue from:")</f>
        <v>dos quais Receitas de:</v>
      </c>
      <c r="D64" s="929"/>
      <c r="E64" s="929"/>
      <c r="F64" s="929"/>
      <c r="G64" s="929"/>
      <c r="H64" s="930"/>
      <c r="I64" s="942"/>
      <c r="J64" s="498"/>
      <c r="K64" s="498"/>
      <c r="L64" s="498"/>
      <c r="N64" s="497"/>
      <c r="O64" s="497"/>
    </row>
    <row r="65" spans="2:18" ht="15" hidden="1" customHeight="1">
      <c r="C65" s="945" t="str">
        <f>IF(Indice_index!$Z$1=1,"Alienação de partes de Capital","Disposal of Capital Shares")</f>
        <v>Alienação de partes de Capital</v>
      </c>
      <c r="D65" s="929">
        <v>0</v>
      </c>
      <c r="E65" s="929"/>
      <c r="F65" s="929">
        <v>0</v>
      </c>
      <c r="G65" s="929">
        <v>0</v>
      </c>
      <c r="H65" s="930"/>
      <c r="I65" s="942"/>
      <c r="J65" s="498"/>
      <c r="K65" s="498"/>
      <c r="L65" s="498"/>
      <c r="N65" s="497"/>
      <c r="O65" s="497"/>
    </row>
    <row r="66" spans="2:18" ht="15" customHeight="1">
      <c r="B66" s="486"/>
      <c r="C66" s="945" t="str">
        <f>IF(Indice_index!$Z$1=1,"Outros Ativos","Other Assets")</f>
        <v>Outros Ativos</v>
      </c>
      <c r="D66" s="929">
        <v>7165.9928975199991</v>
      </c>
      <c r="E66" s="929">
        <v>26677.602394000001</v>
      </c>
      <c r="F66" s="929">
        <v>5023.7396969199999</v>
      </c>
      <c r="G66" s="929">
        <v>6005.1724434899988</v>
      </c>
      <c r="H66" s="930"/>
      <c r="I66" s="942"/>
      <c r="J66" s="498"/>
      <c r="K66" s="498"/>
      <c r="L66" s="498"/>
      <c r="N66" s="497"/>
      <c r="O66" s="497"/>
    </row>
    <row r="67" spans="2:18" ht="15" customHeight="1">
      <c r="B67" s="486"/>
      <c r="C67" s="943" t="str">
        <f>IF(Indice_index!$Z$1=1,"Passivos financeiros líquidos de amortizações","Financial liabilities net of amortizations")</f>
        <v>Passivos financeiros líquidos de amortizações</v>
      </c>
      <c r="D67" s="929">
        <v>0</v>
      </c>
      <c r="E67" s="929">
        <v>-39.512804000000003</v>
      </c>
      <c r="F67" s="929">
        <v>0</v>
      </c>
      <c r="G67" s="929">
        <v>-5.8375830000000004E-2</v>
      </c>
      <c r="H67" s="932"/>
      <c r="I67" s="946"/>
      <c r="J67" s="498"/>
      <c r="K67" s="498"/>
      <c r="L67" s="498"/>
      <c r="N67" s="497"/>
      <c r="O67" s="497"/>
    </row>
    <row r="68" spans="2:18" ht="15" customHeight="1">
      <c r="B68" s="483"/>
      <c r="C68" s="921" t="str">
        <f>IF(Indice_index!$Z$1=1,"Poupança (+) / Utilização (-) de saldo da gerência anterior","Saving (+) / Usage (-) of balance from previous management")</f>
        <v>Poupança (+) / Utilização (-) de saldo da gerência anterior</v>
      </c>
      <c r="D68" s="947">
        <f t="shared" ref="D68:E68" si="41">+D56-D63+D67</f>
        <v>-2048.5680242899971</v>
      </c>
      <c r="E68" s="947">
        <f t="shared" si="41"/>
        <v>2104.767837999997</v>
      </c>
      <c r="F68" s="947">
        <f t="shared" ref="F68:G68" si="42">+F56-F63+F67</f>
        <v>-2308.7939852800014</v>
      </c>
      <c r="G68" s="947">
        <f t="shared" si="42"/>
        <v>3317.4542997599988</v>
      </c>
      <c r="H68" s="948"/>
      <c r="I68" s="949"/>
      <c r="J68" s="498"/>
      <c r="K68" s="498"/>
      <c r="L68" s="498"/>
      <c r="N68" s="497"/>
      <c r="O68" s="497"/>
    </row>
    <row r="69" spans="2:18" s="124" customFormat="1" ht="4.5" customHeight="1">
      <c r="C69" s="950"/>
      <c r="D69" s="950"/>
      <c r="E69" s="950"/>
      <c r="F69" s="951"/>
      <c r="G69" s="951"/>
      <c r="H69" s="950"/>
      <c r="I69" s="950"/>
      <c r="J69" s="477"/>
      <c r="K69" s="112"/>
    </row>
    <row r="70" spans="2:18" s="124" customFormat="1" ht="15" customHeight="1">
      <c r="C70" s="952" t="str">
        <f>IF(Indice_index!$Z$1=1,"Notas:","Notes:")</f>
        <v>Notas:</v>
      </c>
      <c r="D70" s="952"/>
      <c r="E70" s="952"/>
      <c r="F70" s="951"/>
      <c r="G70" s="951"/>
      <c r="H70" s="950"/>
      <c r="I70" s="950"/>
      <c r="J70" s="477"/>
      <c r="K70" s="112"/>
    </row>
    <row r="71" spans="2:18" s="97" customFormat="1" ht="15" customHeight="1">
      <c r="C71" s="1720" t="str">
        <f>IF(Indice_index!$Z$1=1,"Valores consolidados - são excluídas transferências intra-setoriais.","Consolidated data - transfers within the subsector are excluded.")</f>
        <v>Valores consolidados - são excluídas transferências intra-setoriais.</v>
      </c>
      <c r="D71" s="1720"/>
      <c r="E71" s="1720"/>
      <c r="F71" s="1720"/>
      <c r="G71" s="1720"/>
      <c r="H71" s="1720"/>
      <c r="I71" s="1720"/>
      <c r="J71" s="112"/>
      <c r="K71" s="112"/>
    </row>
    <row r="72" spans="2:18" s="124" customFormat="1" ht="13.5" customHeight="1">
      <c r="C72" s="1720" t="str">
        <f>IF(Indice_index!$Z$1=1,"As diferenças de consolidação são imputadas a outras receitas e/ou despesas correntes e de capital.","Other current revenues/expenditure and other capital revenues/expenditure are influenced by subsector consolidation differences.")</f>
        <v>As diferenças de consolidação são imputadas a outras receitas e/ou despesas correntes e de capital.</v>
      </c>
      <c r="D72" s="1720"/>
      <c r="E72" s="1720"/>
      <c r="F72" s="1720"/>
      <c r="G72" s="1720"/>
      <c r="H72" s="1720"/>
      <c r="I72" s="1720"/>
      <c r="J72" s="475"/>
      <c r="K72" s="136"/>
    </row>
    <row r="73" spans="2:18" s="22" customFormat="1" ht="12.75" customHeight="1">
      <c r="C73" s="1721" t="str">
        <f>+'5 - Conta AC + SS'!$C$64</f>
        <v>Os dados de 2021 são mensalmente revistos e atualizados face ao publicado nas Sínteses de Execução Orçamental de 2021.</v>
      </c>
      <c r="D73" s="1721"/>
      <c r="E73" s="1721"/>
      <c r="F73" s="1721"/>
      <c r="G73" s="1721"/>
      <c r="H73" s="1721"/>
      <c r="I73" s="1721"/>
      <c r="J73" s="63"/>
      <c r="Q73" s="24"/>
      <c r="R73" s="24"/>
    </row>
    <row r="74" spans="2:18" s="124" customFormat="1" ht="4.5" customHeight="1">
      <c r="C74" s="950"/>
      <c r="D74" s="950"/>
      <c r="E74" s="950"/>
      <c r="F74" s="951"/>
      <c r="G74" s="953"/>
      <c r="H74" s="950"/>
      <c r="I74" s="950"/>
      <c r="J74" s="477"/>
      <c r="K74" s="477"/>
    </row>
    <row r="75" spans="2:18" ht="15" customHeight="1">
      <c r="C75" s="950" t="str">
        <f>IF(Indice_index!$Z$1=1,"Fonte: Instituto de Gestão Financeira da Segurança Social, I.P.","Souce: Social Security Finance Management Institute")</f>
        <v>Fonte: Instituto de Gestão Financeira da Segurança Social, I.P.</v>
      </c>
      <c r="D75" s="950"/>
      <c r="E75" s="950"/>
      <c r="F75" s="169"/>
      <c r="G75" s="954"/>
      <c r="H75" s="950"/>
      <c r="I75" s="950"/>
      <c r="J75" s="477"/>
      <c r="K75" s="477"/>
    </row>
    <row r="76" spans="2:18" ht="12.75" customHeight="1">
      <c r="C76" s="648"/>
      <c r="D76" s="648"/>
      <c r="E76" s="648"/>
      <c r="F76" s="649"/>
      <c r="G76" s="138"/>
      <c r="H76" s="650"/>
      <c r="I76" s="651"/>
    </row>
    <row r="77" spans="2:18" ht="12.75" customHeight="1">
      <c r="C77" s="648"/>
      <c r="D77" s="648"/>
      <c r="E77" s="648"/>
      <c r="F77" s="645"/>
      <c r="G77" s="645"/>
      <c r="H77" s="650"/>
      <c r="I77" s="651"/>
    </row>
    <row r="78" spans="2:18" ht="12.75" customHeight="1">
      <c r="F78" s="528"/>
      <c r="G78" s="528"/>
    </row>
    <row r="79" spans="2:18" ht="12.75" customHeight="1">
      <c r="F79" s="528"/>
      <c r="G79" s="528"/>
    </row>
    <row r="80" spans="2:18" ht="12.75" customHeight="1"/>
    <row r="81" spans="6:9" ht="12.75" customHeight="1">
      <c r="F81" s="528"/>
      <c r="G81" s="528"/>
    </row>
    <row r="82" spans="6:9" ht="12.75" customHeight="1">
      <c r="F82" s="528"/>
      <c r="G82" s="528"/>
    </row>
    <row r="83" spans="6:9" ht="12.75" customHeight="1"/>
    <row r="84" spans="6:9" ht="12.75" customHeight="1"/>
    <row r="85" spans="6:9" ht="12.75" customHeight="1"/>
    <row r="86" spans="6:9" ht="12.75" customHeight="1"/>
    <row r="87" spans="6:9" ht="12.75" customHeight="1"/>
    <row r="88" spans="6:9" ht="12.75" customHeight="1"/>
    <row r="89" spans="6:9" ht="12.75" customHeight="1"/>
    <row r="90" spans="6:9" ht="12.75" customHeight="1"/>
    <row r="91" spans="6:9" ht="12.75" customHeight="1">
      <c r="F91" s="508"/>
      <c r="G91" s="508"/>
      <c r="I91" s="489"/>
    </row>
    <row r="92" spans="6:9" ht="12.75" customHeight="1">
      <c r="F92" s="508"/>
      <c r="G92" s="508"/>
      <c r="I92" s="489"/>
    </row>
    <row r="93" spans="6:9" ht="12.75" customHeight="1">
      <c r="F93" s="489"/>
      <c r="G93" s="489"/>
      <c r="H93" s="507"/>
      <c r="I93" s="507"/>
    </row>
    <row r="94" spans="6:9" ht="12.75" customHeight="1"/>
    <row r="95" spans="6:9" ht="12.75" customHeight="1"/>
    <row r="96" spans="6:9" ht="12.75" customHeight="1">
      <c r="F96" s="489"/>
      <c r="G96" s="489"/>
      <c r="H96" s="507"/>
      <c r="I96" s="507"/>
    </row>
    <row r="97" spans="3:5" ht="12.75" customHeight="1"/>
    <row r="98" spans="3:5" ht="12.75" customHeight="1"/>
    <row r="99" spans="3:5" ht="12.75" customHeight="1"/>
    <row r="100" spans="3:5" ht="12.75" customHeight="1">
      <c r="C100" s="41"/>
      <c r="D100" s="41"/>
      <c r="E100" s="41"/>
    </row>
    <row r="101" spans="3:5" ht="12.75" customHeight="1"/>
    <row r="102" spans="3:5" ht="12.75" customHeight="1"/>
    <row r="103" spans="3:5" ht="12.75" customHeight="1"/>
    <row r="104" spans="3:5" ht="12.75" customHeight="1"/>
    <row r="105" spans="3:5" ht="12.75" customHeight="1"/>
    <row r="106" spans="3:5" ht="12.75" customHeight="1"/>
    <row r="107" spans="3:5" ht="12.75" customHeight="1"/>
    <row r="108" spans="3:5" ht="12.75" customHeight="1"/>
    <row r="109" spans="3:5" ht="12.75" customHeight="1"/>
    <row r="110" spans="3:5" ht="12.75" customHeight="1"/>
    <row r="111" spans="3:5" ht="12.75" customHeight="1"/>
    <row r="112" spans="3:5"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sheetData>
  <mergeCells count="5">
    <mergeCell ref="C73:I73"/>
    <mergeCell ref="F6:G6"/>
    <mergeCell ref="H6:I6"/>
    <mergeCell ref="C71:I71"/>
    <mergeCell ref="C72:I72"/>
  </mergeCells>
  <printOptions horizontalCentered="1"/>
  <pageMargins left="0.70866141732283472" right="0.70866141732283472" top="0.74803149606299213" bottom="0.74803149606299213" header="0.74803149606299213" footer="0.35433070866141736"/>
  <pageSetup paperSize="9" scale="62" orientation="portrait" r:id="rId1"/>
  <headerFooter differentOddEven="1">
    <oddFooter>&amp;R&amp;G</oddFooter>
    <evenFooter>&amp;L&amp;G</evenFooter>
  </headerFooter>
  <ignoredErrors>
    <ignoredError sqref="C71:C72 F71:G72 H71:I72 H6 I7 F6:G6 D6 E6" unlockedFormula="1"/>
    <ignoredError sqref="E14:G14 E22:G22 D22 D14" formulaRange="1"/>
    <ignoredError sqref="F7:G7 D7" numberStoredAsText="1"/>
    <ignoredError sqref="H7 E7" numberStoredAsText="1" unlockedFormula="1"/>
    <ignoredError sqref="F20:G20 F45:G45" formula="1"/>
  </ignoredErrors>
  <drawing r:id="rId2"/>
  <legacyDrawingHF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Folha18"/>
  <dimension ref="B1:AG133"/>
  <sheetViews>
    <sheetView showGridLines="0" zoomScaleNormal="100" zoomScaleSheetLayoutView="100" workbookViewId="0">
      <selection activeCell="B2" sqref="B2"/>
    </sheetView>
  </sheetViews>
  <sheetFormatPr defaultColWidth="9.140625" defaultRowHeight="15"/>
  <cols>
    <col min="1" max="1" width="2.140625" style="137" customWidth="1"/>
    <col min="2" max="2" width="4.42578125" style="137" customWidth="1"/>
    <col min="3" max="3" width="40.5703125" style="137" customWidth="1"/>
    <col min="4" max="5" width="8.140625" style="137" customWidth="1"/>
    <col min="6" max="6" width="7.5703125" style="137" customWidth="1"/>
    <col min="7" max="7" width="8.140625" style="137" customWidth="1"/>
    <col min="8" max="8" width="8.5703125" style="137" customWidth="1"/>
    <col min="9" max="9" width="8.5703125" style="370" customWidth="1"/>
    <col min="10" max="10" width="7.85546875" style="370" customWidth="1"/>
    <col min="11" max="11" width="8" style="370" customWidth="1"/>
    <col min="12" max="12" width="7.140625" style="370" customWidth="1"/>
    <col min="13" max="13" width="8.5703125" style="4" customWidth="1"/>
    <col min="14" max="14" width="8.5703125" style="137" customWidth="1"/>
    <col min="15" max="15" width="9.140625" style="247" customWidth="1"/>
    <col min="16" max="16" width="11" style="247" bestFit="1" customWidth="1"/>
    <col min="17" max="17" width="5.5703125" style="137" customWidth="1"/>
    <col min="18" max="18" width="10.42578125" style="137" bestFit="1" customWidth="1"/>
    <col min="19" max="19" width="3.5703125" style="137" customWidth="1"/>
    <col min="20" max="20" width="3.140625" style="137" customWidth="1"/>
    <col min="21" max="21" width="3.5703125" style="137" customWidth="1"/>
    <col min="22" max="23" width="12.5703125" style="137" bestFit="1" customWidth="1"/>
    <col min="24" max="24" width="3.5703125" style="137" customWidth="1"/>
    <col min="25" max="16384" width="9.140625" style="137"/>
  </cols>
  <sheetData>
    <row r="1" spans="2:33" s="50" customFormat="1" ht="15" customHeight="1">
      <c r="B1" s="49"/>
      <c r="C1" s="49"/>
      <c r="D1" s="245"/>
      <c r="E1" s="245"/>
      <c r="F1" s="245"/>
      <c r="G1" s="245"/>
      <c r="H1" s="245"/>
      <c r="I1" s="373"/>
      <c r="J1" s="373"/>
      <c r="K1" s="373"/>
      <c r="L1" s="373"/>
      <c r="M1" s="373"/>
      <c r="O1" s="247"/>
      <c r="P1" s="247"/>
    </row>
    <row r="2" spans="2:33" ht="24" customHeight="1">
      <c r="B2" s="8"/>
      <c r="C2" s="51" t="str">
        <f>IF(Indice_index!$Z$1=1,"14 - Execução Orçamental da Administração Regional","14 - Regional Government Budget Execution")</f>
        <v>14 - Execução Orçamental da Administração Regional</v>
      </c>
      <c r="D2" s="51"/>
      <c r="E2" s="51"/>
      <c r="F2" s="51"/>
      <c r="G2" s="51"/>
      <c r="H2" s="51"/>
      <c r="I2" s="335"/>
      <c r="J2" s="335"/>
      <c r="K2" s="335"/>
      <c r="L2" s="335"/>
      <c r="M2" s="335"/>
    </row>
    <row r="3" spans="2:33" ht="15" customHeight="1">
      <c r="D3" s="245"/>
      <c r="E3" s="245"/>
      <c r="F3" s="245"/>
      <c r="G3" s="245"/>
      <c r="H3" s="245"/>
      <c r="I3" s="373"/>
      <c r="J3" s="373"/>
      <c r="K3" s="373"/>
      <c r="L3" s="373"/>
      <c r="M3" s="373"/>
    </row>
    <row r="4" spans="2:33" ht="15" customHeight="1">
      <c r="B4" s="97"/>
      <c r="C4" s="97"/>
      <c r="D4" s="97"/>
      <c r="E4" s="97"/>
      <c r="F4" s="97"/>
      <c r="G4" s="97"/>
      <c r="H4" s="97"/>
      <c r="I4" s="97"/>
      <c r="J4" s="97"/>
      <c r="K4" s="97"/>
      <c r="L4" s="97"/>
      <c r="M4" s="97"/>
    </row>
    <row r="5" spans="2:33" s="299" customFormat="1" ht="15" customHeight="1">
      <c r="C5" s="797" t="str">
        <f>+'5 - Conta AC + SS'!C5</f>
        <v>Período: janeiro a julho</v>
      </c>
      <c r="D5" s="1287"/>
      <c r="E5" s="1287"/>
      <c r="F5" s="1288"/>
      <c r="G5" s="1288"/>
      <c r="H5" s="1288"/>
      <c r="I5" s="1288"/>
      <c r="J5" s="1288"/>
      <c r="K5" s="802"/>
      <c r="L5" s="802"/>
      <c r="M5" s="802" t="str">
        <f>IF(Indice_index!$Z$1=1,"€ Milhões","€ Millions")</f>
        <v>€ Milhões</v>
      </c>
      <c r="N5" s="386"/>
      <c r="O5" s="300"/>
      <c r="P5" s="300"/>
      <c r="Q5" s="301"/>
      <c r="R5" s="301"/>
      <c r="S5" s="301"/>
      <c r="T5" s="301"/>
      <c r="U5" s="301"/>
      <c r="V5" s="301"/>
      <c r="W5" s="301"/>
      <c r="X5" s="301"/>
      <c r="Y5" s="301"/>
      <c r="Z5" s="301"/>
      <c r="AA5" s="301"/>
      <c r="AB5" s="301"/>
      <c r="AC5" s="301"/>
      <c r="AD5" s="301"/>
      <c r="AE5" s="301"/>
      <c r="AF5" s="301"/>
      <c r="AG5" s="301"/>
    </row>
    <row r="6" spans="2:33" ht="25.5" customHeight="1">
      <c r="C6" s="1289"/>
      <c r="D6" s="1725" t="str">
        <f>IF(Indice_index!$Z$1=1,"R. Autónoma dos Açores","Azores Autonomous Region")</f>
        <v>R. Autónoma dos Açores</v>
      </c>
      <c r="E6" s="1726"/>
      <c r="F6" s="1727"/>
      <c r="G6" s="1725" t="str">
        <f>IF(Indice_index!$Z$1=1,"R. Autónoma da Madeira","Madeira Autonomous Region")</f>
        <v>R. Autónoma da Madeira</v>
      </c>
      <c r="H6" s="1726"/>
      <c r="I6" s="1727"/>
      <c r="J6" s="1290" t="str">
        <f>IF(Indice_index!$Z$1=1,"Administração Regional","Regional Government")</f>
        <v>Administração Regional</v>
      </c>
      <c r="K6" s="1291"/>
      <c r="L6" s="1291"/>
      <c r="M6" s="1291"/>
      <c r="N6" s="387"/>
      <c r="Q6" s="139"/>
      <c r="R6" s="140"/>
      <c r="S6" s="141"/>
      <c r="T6" s="141"/>
      <c r="U6" s="141"/>
      <c r="V6" s="142"/>
      <c r="W6" s="143"/>
      <c r="X6" s="143"/>
      <c r="Y6" s="141"/>
      <c r="Z6" s="141"/>
      <c r="AA6" s="141"/>
      <c r="AB6" s="139"/>
      <c r="AC6" s="139"/>
      <c r="AD6" s="139"/>
      <c r="AE6" s="139"/>
      <c r="AF6" s="139"/>
      <c r="AG6" s="139"/>
    </row>
    <row r="7" spans="2:33" ht="21.75" customHeight="1">
      <c r="C7" s="1292"/>
      <c r="D7" s="1723" t="str">
        <f>IF(Indice_index!$Z$1=1,"Execução Acumulada","Accumulated Execution")</f>
        <v>Execução Acumulada</v>
      </c>
      <c r="E7" s="1724"/>
      <c r="F7" s="1728"/>
      <c r="G7" s="1723" t="str">
        <f>IF(Indice_index!$Z$1=1,"Execução Acumulada","Accumulated Execution")</f>
        <v>Execução Acumulada</v>
      </c>
      <c r="H7" s="1724"/>
      <c r="I7" s="1728"/>
      <c r="J7" s="1723" t="str">
        <f>IF(Indice_index!$Z$1=1,"Execução Acumulada","Accumulated Execution")</f>
        <v>Execução Acumulada</v>
      </c>
      <c r="K7" s="1724"/>
      <c r="L7" s="1724"/>
      <c r="M7" s="1724"/>
      <c r="N7" s="387"/>
      <c r="Q7" s="1722"/>
      <c r="R7" s="1722"/>
      <c r="S7" s="144"/>
      <c r="T7" s="144"/>
      <c r="U7" s="144"/>
      <c r="V7" s="144"/>
      <c r="W7" s="1722"/>
      <c r="X7" s="1722"/>
      <c r="Y7" s="144"/>
      <c r="Z7" s="144"/>
      <c r="AA7" s="144"/>
      <c r="AB7" s="139"/>
      <c r="AC7" s="139"/>
      <c r="AD7" s="139"/>
      <c r="AE7" s="139"/>
      <c r="AF7" s="139"/>
      <c r="AG7" s="139"/>
    </row>
    <row r="8" spans="2:33" ht="30.75" customHeight="1">
      <c r="C8" s="1293"/>
      <c r="D8" s="1294">
        <v>2021</v>
      </c>
      <c r="E8" s="1295">
        <v>2022</v>
      </c>
      <c r="F8" s="1296" t="str">
        <f>IF(Indice_index!$Z$1=1,"TVH (%)","YOY Change Rate (%)")</f>
        <v>TVH (%)</v>
      </c>
      <c r="G8" s="1297">
        <v>2021</v>
      </c>
      <c r="H8" s="1295">
        <v>2022</v>
      </c>
      <c r="I8" s="1296" t="str">
        <f>IF(Indice_index!$Z$1=1,"TVH (%)","YOY Change Rate (%)")</f>
        <v>TVH (%)</v>
      </c>
      <c r="J8" s="1294">
        <v>2021</v>
      </c>
      <c r="K8" s="1295">
        <v>2022</v>
      </c>
      <c r="L8" s="1296" t="str">
        <f>IF(Indice_index!$Z$1=1,"TVH (%)","YOY Change Rate (%)")</f>
        <v>TVH (%)</v>
      </c>
      <c r="M8" s="1298" t="str">
        <f>IF(Indice_index!$Z$1=1,"Contributo VH (p.p.)","YOY Change Contrib. (p.p.)")</f>
        <v>Contributo VH (p.p.)</v>
      </c>
      <c r="N8" s="387"/>
      <c r="Q8" s="145"/>
      <c r="R8" s="146"/>
      <c r="S8" s="147"/>
      <c r="T8" s="147"/>
      <c r="U8" s="147"/>
      <c r="V8" s="147"/>
      <c r="W8" s="145"/>
      <c r="X8" s="146"/>
      <c r="Y8" s="147"/>
      <c r="Z8" s="147"/>
      <c r="AA8" s="147"/>
      <c r="AB8" s="139"/>
      <c r="AC8" s="139"/>
      <c r="AD8" s="139"/>
      <c r="AE8" s="139"/>
      <c r="AF8" s="139"/>
      <c r="AG8" s="139"/>
    </row>
    <row r="9" spans="2:33" s="299" customFormat="1" ht="15" customHeight="1">
      <c r="C9" s="1299" t="str">
        <f>IF(Indice_index!$Z$1=1,"Receita corrente","Current revenue")</f>
        <v>Receita corrente</v>
      </c>
      <c r="D9" s="1300">
        <v>661.10248310000009</v>
      </c>
      <c r="E9" s="1300">
        <v>581.60006179000015</v>
      </c>
      <c r="F9" s="302">
        <f>IFERROR(IF(ABS((E9-D9)/D9)*100&gt;500,"n.r",((E9-D9)/D9)*100),0)</f>
        <v>-12.025733277721509</v>
      </c>
      <c r="G9" s="1300">
        <v>589.81778278000013</v>
      </c>
      <c r="H9" s="1300">
        <v>676.17480346000002</v>
      </c>
      <c r="I9" s="302">
        <f>IFERROR(IF(ABS((H9-G9)/G9)*100&gt;500,"n.r",((H9-G9)/G9)*100),0)</f>
        <v>14.641305026947746</v>
      </c>
      <c r="J9" s="1300">
        <v>1250.9202658800004</v>
      </c>
      <c r="K9" s="1300">
        <v>1257.2639056900002</v>
      </c>
      <c r="L9" s="302">
        <f>IFERROR(IF(ABS((K9-J9)/J9)*100&gt;500,"n.r",((K9-J9)/J9)*100),0)</f>
        <v>0.50711783820507117</v>
      </c>
      <c r="M9" s="302">
        <f t="shared" ref="M9:M21" si="0">IFERROR((K9-J9)/$J$35*100,"-")</f>
        <v>0.44202258437941622</v>
      </c>
      <c r="N9" s="388"/>
      <c r="O9" s="300"/>
      <c r="P9" s="303"/>
      <c r="Q9" s="304"/>
      <c r="R9" s="305"/>
      <c r="S9" s="306"/>
      <c r="T9" s="306"/>
      <c r="U9" s="306"/>
      <c r="V9" s="301"/>
      <c r="W9" s="148"/>
      <c r="X9" s="148"/>
      <c r="Y9" s="148"/>
      <c r="Z9" s="148"/>
      <c r="AA9" s="148"/>
      <c r="AB9" s="148"/>
      <c r="AC9" s="148"/>
      <c r="AD9" s="148"/>
      <c r="AE9" s="148"/>
      <c r="AF9" s="148"/>
      <c r="AG9" s="148"/>
    </row>
    <row r="10" spans="2:33" ht="15" customHeight="1">
      <c r="C10" s="1301" t="str">
        <f>IF(Indice_index!$Z$1=1,"Receita Fiscal","Tax revenue")</f>
        <v>Receita Fiscal</v>
      </c>
      <c r="D10" s="1302">
        <v>370.30967687999998</v>
      </c>
      <c r="E10" s="1302">
        <v>388.78970562000006</v>
      </c>
      <c r="F10" s="1250">
        <f t="shared" ref="F10:F58" si="1">IFERROR(IF(ABS((E10-D10)/D10)*100&gt;500,"n.r",((E10-D10)/D10)*100),0)</f>
        <v>4.9904255529321722</v>
      </c>
      <c r="G10" s="1302">
        <v>386.54933431000001</v>
      </c>
      <c r="H10" s="1302">
        <v>464.73214406</v>
      </c>
      <c r="I10" s="1250">
        <f t="shared" ref="I10:I58" si="2">IFERROR(IF(ABS((H10-G10)/G10)*100&gt;500,"n.r",((H10-G10)/G10)*100),0)</f>
        <v>20.225829618762173</v>
      </c>
      <c r="J10" s="1302">
        <v>756.85901119000005</v>
      </c>
      <c r="K10" s="1302">
        <v>853.52184968000006</v>
      </c>
      <c r="L10" s="1250">
        <f t="shared" ref="L10:L58" si="3">IFERROR(IF(ABS((K10-J10)/J10)*100&gt;500,"n.r",((K10-J10)/J10)*100),0)</f>
        <v>12.771577937351664</v>
      </c>
      <c r="M10" s="1250">
        <f t="shared" si="0"/>
        <v>6.7354324902632445</v>
      </c>
      <c r="N10" s="389"/>
      <c r="P10" s="246"/>
      <c r="Q10" s="145"/>
      <c r="R10" s="146"/>
      <c r="S10" s="147"/>
      <c r="T10" s="147"/>
      <c r="U10" s="147"/>
      <c r="V10" s="139"/>
      <c r="W10" s="149"/>
      <c r="X10" s="148"/>
      <c r="Y10" s="148"/>
      <c r="Z10" s="148"/>
      <c r="AA10" s="148"/>
      <c r="AB10" s="148"/>
      <c r="AC10" s="148"/>
      <c r="AD10" s="148"/>
      <c r="AE10" s="148"/>
      <c r="AF10" s="148"/>
      <c r="AG10" s="148"/>
    </row>
    <row r="11" spans="2:33" ht="15" customHeight="1">
      <c r="C11" s="1254" t="str">
        <f>IF(Indice_index!$Z$1=1,"Impostos diretos","Direct taxes")</f>
        <v>Impostos diretos</v>
      </c>
      <c r="D11" s="1302">
        <v>100.82468932000002</v>
      </c>
      <c r="E11" s="1302">
        <v>99.859230120000007</v>
      </c>
      <c r="F11" s="1250">
        <f t="shared" si="1"/>
        <v>-0.95756228609424499</v>
      </c>
      <c r="G11" s="1302">
        <v>79.908252569999988</v>
      </c>
      <c r="H11" s="1302">
        <v>121.53301539</v>
      </c>
      <c r="I11" s="1250">
        <f t="shared" si="2"/>
        <v>52.090693365540105</v>
      </c>
      <c r="J11" s="1302">
        <v>180.73294189000001</v>
      </c>
      <c r="K11" s="1302">
        <v>221.39224551000001</v>
      </c>
      <c r="L11" s="1250">
        <f t="shared" si="3"/>
        <v>22.49689691033004</v>
      </c>
      <c r="M11" s="1250">
        <f t="shared" si="0"/>
        <v>2.8331259345540238</v>
      </c>
      <c r="N11" s="389"/>
      <c r="P11" s="246"/>
      <c r="Q11" s="145"/>
      <c r="R11" s="146"/>
      <c r="S11" s="147"/>
      <c r="T11" s="147"/>
      <c r="U11" s="147"/>
      <c r="V11" s="139"/>
      <c r="W11" s="149"/>
      <c r="X11" s="148"/>
      <c r="Y11" s="148"/>
      <c r="Z11" s="148"/>
      <c r="AA11" s="148"/>
      <c r="AB11" s="148"/>
      <c r="AC11" s="148"/>
      <c r="AD11" s="148"/>
      <c r="AE11" s="148"/>
      <c r="AF11" s="148"/>
      <c r="AG11" s="148"/>
    </row>
    <row r="12" spans="2:33" ht="15" customHeight="1">
      <c r="C12" s="1254" t="str">
        <f>IF(Indice_index!$Z$1=1,"Impostos indiretos","Indirect taxes")</f>
        <v>Impostos indiretos</v>
      </c>
      <c r="D12" s="1302">
        <v>269.48498755999998</v>
      </c>
      <c r="E12" s="1302">
        <v>288.93047550000006</v>
      </c>
      <c r="F12" s="1250">
        <f t="shared" si="1"/>
        <v>7.2157963662709044</v>
      </c>
      <c r="G12" s="1302">
        <v>306.64108174</v>
      </c>
      <c r="H12" s="1302">
        <v>343.19912866999999</v>
      </c>
      <c r="I12" s="1250">
        <f t="shared" si="2"/>
        <v>11.922096909701564</v>
      </c>
      <c r="J12" s="1303">
        <v>576.12606929999993</v>
      </c>
      <c r="K12" s="1303">
        <v>632.12960416999999</v>
      </c>
      <c r="L12" s="1250">
        <f t="shared" si="3"/>
        <v>9.720708340458371</v>
      </c>
      <c r="M12" s="1250">
        <f t="shared" si="0"/>
        <v>3.9023065557092242</v>
      </c>
      <c r="N12" s="389"/>
      <c r="P12" s="246"/>
      <c r="Q12" s="145"/>
      <c r="R12" s="146"/>
      <c r="S12" s="147"/>
      <c r="T12" s="147"/>
      <c r="U12" s="147"/>
      <c r="V12" s="139"/>
      <c r="W12" s="149"/>
      <c r="X12" s="148"/>
      <c r="Y12" s="148"/>
      <c r="Z12" s="148"/>
      <c r="AA12" s="148"/>
      <c r="AB12" s="148"/>
      <c r="AC12" s="148"/>
      <c r="AD12" s="148"/>
      <c r="AE12" s="148"/>
      <c r="AF12" s="148"/>
      <c r="AG12" s="148"/>
    </row>
    <row r="13" spans="2:33" ht="15" customHeight="1">
      <c r="C13" s="743" t="str">
        <f>IF(Indice_index!$Z$1=1,"Contribuições para Segurança Social, CGA e ADSE","Social security, CGA and ADSE contributions")</f>
        <v>Contribuições para Segurança Social, CGA e ADSE</v>
      </c>
      <c r="D13" s="1302">
        <v>0</v>
      </c>
      <c r="E13" s="1302">
        <v>0</v>
      </c>
      <c r="F13" s="1250">
        <f t="shared" si="1"/>
        <v>0</v>
      </c>
      <c r="G13" s="1302">
        <v>0</v>
      </c>
      <c r="H13" s="1302">
        <v>0</v>
      </c>
      <c r="I13" s="1250">
        <f t="shared" si="2"/>
        <v>0</v>
      </c>
      <c r="J13" s="1302">
        <v>0</v>
      </c>
      <c r="K13" s="1302">
        <v>0</v>
      </c>
      <c r="L13" s="1250">
        <f t="shared" si="3"/>
        <v>0</v>
      </c>
      <c r="M13" s="1250">
        <f t="shared" si="0"/>
        <v>0</v>
      </c>
      <c r="N13" s="389"/>
      <c r="P13" s="246"/>
      <c r="Q13" s="145"/>
      <c r="R13" s="146"/>
      <c r="S13" s="147"/>
      <c r="T13" s="147"/>
      <c r="U13" s="147"/>
      <c r="V13" s="139"/>
      <c r="W13" s="149"/>
      <c r="X13" s="148"/>
      <c r="Y13" s="148"/>
      <c r="Z13" s="148"/>
      <c r="AA13" s="148"/>
      <c r="AB13" s="148"/>
      <c r="AC13" s="148"/>
      <c r="AD13" s="148"/>
      <c r="AE13" s="148"/>
      <c r="AF13" s="148"/>
      <c r="AG13" s="148"/>
    </row>
    <row r="14" spans="2:33" ht="15" customHeight="1">
      <c r="C14" s="1301" t="str">
        <f>IF(Indice_index!$Z$1=1,"Transferências correntes","Current transfers")</f>
        <v>Transferências correntes</v>
      </c>
      <c r="D14" s="1302">
        <v>184.03026247000008</v>
      </c>
      <c r="E14" s="1302">
        <v>163.99859905</v>
      </c>
      <c r="F14" s="1250">
        <f t="shared" si="1"/>
        <v>-10.884983345206917</v>
      </c>
      <c r="G14" s="1302">
        <v>158.3370344600001</v>
      </c>
      <c r="H14" s="1302">
        <v>155.97782389000002</v>
      </c>
      <c r="I14" s="1250">
        <f t="shared" si="2"/>
        <v>-1.4899928990371918</v>
      </c>
      <c r="J14" s="1302">
        <v>342.36729693000018</v>
      </c>
      <c r="K14" s="1302">
        <v>319.97642294000002</v>
      </c>
      <c r="L14" s="1250">
        <f t="shared" si="3"/>
        <v>-6.5400154134984918</v>
      </c>
      <c r="M14" s="1250">
        <f t="shared" si="0"/>
        <v>-1.5601882017280007</v>
      </c>
      <c r="N14" s="389"/>
      <c r="P14" s="246"/>
      <c r="Q14" s="145"/>
      <c r="R14" s="146"/>
      <c r="S14" s="147"/>
      <c r="T14" s="147"/>
      <c r="U14" s="147"/>
      <c r="V14" s="139"/>
      <c r="W14" s="149"/>
      <c r="X14" s="148"/>
      <c r="Y14" s="148"/>
      <c r="Z14" s="148"/>
      <c r="AA14" s="148"/>
      <c r="AB14" s="148"/>
      <c r="AC14" s="148"/>
      <c r="AD14" s="148"/>
      <c r="AE14" s="148"/>
      <c r="AF14" s="148"/>
      <c r="AG14" s="148"/>
    </row>
    <row r="15" spans="2:33" ht="15" customHeight="1">
      <c r="C15" s="1254" t="str">
        <f>IF(Indice_index!$Z$1=1,"Administração Central","Central Administration")</f>
        <v>Administração Central</v>
      </c>
      <c r="D15" s="1302">
        <v>147.24850367999997</v>
      </c>
      <c r="E15" s="1302">
        <v>137.83494066999998</v>
      </c>
      <c r="F15" s="1250">
        <f t="shared" si="1"/>
        <v>-6.3929770250552211</v>
      </c>
      <c r="G15" s="1302">
        <v>139.99626375</v>
      </c>
      <c r="H15" s="1302">
        <v>130.81543686000001</v>
      </c>
      <c r="I15" s="1250">
        <f t="shared" si="2"/>
        <v>-6.5579085070404188</v>
      </c>
      <c r="J15" s="1302">
        <v>287.24476742999997</v>
      </c>
      <c r="K15" s="1302">
        <v>268.65037753000001</v>
      </c>
      <c r="L15" s="1250">
        <f t="shared" si="3"/>
        <v>-6.4733607043098909</v>
      </c>
      <c r="M15" s="1250">
        <f t="shared" si="0"/>
        <v>-1.2956505294642149</v>
      </c>
      <c r="N15" s="389"/>
      <c r="P15" s="246"/>
      <c r="Q15" s="145"/>
      <c r="R15" s="146"/>
      <c r="S15" s="147"/>
      <c r="T15" s="147"/>
      <c r="U15" s="147"/>
      <c r="V15" s="139"/>
      <c r="W15" s="149"/>
      <c r="X15" s="148"/>
      <c r="Y15" s="148"/>
      <c r="Z15" s="148"/>
      <c r="AA15" s="148"/>
      <c r="AB15" s="148"/>
      <c r="AC15" s="148"/>
      <c r="AD15" s="148"/>
      <c r="AE15" s="148"/>
      <c r="AF15" s="148"/>
      <c r="AG15" s="148"/>
    </row>
    <row r="16" spans="2:33" ht="15" customHeight="1">
      <c r="C16" s="1304" t="str">
        <f>IF(Indice_index!$Z$1=1,"dos quais:","of which:")</f>
        <v>dos quais:</v>
      </c>
      <c r="D16" s="1302"/>
      <c r="E16" s="1302"/>
      <c r="F16" s="1250"/>
      <c r="G16" s="1302"/>
      <c r="H16" s="1302"/>
      <c r="I16" s="1250"/>
      <c r="J16" s="1302"/>
      <c r="K16" s="1302"/>
      <c r="L16" s="1250"/>
      <c r="M16" s="1250"/>
      <c r="N16" s="389"/>
      <c r="P16" s="246"/>
      <c r="Q16" s="145"/>
      <c r="R16" s="146"/>
      <c r="S16" s="147"/>
      <c r="T16" s="147"/>
      <c r="U16" s="147"/>
      <c r="V16" s="139"/>
      <c r="W16" s="149"/>
      <c r="X16" s="148"/>
      <c r="Y16" s="148"/>
      <c r="Z16" s="148"/>
      <c r="AA16" s="148"/>
      <c r="AB16" s="148"/>
      <c r="AC16" s="148"/>
      <c r="AD16" s="148"/>
      <c r="AE16" s="148"/>
      <c r="AF16" s="148"/>
      <c r="AG16" s="148"/>
    </row>
    <row r="17" spans="3:33" ht="15" customHeight="1">
      <c r="C17" s="1256" t="str">
        <f>IF(Indice_index!$Z$1=1,"Transferências do OE","State Budget tranfers")</f>
        <v>Transferências do OE</v>
      </c>
      <c r="D17" s="1302">
        <v>146.08420624999999</v>
      </c>
      <c r="E17" s="1302">
        <v>136.05692126</v>
      </c>
      <c r="F17" s="1250">
        <f t="shared" si="1"/>
        <v>-6.8640445448564691</v>
      </c>
      <c r="G17" s="1302">
        <v>139.99626375</v>
      </c>
      <c r="H17" s="1302">
        <v>130.81513686</v>
      </c>
      <c r="I17" s="1250">
        <f t="shared" si="2"/>
        <v>-6.5581227984736143</v>
      </c>
      <c r="J17" s="1302">
        <v>286.08046999999999</v>
      </c>
      <c r="K17" s="1302">
        <v>266.87205812000002</v>
      </c>
      <c r="L17" s="1250">
        <f t="shared" si="3"/>
        <v>-6.7143387593008264</v>
      </c>
      <c r="M17" s="1250">
        <f>(K17-J17)/J15*100</f>
        <v>-6.6871233380016086</v>
      </c>
      <c r="N17" s="389"/>
      <c r="P17" s="246"/>
      <c r="Q17" s="145"/>
      <c r="R17" s="146"/>
      <c r="S17" s="147"/>
      <c r="T17" s="147"/>
      <c r="U17" s="147"/>
      <c r="V17" s="139"/>
      <c r="W17" s="149"/>
      <c r="X17" s="148"/>
      <c r="Y17" s="148"/>
      <c r="Z17" s="148"/>
      <c r="AA17" s="148"/>
      <c r="AB17" s="148"/>
      <c r="AC17" s="148"/>
      <c r="AD17" s="148"/>
      <c r="AE17" s="148"/>
      <c r="AF17" s="148"/>
      <c r="AG17" s="148"/>
    </row>
    <row r="18" spans="3:33" ht="15" customHeight="1">
      <c r="C18" s="1254" t="str">
        <f>IF(Indice_index!$Z$1=1,"Outros subsectores das AP","Other General Government subsectors")</f>
        <v>Outros subsectores das AP</v>
      </c>
      <c r="D18" s="1302">
        <v>6.9686417699999996</v>
      </c>
      <c r="E18" s="1302">
        <v>6.8664789499999994</v>
      </c>
      <c r="F18" s="1250">
        <f t="shared" si="1"/>
        <v>-1.4660363291999183</v>
      </c>
      <c r="G18" s="1302">
        <v>6.9314225899999995</v>
      </c>
      <c r="H18" s="1302">
        <v>6.6327372800000006</v>
      </c>
      <c r="I18" s="1250">
        <f t="shared" si="2"/>
        <v>-4.3091487515263278</v>
      </c>
      <c r="J18" s="1302">
        <v>13.900064359999998</v>
      </c>
      <c r="K18" s="1302">
        <v>13.49921623</v>
      </c>
      <c r="L18" s="1250">
        <f t="shared" si="3"/>
        <v>-2.8837861438506192</v>
      </c>
      <c r="M18" s="1250">
        <f t="shared" si="0"/>
        <v>-2.7930956307915186E-2</v>
      </c>
      <c r="N18" s="389"/>
      <c r="P18" s="246"/>
      <c r="Q18" s="145"/>
      <c r="R18" s="146"/>
      <c r="S18" s="147"/>
      <c r="T18" s="147"/>
      <c r="U18" s="147"/>
      <c r="V18" s="139"/>
      <c r="W18" s="149"/>
      <c r="X18" s="148"/>
      <c r="Y18" s="148"/>
      <c r="Z18" s="148"/>
      <c r="AA18" s="148"/>
      <c r="AB18" s="148"/>
      <c r="AC18" s="148"/>
      <c r="AD18" s="148"/>
      <c r="AE18" s="148"/>
      <c r="AF18" s="148"/>
      <c r="AG18" s="148"/>
    </row>
    <row r="19" spans="3:33" ht="15" customHeight="1">
      <c r="C19" s="1254" t="str">
        <f>IF(Indice_index!$Z$1=1,"União Europeia","European Union")</f>
        <v>União Europeia</v>
      </c>
      <c r="D19" s="1302">
        <v>21.390210549999999</v>
      </c>
      <c r="E19" s="1302">
        <v>11.262882920000001</v>
      </c>
      <c r="F19" s="1250">
        <f t="shared" si="1"/>
        <v>-47.345619185595154</v>
      </c>
      <c r="G19" s="1302">
        <v>11.31969353</v>
      </c>
      <c r="H19" s="1302">
        <v>18.482222779999997</v>
      </c>
      <c r="I19" s="1250">
        <f t="shared" si="2"/>
        <v>63.274939652893558</v>
      </c>
      <c r="J19" s="1302">
        <v>32.709904080000001</v>
      </c>
      <c r="K19" s="1302">
        <v>29.745105699999996</v>
      </c>
      <c r="L19" s="1250">
        <f t="shared" si="3"/>
        <v>-9.0639164601304589</v>
      </c>
      <c r="M19" s="1250">
        <f t="shared" si="0"/>
        <v>-0.20658610535006916</v>
      </c>
      <c r="N19" s="389"/>
      <c r="P19" s="246"/>
      <c r="Q19" s="145"/>
      <c r="R19" s="146"/>
      <c r="S19" s="147"/>
      <c r="T19" s="147"/>
      <c r="U19" s="147"/>
      <c r="V19" s="139"/>
      <c r="W19" s="149"/>
      <c r="X19" s="148"/>
      <c r="Y19" s="148"/>
      <c r="Z19" s="148"/>
      <c r="AA19" s="148"/>
      <c r="AB19" s="148"/>
      <c r="AC19" s="148"/>
      <c r="AD19" s="148"/>
      <c r="AE19" s="148"/>
      <c r="AF19" s="148"/>
      <c r="AG19" s="148"/>
    </row>
    <row r="20" spans="3:33" ht="15" customHeight="1">
      <c r="C20" s="1254" t="str">
        <f>IF(Indice_index!$Z$1=1,"Outras transferências","Other transfers")</f>
        <v>Outras transferências</v>
      </c>
      <c r="D20" s="1302">
        <v>8.4229064700001146</v>
      </c>
      <c r="E20" s="1302">
        <v>8.0342965100000132</v>
      </c>
      <c r="F20" s="1250">
        <f t="shared" si="1"/>
        <v>-4.6137275937256863</v>
      </c>
      <c r="G20" s="1302">
        <v>8.9654590000099788E-2</v>
      </c>
      <c r="H20" s="1302">
        <v>4.7426970000021385E-2</v>
      </c>
      <c r="I20" s="1250">
        <f t="shared" si="2"/>
        <v>-47.100343663421363</v>
      </c>
      <c r="J20" s="1302">
        <v>8.5125610600002144</v>
      </c>
      <c r="K20" s="1302">
        <v>8.0817234800000346</v>
      </c>
      <c r="L20" s="1250">
        <f t="shared" si="3"/>
        <v>-5.0611981160951451</v>
      </c>
      <c r="M20" s="1250">
        <f t="shared" si="0"/>
        <v>-3.0020610605799729E-2</v>
      </c>
      <c r="N20" s="389"/>
      <c r="P20" s="246"/>
      <c r="Q20" s="145"/>
      <c r="R20" s="146"/>
      <c r="S20" s="147"/>
      <c r="T20" s="147"/>
      <c r="U20" s="147"/>
      <c r="V20" s="139"/>
      <c r="W20" s="149"/>
      <c r="X20" s="148"/>
      <c r="Y20" s="148"/>
      <c r="Z20" s="148"/>
      <c r="AA20" s="148"/>
      <c r="AB20" s="148"/>
      <c r="AC20" s="148"/>
      <c r="AD20" s="148"/>
      <c r="AE20" s="148"/>
      <c r="AF20" s="148"/>
      <c r="AG20" s="148"/>
    </row>
    <row r="21" spans="3:33" ht="15" customHeight="1">
      <c r="C21" s="1301" t="str">
        <f>IF(Indice_index!$Z$1=1,"Outras receitas correntes","Other current revenue")</f>
        <v>Outras receitas correntes</v>
      </c>
      <c r="D21" s="1302">
        <v>106.76254374999999</v>
      </c>
      <c r="E21" s="1302">
        <v>28.811757119999999</v>
      </c>
      <c r="F21" s="1250">
        <f t="shared" si="1"/>
        <v>-73.013234690747993</v>
      </c>
      <c r="G21" s="1302">
        <v>44.931414010000005</v>
      </c>
      <c r="H21" s="1302">
        <v>54.371140249999996</v>
      </c>
      <c r="I21" s="1302">
        <f t="shared" si="2"/>
        <v>21.009190224681269</v>
      </c>
      <c r="J21" s="1302">
        <v>151.69395775999999</v>
      </c>
      <c r="K21" s="1302">
        <v>83.182897369999992</v>
      </c>
      <c r="L21" s="1250">
        <f t="shared" si="3"/>
        <v>-45.16400086178357</v>
      </c>
      <c r="M21" s="1250">
        <f t="shared" si="0"/>
        <v>-4.7738265221844429</v>
      </c>
      <c r="N21" s="389"/>
      <c r="P21" s="246"/>
      <c r="Q21" s="145"/>
      <c r="R21" s="146"/>
      <c r="S21" s="147"/>
      <c r="T21" s="147"/>
      <c r="U21" s="147"/>
      <c r="V21" s="139"/>
      <c r="W21" s="149"/>
      <c r="X21" s="148"/>
      <c r="Y21" s="148"/>
      <c r="Z21" s="148"/>
      <c r="AA21" s="148"/>
      <c r="AB21" s="148"/>
      <c r="AC21" s="148"/>
      <c r="AD21" s="148"/>
      <c r="AE21" s="148"/>
      <c r="AF21" s="148"/>
      <c r="AG21" s="148"/>
    </row>
    <row r="22" spans="3:33" s="152" customFormat="1" ht="15" customHeight="1">
      <c r="C22" s="1301" t="str">
        <f>IF(Indice_index!$Z$1=1,"Diferenças de consolidação","Consolidation differences")</f>
        <v>Diferenças de consolidação</v>
      </c>
      <c r="D22" s="1302">
        <v>0</v>
      </c>
      <c r="E22" s="1302">
        <v>0</v>
      </c>
      <c r="F22" s="1250"/>
      <c r="G22" s="1302">
        <v>0</v>
      </c>
      <c r="H22" s="1302">
        <v>1.0936952600000041</v>
      </c>
      <c r="I22" s="1305"/>
      <c r="J22" s="1302">
        <v>0</v>
      </c>
      <c r="K22" s="1302">
        <v>0.58273570000005748</v>
      </c>
      <c r="L22" s="1250"/>
      <c r="M22" s="1250"/>
      <c r="N22" s="389"/>
      <c r="O22" s="247"/>
      <c r="P22" s="246"/>
      <c r="Q22" s="145"/>
      <c r="R22" s="146"/>
      <c r="S22" s="147"/>
      <c r="T22" s="147"/>
      <c r="U22" s="147"/>
      <c r="V22" s="150"/>
      <c r="W22" s="151"/>
      <c r="X22" s="148"/>
      <c r="Y22" s="148"/>
      <c r="Z22" s="148"/>
      <c r="AA22" s="148"/>
      <c r="AB22" s="148"/>
      <c r="AC22" s="148"/>
      <c r="AD22" s="148"/>
      <c r="AE22" s="148"/>
      <c r="AF22" s="148"/>
      <c r="AG22" s="148"/>
    </row>
    <row r="23" spans="3:33" s="299" customFormat="1" ht="15" customHeight="1">
      <c r="C23" s="1306" t="str">
        <f>IF(Indice_index!$Z$1=1,"Receita de capital","Capital revenue")</f>
        <v>Receita de capital</v>
      </c>
      <c r="D23" s="1307">
        <v>123.77557619000001</v>
      </c>
      <c r="E23" s="1307">
        <v>101.31372197</v>
      </c>
      <c r="F23" s="302">
        <f t="shared" si="1"/>
        <v>-18.147242704425178</v>
      </c>
      <c r="G23" s="1307">
        <v>60.443454920000008</v>
      </c>
      <c r="H23" s="1307">
        <v>101.64977126999997</v>
      </c>
      <c r="I23" s="302">
        <f t="shared" si="2"/>
        <v>68.17333060219444</v>
      </c>
      <c r="J23" s="1307">
        <v>184.21903111000003</v>
      </c>
      <c r="K23" s="1307">
        <v>202.96349323999999</v>
      </c>
      <c r="L23" s="302">
        <f t="shared" si="3"/>
        <v>10.175095383498869</v>
      </c>
      <c r="M23" s="302">
        <f>IFERROR((K23-J23)/$J$35*100,"-")</f>
        <v>1.3061075095158909</v>
      </c>
      <c r="N23" s="388"/>
      <c r="O23" s="300"/>
      <c r="P23" s="303"/>
      <c r="Q23" s="304"/>
      <c r="R23" s="305"/>
      <c r="S23" s="306"/>
      <c r="T23" s="306"/>
      <c r="U23" s="306"/>
      <c r="V23" s="301"/>
      <c r="W23" s="307"/>
      <c r="X23" s="148"/>
      <c r="Y23" s="148"/>
      <c r="Z23" s="148"/>
      <c r="AA23" s="148"/>
      <c r="AB23" s="148"/>
      <c r="AC23" s="148"/>
      <c r="AD23" s="148"/>
      <c r="AE23" s="148"/>
      <c r="AF23" s="148"/>
      <c r="AG23" s="148"/>
    </row>
    <row r="24" spans="3:33" ht="15" customHeight="1">
      <c r="C24" s="1301" t="str">
        <f>IF(Indice_index!$Z$1=1,"Venda de Bens de Investimento","Sale of investment goods")</f>
        <v>Venda de Bens de Investimento</v>
      </c>
      <c r="D24" s="1302">
        <v>0.15614221</v>
      </c>
      <c r="E24" s="1302">
        <v>0.17322389000000002</v>
      </c>
      <c r="F24" s="1250">
        <f t="shared" si="1"/>
        <v>10.939822101915949</v>
      </c>
      <c r="G24" s="1302">
        <v>1.6980612500000001</v>
      </c>
      <c r="H24" s="1302">
        <v>3.4039968200000001</v>
      </c>
      <c r="I24" s="1250">
        <f t="shared" si="2"/>
        <v>100.46372414422623</v>
      </c>
      <c r="J24" s="1302">
        <v>1.8542034600000001</v>
      </c>
      <c r="K24" s="1302">
        <v>3.5772207100000002</v>
      </c>
      <c r="L24" s="1250">
        <f t="shared" si="3"/>
        <v>92.924929069003028</v>
      </c>
      <c r="M24" s="1250">
        <f t="shared" ref="M24:M26" si="4">IFERROR((K24-J24)/$J$35*100,"-")</f>
        <v>0.12005923422303204</v>
      </c>
      <c r="N24" s="389"/>
      <c r="P24" s="246"/>
      <c r="Q24" s="145"/>
      <c r="R24" s="146"/>
      <c r="S24" s="147"/>
      <c r="T24" s="147"/>
      <c r="U24" s="147"/>
      <c r="V24" s="139"/>
      <c r="W24" s="149"/>
      <c r="X24" s="148"/>
      <c r="Y24" s="148"/>
      <c r="Z24" s="148"/>
      <c r="AA24" s="148"/>
      <c r="AB24" s="148"/>
      <c r="AC24" s="148"/>
      <c r="AD24" s="148"/>
      <c r="AE24" s="148"/>
      <c r="AF24" s="148"/>
      <c r="AG24" s="148"/>
    </row>
    <row r="25" spans="3:33" ht="15" customHeight="1">
      <c r="C25" s="1301" t="str">
        <f>IF(Indice_index!$Z$1=1,"Transferências de capital","Capital transfers")</f>
        <v>Transferências de capital</v>
      </c>
      <c r="D25" s="1302">
        <v>123.47445962</v>
      </c>
      <c r="E25" s="1302">
        <v>100.89690883</v>
      </c>
      <c r="F25" s="1250">
        <f t="shared" si="1"/>
        <v>-18.285199108774204</v>
      </c>
      <c r="G25" s="1302">
        <v>58.730436050000009</v>
      </c>
      <c r="H25" s="1302">
        <v>98.136940059999986</v>
      </c>
      <c r="I25" s="1250">
        <f t="shared" si="2"/>
        <v>67.097244053239024</v>
      </c>
      <c r="J25" s="1302">
        <v>182.20489567000001</v>
      </c>
      <c r="K25" s="1302">
        <v>199.03384889</v>
      </c>
      <c r="L25" s="1250">
        <f t="shared" si="3"/>
        <v>9.2362793865208257</v>
      </c>
      <c r="M25" s="1250">
        <f t="shared" si="4"/>
        <v>1.1726355243213193</v>
      </c>
      <c r="N25" s="389"/>
      <c r="P25" s="246"/>
      <c r="Q25" s="145"/>
      <c r="R25" s="146"/>
      <c r="S25" s="147"/>
      <c r="T25" s="147"/>
      <c r="U25" s="147"/>
      <c r="V25" s="139"/>
      <c r="W25" s="149"/>
      <c r="X25" s="148"/>
      <c r="Y25" s="148"/>
      <c r="Z25" s="148"/>
      <c r="AA25" s="148"/>
      <c r="AB25" s="148"/>
      <c r="AC25" s="148"/>
      <c r="AD25" s="148"/>
      <c r="AE25" s="148"/>
      <c r="AF25" s="148"/>
      <c r="AG25" s="148"/>
    </row>
    <row r="26" spans="3:33" ht="15" customHeight="1">
      <c r="C26" s="1254" t="str">
        <f>IF(Indice_index!$Z$1=1,"Administração Central","Central Administration")</f>
        <v>Administração Central</v>
      </c>
      <c r="D26" s="1302">
        <v>80.322067529999998</v>
      </c>
      <c r="E26" s="1302">
        <v>74.862234220000005</v>
      </c>
      <c r="F26" s="1250">
        <f t="shared" si="1"/>
        <v>-6.797426258930356</v>
      </c>
      <c r="G26" s="1302">
        <v>34.8733419</v>
      </c>
      <c r="H26" s="1302">
        <v>33.279074479999998</v>
      </c>
      <c r="I26" s="1250">
        <f t="shared" si="2"/>
        <v>-4.5715934669283911</v>
      </c>
      <c r="J26" s="1302">
        <v>115.19540943</v>
      </c>
      <c r="K26" s="1302">
        <v>108.1413087</v>
      </c>
      <c r="L26" s="1250">
        <f t="shared" si="3"/>
        <v>-6.123595345426085</v>
      </c>
      <c r="M26" s="1250">
        <f t="shared" si="4"/>
        <v>-0.49152725068534953</v>
      </c>
      <c r="N26" s="389"/>
      <c r="P26" s="246"/>
      <c r="Q26" s="145"/>
      <c r="R26" s="146"/>
      <c r="S26" s="147"/>
      <c r="T26" s="147"/>
      <c r="U26" s="147"/>
      <c r="V26" s="139"/>
      <c r="W26" s="149"/>
      <c r="X26" s="148"/>
      <c r="Y26" s="148"/>
      <c r="Z26" s="148"/>
      <c r="AA26" s="148"/>
      <c r="AB26" s="148"/>
      <c r="AC26" s="148"/>
      <c r="AD26" s="148"/>
      <c r="AE26" s="148"/>
      <c r="AF26" s="148"/>
      <c r="AG26" s="148"/>
    </row>
    <row r="27" spans="3:33" ht="15" customHeight="1">
      <c r="C27" s="1304" t="str">
        <f>IF(Indice_index!$Z$1=1,"dos quais:","of which:")</f>
        <v>dos quais:</v>
      </c>
      <c r="D27" s="1302"/>
      <c r="E27" s="1302"/>
      <c r="F27" s="1250"/>
      <c r="G27" s="1302"/>
      <c r="H27" s="1302"/>
      <c r="I27" s="1250"/>
      <c r="J27" s="1302"/>
      <c r="K27" s="1302"/>
      <c r="L27" s="1250"/>
      <c r="M27" s="1250"/>
      <c r="N27" s="389"/>
      <c r="P27" s="246"/>
      <c r="Q27" s="145"/>
      <c r="R27" s="146"/>
      <c r="S27" s="147"/>
      <c r="T27" s="147"/>
      <c r="U27" s="147"/>
      <c r="V27" s="139"/>
      <c r="W27" s="149"/>
      <c r="X27" s="148"/>
      <c r="Y27" s="148"/>
      <c r="Z27" s="148"/>
      <c r="AA27" s="148"/>
      <c r="AB27" s="148"/>
      <c r="AC27" s="148"/>
      <c r="AD27" s="148"/>
      <c r="AE27" s="148"/>
      <c r="AF27" s="148"/>
      <c r="AG27" s="148"/>
    </row>
    <row r="28" spans="3:33" ht="15" customHeight="1">
      <c r="C28" s="1256" t="str">
        <f>IF(Indice_index!$Z$1=1,"Transferências do OE","State Budget tranfers")</f>
        <v>Transferências do OE</v>
      </c>
      <c r="D28" s="1302">
        <v>80.322067529999998</v>
      </c>
      <c r="E28" s="1302">
        <v>74.827211219999995</v>
      </c>
      <c r="F28" s="1250">
        <f t="shared" si="1"/>
        <v>-6.8410294692024625</v>
      </c>
      <c r="G28" s="1302">
        <v>34.839046500000002</v>
      </c>
      <c r="H28" s="1302">
        <v>33.279074479999998</v>
      </c>
      <c r="I28" s="1250">
        <f t="shared" si="2"/>
        <v>-4.4776541746055063</v>
      </c>
      <c r="J28" s="1302">
        <v>115.16111402999999</v>
      </c>
      <c r="K28" s="1302">
        <v>108.1062857</v>
      </c>
      <c r="L28" s="1250">
        <f t="shared" si="3"/>
        <v>-6.1260507849569583</v>
      </c>
      <c r="M28" s="1250">
        <f>(K28-J28)/J26*100</f>
        <v>-6.1242269678176298</v>
      </c>
      <c r="N28" s="389"/>
      <c r="P28" s="246"/>
      <c r="Q28" s="145"/>
      <c r="R28" s="146"/>
      <c r="S28" s="147"/>
      <c r="T28" s="147"/>
      <c r="U28" s="147"/>
      <c r="V28" s="139"/>
      <c r="W28" s="149"/>
      <c r="X28" s="148"/>
      <c r="Y28" s="148"/>
      <c r="Z28" s="148"/>
      <c r="AA28" s="148"/>
      <c r="AB28" s="148"/>
      <c r="AC28" s="148"/>
      <c r="AD28" s="148"/>
      <c r="AE28" s="148"/>
      <c r="AF28" s="148"/>
      <c r="AG28" s="148"/>
    </row>
    <row r="29" spans="3:33" ht="15" customHeight="1">
      <c r="C29" s="1254" t="str">
        <f>IF(Indice_index!$Z$1=1,"Outros subsectores das AP","Other General Government subsectors")</f>
        <v>Outros subsectores das AP</v>
      </c>
      <c r="D29" s="1302">
        <v>4.8884507553026424E-15</v>
      </c>
      <c r="E29" s="1302">
        <v>-3.5943470422239443E-15</v>
      </c>
      <c r="F29" s="1250">
        <f t="shared" si="1"/>
        <v>-173.52732434350605</v>
      </c>
      <c r="G29" s="1302">
        <v>9.2564844678122427E-15</v>
      </c>
      <c r="H29" s="1302">
        <v>-2.8296890655296614E-14</v>
      </c>
      <c r="I29" s="1250">
        <f t="shared" si="2"/>
        <v>-405.69802989130437</v>
      </c>
      <c r="J29" s="1302">
        <v>1.4144935223114885E-14</v>
      </c>
      <c r="K29" s="1302">
        <v>-3.1891237697520558E-14</v>
      </c>
      <c r="L29" s="1250">
        <f t="shared" si="3"/>
        <v>-325.46047185430467</v>
      </c>
      <c r="M29" s="1250">
        <f t="shared" ref="M29:M32" si="5">IFERROR((K29-J29)/$J$35*100,"-")</f>
        <v>-3.2077842908482636E-15</v>
      </c>
      <c r="N29" s="389"/>
      <c r="P29" s="246"/>
      <c r="Q29" s="145"/>
      <c r="R29" s="146"/>
      <c r="S29" s="147"/>
      <c r="T29" s="147"/>
      <c r="U29" s="147"/>
      <c r="V29" s="139"/>
      <c r="W29" s="149"/>
      <c r="X29" s="148"/>
      <c r="Y29" s="148"/>
      <c r="Z29" s="148"/>
      <c r="AA29" s="148"/>
      <c r="AB29" s="148"/>
      <c r="AC29" s="148"/>
      <c r="AD29" s="148"/>
      <c r="AE29" s="148"/>
      <c r="AF29" s="148"/>
      <c r="AG29" s="148"/>
    </row>
    <row r="30" spans="3:33" s="155" customFormat="1" ht="15" customHeight="1">
      <c r="C30" s="1254" t="str">
        <f>IF(Indice_index!$Z$1=1,"União Europeia","European Union")</f>
        <v>União Europeia</v>
      </c>
      <c r="D30" s="1302">
        <v>43.148392090000002</v>
      </c>
      <c r="E30" s="1302">
        <v>25.95848994</v>
      </c>
      <c r="F30" s="1250">
        <f t="shared" si="1"/>
        <v>-39.839032968238705</v>
      </c>
      <c r="G30" s="1302">
        <v>23.76889413</v>
      </c>
      <c r="H30" s="1302">
        <v>64.857811820000009</v>
      </c>
      <c r="I30" s="1250">
        <f t="shared" si="2"/>
        <v>172.86844505794434</v>
      </c>
      <c r="J30" s="1302">
        <v>66.917286219999994</v>
      </c>
      <c r="K30" s="1302">
        <v>90.816301760000016</v>
      </c>
      <c r="L30" s="1250">
        <f t="shared" si="3"/>
        <v>35.714262920687858</v>
      </c>
      <c r="M30" s="1250">
        <f t="shared" si="5"/>
        <v>1.6652749729677663</v>
      </c>
      <c r="N30" s="389"/>
      <c r="O30" s="247"/>
      <c r="P30" s="246"/>
      <c r="Q30" s="145"/>
      <c r="R30" s="146"/>
      <c r="S30" s="147"/>
      <c r="T30" s="147"/>
      <c r="U30" s="147"/>
      <c r="V30" s="153"/>
      <c r="W30" s="154"/>
      <c r="X30" s="148"/>
      <c r="Y30" s="148"/>
      <c r="Z30" s="148"/>
      <c r="AA30" s="148"/>
      <c r="AB30" s="148"/>
      <c r="AC30" s="148"/>
      <c r="AD30" s="148"/>
      <c r="AE30" s="148"/>
      <c r="AF30" s="148"/>
      <c r="AG30" s="148"/>
    </row>
    <row r="31" spans="3:33" ht="15" customHeight="1">
      <c r="C31" s="1254" t="str">
        <f>IF(Indice_index!$Z$1=1,"Outras transferências","Other transfers")</f>
        <v>Outras transferências</v>
      </c>
      <c r="D31" s="1302">
        <v>4.0000000000000001E-3</v>
      </c>
      <c r="E31" s="1302">
        <v>7.6184669999999996E-2</v>
      </c>
      <c r="F31" s="1250" t="str">
        <f t="shared" si="1"/>
        <v>n.r</v>
      </c>
      <c r="G31" s="1302">
        <v>8.8200020000000004E-2</v>
      </c>
      <c r="H31" s="1302">
        <v>5.376E-5</v>
      </c>
      <c r="I31" s="1250">
        <f t="shared" si="2"/>
        <v>-99.93904763286902</v>
      </c>
      <c r="J31" s="1302">
        <v>9.2200020000000008E-2</v>
      </c>
      <c r="K31" s="1302">
        <v>7.6238429999999996E-2</v>
      </c>
      <c r="L31" s="1250">
        <f t="shared" si="3"/>
        <v>-17.311915984400013</v>
      </c>
      <c r="M31" s="1250">
        <f t="shared" si="5"/>
        <v>-1.1121979610952864E-3</v>
      </c>
      <c r="N31" s="389"/>
      <c r="P31" s="246"/>
      <c r="Q31" s="145"/>
      <c r="R31" s="146"/>
      <c r="S31" s="147"/>
      <c r="T31" s="147"/>
      <c r="U31" s="147"/>
      <c r="V31" s="139"/>
      <c r="W31" s="149"/>
      <c r="X31" s="148"/>
      <c r="Y31" s="148"/>
      <c r="Z31" s="148"/>
      <c r="AA31" s="148"/>
      <c r="AB31" s="148"/>
      <c r="AC31" s="148"/>
      <c r="AD31" s="148"/>
      <c r="AE31" s="148"/>
      <c r="AF31" s="148"/>
      <c r="AG31" s="148"/>
    </row>
    <row r="32" spans="3:33" ht="15" customHeight="1">
      <c r="C32" s="1301" t="str">
        <f>IF(Indice_index!$Z$1=1,"Outras receitas de capital","Other capital revenue")</f>
        <v>Outras receitas de capital</v>
      </c>
      <c r="D32" s="1302">
        <v>0.14497436</v>
      </c>
      <c r="E32" s="1302">
        <v>0.24358925000000001</v>
      </c>
      <c r="F32" s="1250">
        <f t="shared" si="1"/>
        <v>68.022297184136576</v>
      </c>
      <c r="G32" s="1302">
        <v>1.4957620000000001E-2</v>
      </c>
      <c r="H32" s="1302">
        <v>2.8187610000000002E-2</v>
      </c>
      <c r="I32" s="1250">
        <f t="shared" si="2"/>
        <v>88.449833596521358</v>
      </c>
      <c r="J32" s="1302">
        <v>0.15993198</v>
      </c>
      <c r="K32" s="1302">
        <v>0.27177686000000001</v>
      </c>
      <c r="L32" s="1250">
        <f t="shared" si="3"/>
        <v>69.932780173171125</v>
      </c>
      <c r="M32" s="1250">
        <f t="shared" si="5"/>
        <v>7.793311787544153E-3</v>
      </c>
      <c r="N32" s="389"/>
      <c r="P32" s="246"/>
      <c r="Q32" s="145"/>
      <c r="R32" s="146"/>
      <c r="S32" s="147"/>
      <c r="T32" s="147"/>
      <c r="U32" s="147"/>
      <c r="V32" s="139"/>
      <c r="W32" s="149"/>
      <c r="X32" s="148"/>
      <c r="Y32" s="148"/>
      <c r="Z32" s="148"/>
      <c r="AA32" s="148"/>
      <c r="AB32" s="148"/>
      <c r="AC32" s="148"/>
      <c r="AD32" s="148"/>
      <c r="AE32" s="148"/>
      <c r="AF32" s="148"/>
      <c r="AG32" s="148"/>
    </row>
    <row r="33" spans="3:33" ht="15" customHeight="1">
      <c r="C33" s="1301" t="str">
        <f>IF(Indice_index!$Z$1=1,"Diferenças de consolidação","Consolidation differences")</f>
        <v>Diferenças de consolidação</v>
      </c>
      <c r="D33" s="1302">
        <v>0</v>
      </c>
      <c r="E33" s="1302">
        <v>0</v>
      </c>
      <c r="F33" s="1250"/>
      <c r="G33" s="1302">
        <v>0</v>
      </c>
      <c r="H33" s="1302">
        <v>8.0646779999980822E-2</v>
      </c>
      <c r="I33" s="1250"/>
      <c r="J33" s="1302">
        <v>0</v>
      </c>
      <c r="K33" s="1302">
        <v>8.0646779999980822E-2</v>
      </c>
      <c r="L33" s="1250"/>
      <c r="M33" s="1250"/>
      <c r="N33" s="389"/>
      <c r="P33" s="246"/>
      <c r="Q33" s="145"/>
      <c r="R33" s="146"/>
      <c r="S33" s="147"/>
      <c r="T33" s="147"/>
      <c r="U33" s="147"/>
      <c r="V33" s="139"/>
      <c r="W33" s="149"/>
      <c r="X33" s="148"/>
      <c r="Y33" s="148"/>
      <c r="Z33" s="148"/>
      <c r="AA33" s="148"/>
      <c r="AB33" s="148"/>
      <c r="AC33" s="148"/>
      <c r="AD33" s="148"/>
      <c r="AE33" s="148"/>
      <c r="AF33" s="148"/>
      <c r="AG33" s="148"/>
    </row>
    <row r="34" spans="3:33" ht="4.5" customHeight="1">
      <c r="C34" s="1064"/>
      <c r="D34" s="1308"/>
      <c r="E34" s="1308"/>
      <c r="F34" s="157"/>
      <c r="G34" s="1308"/>
      <c r="H34" s="1308"/>
      <c r="I34" s="157"/>
      <c r="J34" s="1308"/>
      <c r="K34" s="1308"/>
      <c r="L34" s="157"/>
      <c r="M34" s="157"/>
      <c r="N34" s="389"/>
      <c r="P34" s="246"/>
      <c r="Q34" s="145"/>
      <c r="R34" s="146"/>
      <c r="S34" s="147"/>
      <c r="T34" s="147"/>
      <c r="U34" s="147"/>
      <c r="V34" s="139"/>
      <c r="W34" s="149"/>
      <c r="X34" s="148"/>
      <c r="Y34" s="148"/>
      <c r="Z34" s="148"/>
      <c r="AA34" s="148"/>
      <c r="AB34" s="148"/>
      <c r="AC34" s="148"/>
      <c r="AD34" s="148"/>
      <c r="AE34" s="148"/>
      <c r="AF34" s="148"/>
      <c r="AG34" s="148"/>
    </row>
    <row r="35" spans="3:33" s="299" customFormat="1" ht="15" customHeight="1">
      <c r="C35" s="1306" t="str">
        <f>IF(Indice_index!$Z$1=1,"Receita Efetiva","Effective revenue")</f>
        <v>Receita Efetiva</v>
      </c>
      <c r="D35" s="1309">
        <v>784.87805929000012</v>
      </c>
      <c r="E35" s="1309">
        <v>682.91378376000011</v>
      </c>
      <c r="F35" s="302">
        <f t="shared" si="1"/>
        <v>-12.991097702773954</v>
      </c>
      <c r="G35" s="1309">
        <v>650.26123770000015</v>
      </c>
      <c r="H35" s="1309">
        <v>777.82457472999999</v>
      </c>
      <c r="I35" s="302">
        <f t="shared" si="2"/>
        <v>19.617244521785803</v>
      </c>
      <c r="J35" s="1309">
        <v>1435.1392969900005</v>
      </c>
      <c r="K35" s="1309">
        <v>1460.2273989300002</v>
      </c>
      <c r="L35" s="302">
        <f t="shared" si="3"/>
        <v>1.7481300938953011</v>
      </c>
      <c r="M35" s="302"/>
      <c r="N35" s="388"/>
      <c r="O35" s="300"/>
      <c r="P35" s="303"/>
      <c r="Q35" s="308"/>
      <c r="R35" s="305"/>
      <c r="S35" s="306"/>
      <c r="T35" s="306"/>
      <c r="U35" s="306"/>
      <c r="V35" s="301"/>
      <c r="W35" s="307"/>
      <c r="X35" s="148"/>
      <c r="Y35" s="148"/>
      <c r="Z35" s="148"/>
      <c r="AA35" s="148"/>
      <c r="AB35" s="148"/>
      <c r="AC35" s="148"/>
      <c r="AD35" s="148"/>
      <c r="AE35" s="148"/>
      <c r="AF35" s="148"/>
      <c r="AG35" s="148"/>
    </row>
    <row r="36" spans="3:33" ht="4.5" customHeight="1">
      <c r="C36" s="1064"/>
      <c r="D36" s="1308"/>
      <c r="E36" s="1308"/>
      <c r="F36" s="157"/>
      <c r="G36" s="1308"/>
      <c r="H36" s="1308"/>
      <c r="I36" s="157"/>
      <c r="J36" s="1308"/>
      <c r="K36" s="1308"/>
      <c r="L36" s="157"/>
      <c r="M36" s="157"/>
      <c r="N36" s="389"/>
      <c r="P36" s="246"/>
      <c r="Q36" s="145"/>
      <c r="R36" s="146"/>
      <c r="S36" s="147"/>
      <c r="T36" s="147"/>
      <c r="U36" s="147"/>
      <c r="V36" s="139"/>
      <c r="W36" s="149"/>
      <c r="X36" s="148"/>
      <c r="Y36" s="148"/>
      <c r="Z36" s="148"/>
      <c r="AA36" s="148"/>
      <c r="AB36" s="148"/>
      <c r="AC36" s="148"/>
      <c r="AD36" s="148"/>
      <c r="AE36" s="148"/>
      <c r="AF36" s="148"/>
      <c r="AG36" s="148"/>
    </row>
    <row r="37" spans="3:33" s="299" customFormat="1" ht="15" customHeight="1">
      <c r="C37" s="1306" t="str">
        <f>IF(Indice_index!$Z$1=1,"Despesa Corrente","Current expenditure")</f>
        <v>Despesa Corrente</v>
      </c>
      <c r="D37" s="1307">
        <v>650.38450980999926</v>
      </c>
      <c r="E37" s="1307">
        <v>670.95851223000068</v>
      </c>
      <c r="F37" s="302">
        <f t="shared" si="1"/>
        <v>3.1633598447804099</v>
      </c>
      <c r="G37" s="1307">
        <v>710.50769012000012</v>
      </c>
      <c r="H37" s="1307">
        <v>726.69951330000004</v>
      </c>
      <c r="I37" s="302">
        <f t="shared" si="2"/>
        <v>2.2789089273988323</v>
      </c>
      <c r="J37" s="1307">
        <v>1360.8921999299994</v>
      </c>
      <c r="K37" s="1307">
        <v>1397.1470659700008</v>
      </c>
      <c r="L37" s="302">
        <f t="shared" si="3"/>
        <v>2.6640512776740319</v>
      </c>
      <c r="M37" s="302">
        <f t="shared" ref="M37:M55" si="6">IFERROR((K37-J37)/$J$58*100,"-")</f>
        <v>2.3049394366111997</v>
      </c>
      <c r="N37" s="388"/>
      <c r="O37" s="300"/>
      <c r="P37" s="303"/>
      <c r="Q37" s="304"/>
      <c r="R37" s="305"/>
      <c r="S37" s="306"/>
      <c r="T37" s="306"/>
      <c r="U37" s="306"/>
      <c r="V37" s="301"/>
      <c r="W37" s="307"/>
      <c r="X37" s="148"/>
      <c r="Y37" s="148"/>
      <c r="Z37" s="148"/>
      <c r="AA37" s="148"/>
      <c r="AB37" s="148"/>
      <c r="AC37" s="148"/>
      <c r="AD37" s="148"/>
      <c r="AE37" s="148"/>
      <c r="AF37" s="148"/>
      <c r="AG37" s="148"/>
    </row>
    <row r="38" spans="3:33" ht="15" customHeight="1">
      <c r="C38" s="1301" t="str">
        <f>IF(Indice_index!$Z$1=1,"Despesas com o pessoal","Employees")</f>
        <v>Despesas com o pessoal</v>
      </c>
      <c r="D38" s="1302">
        <v>331.04206984999996</v>
      </c>
      <c r="E38" s="1302">
        <v>354.18418596000004</v>
      </c>
      <c r="F38" s="1250">
        <f t="shared" si="1"/>
        <v>6.990687352965776</v>
      </c>
      <c r="G38" s="1302">
        <v>371.86819245999999</v>
      </c>
      <c r="H38" s="1302">
        <v>386.72888363999999</v>
      </c>
      <c r="I38" s="1250">
        <f t="shared" si="2"/>
        <v>3.9962254049459993</v>
      </c>
      <c r="J38" s="1308">
        <v>702.91026231000001</v>
      </c>
      <c r="K38" s="1308">
        <v>740.91306959999997</v>
      </c>
      <c r="L38" s="1250">
        <f t="shared" si="3"/>
        <v>5.4064948724905415</v>
      </c>
      <c r="M38" s="1250">
        <f t="shared" si="6"/>
        <v>2.4160665530527821</v>
      </c>
      <c r="N38" s="389"/>
      <c r="P38" s="246"/>
      <c r="Q38" s="145"/>
      <c r="R38" s="146"/>
      <c r="S38" s="147"/>
      <c r="T38" s="147"/>
      <c r="U38" s="147"/>
      <c r="V38" s="139"/>
      <c r="W38" s="149"/>
      <c r="X38" s="148"/>
      <c r="Y38" s="148"/>
      <c r="Z38" s="148"/>
      <c r="AA38" s="148"/>
      <c r="AB38" s="148"/>
      <c r="AC38" s="148"/>
      <c r="AD38" s="148"/>
      <c r="AE38" s="148"/>
      <c r="AF38" s="148"/>
      <c r="AG38" s="148"/>
    </row>
    <row r="39" spans="3:33" ht="15" customHeight="1">
      <c r="C39" s="738" t="str">
        <f>IF(Indice_index!$Z$1=1,"Remunerações Certas e Permanentes","Certain and permanent wages")</f>
        <v>Remunerações Certas e Permanentes</v>
      </c>
      <c r="D39" s="1302">
        <v>240.58890229999997</v>
      </c>
      <c r="E39" s="1302">
        <v>257.93028910000004</v>
      </c>
      <c r="F39" s="1250">
        <f t="shared" si="1"/>
        <v>7.2078914007331862</v>
      </c>
      <c r="G39" s="1302">
        <v>271.06909324000003</v>
      </c>
      <c r="H39" s="1302">
        <v>284.40087341999998</v>
      </c>
      <c r="I39" s="1250">
        <f t="shared" si="2"/>
        <v>4.918222147958498</v>
      </c>
      <c r="J39" s="1308">
        <v>511.65799554</v>
      </c>
      <c r="K39" s="1308">
        <v>542.33116252000002</v>
      </c>
      <c r="L39" s="1250">
        <f t="shared" si="3"/>
        <v>5.9948573553761806</v>
      </c>
      <c r="M39" s="1250">
        <f t="shared" si="6"/>
        <v>1.9500773258948663</v>
      </c>
      <c r="N39" s="389"/>
      <c r="P39" s="246"/>
      <c r="Q39" s="145"/>
      <c r="R39" s="146"/>
      <c r="S39" s="147"/>
      <c r="T39" s="147"/>
      <c r="U39" s="147"/>
      <c r="V39" s="139"/>
      <c r="W39" s="149"/>
      <c r="X39" s="148"/>
      <c r="Y39" s="148"/>
      <c r="Z39" s="148"/>
      <c r="AA39" s="148"/>
      <c r="AB39" s="148"/>
      <c r="AC39" s="148"/>
      <c r="AD39" s="148"/>
      <c r="AE39" s="148"/>
      <c r="AF39" s="148"/>
      <c r="AG39" s="148"/>
    </row>
    <row r="40" spans="3:33" ht="15" customHeight="1">
      <c r="C40" s="738" t="str">
        <f>IF(Indice_index!$Z$1=1,"Abonos Variáveis ou Eventuais","Variable or contingent bonuses")</f>
        <v>Abonos Variáveis ou Eventuais</v>
      </c>
      <c r="D40" s="1302">
        <v>26.298679889999999</v>
      </c>
      <c r="E40" s="1302">
        <v>28.506769930000001</v>
      </c>
      <c r="F40" s="1250">
        <f t="shared" si="1"/>
        <v>8.3962010611780631</v>
      </c>
      <c r="G40" s="1302">
        <v>30.598605029999995</v>
      </c>
      <c r="H40" s="1302">
        <v>30.165717559999997</v>
      </c>
      <c r="I40" s="1250">
        <f t="shared" si="2"/>
        <v>-1.4147294282715777</v>
      </c>
      <c r="J40" s="1308">
        <v>56.89728491999999</v>
      </c>
      <c r="K40" s="1308">
        <v>58.672487489999995</v>
      </c>
      <c r="L40" s="1250">
        <f t="shared" si="3"/>
        <v>3.1200127958583881</v>
      </c>
      <c r="M40" s="1250">
        <f t="shared" si="6"/>
        <v>0.11286028217707374</v>
      </c>
      <c r="N40" s="389"/>
      <c r="P40" s="246"/>
      <c r="Q40" s="145"/>
      <c r="R40" s="146"/>
      <c r="S40" s="147"/>
      <c r="T40" s="147"/>
      <c r="U40" s="147"/>
      <c r="V40" s="139"/>
      <c r="W40" s="149"/>
      <c r="X40" s="148"/>
      <c r="Y40" s="148"/>
      <c r="Z40" s="148"/>
      <c r="AA40" s="148"/>
      <c r="AB40" s="148"/>
      <c r="AC40" s="148"/>
      <c r="AD40" s="148"/>
      <c r="AE40" s="148"/>
      <c r="AF40" s="148"/>
      <c r="AG40" s="148"/>
    </row>
    <row r="41" spans="3:33" ht="15" customHeight="1">
      <c r="C41" s="738" t="str">
        <f>IF(Indice_index!$Z$1=1,"Segurança social","Social security")</f>
        <v>Segurança social</v>
      </c>
      <c r="D41" s="1302">
        <v>64.154487659999987</v>
      </c>
      <c r="E41" s="1302">
        <v>67.747126930000007</v>
      </c>
      <c r="F41" s="1250">
        <f t="shared" si="1"/>
        <v>5.5999812344226925</v>
      </c>
      <c r="G41" s="1302">
        <v>70.200494189999986</v>
      </c>
      <c r="H41" s="1302">
        <v>72.162292660000034</v>
      </c>
      <c r="I41" s="1250">
        <f t="shared" si="2"/>
        <v>2.7945650420784425</v>
      </c>
      <c r="J41" s="1308">
        <v>134.35498184999997</v>
      </c>
      <c r="K41" s="1308">
        <v>139.90941959000003</v>
      </c>
      <c r="L41" s="1250">
        <f t="shared" si="3"/>
        <v>4.1341509362126088</v>
      </c>
      <c r="M41" s="1250">
        <f t="shared" si="6"/>
        <v>0.35312894498084929</v>
      </c>
      <c r="N41" s="389"/>
      <c r="P41" s="246"/>
      <c r="Q41" s="145"/>
      <c r="R41" s="146"/>
      <c r="S41" s="147"/>
      <c r="T41" s="147"/>
      <c r="U41" s="147"/>
      <c r="V41" s="139"/>
      <c r="W41" s="149"/>
      <c r="X41" s="148"/>
      <c r="Y41" s="148"/>
      <c r="Z41" s="148"/>
      <c r="AA41" s="148"/>
      <c r="AB41" s="148"/>
      <c r="AC41" s="148"/>
      <c r="AD41" s="148"/>
      <c r="AE41" s="148"/>
      <c r="AF41" s="148"/>
      <c r="AG41" s="148"/>
    </row>
    <row r="42" spans="3:33" ht="15" customHeight="1">
      <c r="C42" s="1301" t="str">
        <f>IF(Indice_index!$Z$1=1,"Aquisição de bens e serviços","Purchase of goods and services")</f>
        <v>Aquisição de bens e serviços</v>
      </c>
      <c r="D42" s="1302">
        <v>171.40000025999998</v>
      </c>
      <c r="E42" s="1302">
        <v>184.75844243</v>
      </c>
      <c r="F42" s="1250">
        <f t="shared" si="1"/>
        <v>7.7937235412697428</v>
      </c>
      <c r="G42" s="1302">
        <v>186.73730741000003</v>
      </c>
      <c r="H42" s="1302">
        <v>170.10388826999997</v>
      </c>
      <c r="I42" s="1250">
        <f t="shared" si="2"/>
        <v>-8.9073894074523405</v>
      </c>
      <c r="J42" s="1308">
        <v>358.13730767000004</v>
      </c>
      <c r="K42" s="1308">
        <v>354.86233069999997</v>
      </c>
      <c r="L42" s="1250">
        <f t="shared" si="3"/>
        <v>-0.91444730829823073</v>
      </c>
      <c r="M42" s="1250">
        <f t="shared" si="6"/>
        <v>-0.20820994246173535</v>
      </c>
      <c r="N42" s="389"/>
      <c r="P42" s="246"/>
      <c r="Q42" s="145"/>
      <c r="R42" s="146"/>
      <c r="S42" s="147"/>
      <c r="T42" s="147"/>
      <c r="U42" s="147"/>
      <c r="V42" s="139"/>
      <c r="W42" s="149"/>
      <c r="X42" s="148"/>
      <c r="Y42" s="148"/>
      <c r="Z42" s="148"/>
      <c r="AA42" s="148"/>
      <c r="AB42" s="148"/>
      <c r="AC42" s="148"/>
      <c r="AD42" s="148"/>
      <c r="AE42" s="148"/>
      <c r="AF42" s="148"/>
      <c r="AG42" s="148"/>
    </row>
    <row r="43" spans="3:33" ht="15" customHeight="1">
      <c r="C43" s="1301" t="str">
        <f>IF(Indice_index!$Z$1=1,"Juros e outros encargos","Interests and other charges")</f>
        <v>Juros e outros encargos</v>
      </c>
      <c r="D43" s="1302">
        <v>24.734458479999997</v>
      </c>
      <c r="E43" s="1302">
        <v>23.944109570000002</v>
      </c>
      <c r="F43" s="1250">
        <f t="shared" si="1"/>
        <v>-3.1953354088550689</v>
      </c>
      <c r="G43" s="1302">
        <v>52.452570859999994</v>
      </c>
      <c r="H43" s="1302">
        <v>71.653854729999992</v>
      </c>
      <c r="I43" s="1250">
        <f t="shared" si="2"/>
        <v>36.606945198643785</v>
      </c>
      <c r="J43" s="1308">
        <v>77.187029339999995</v>
      </c>
      <c r="K43" s="1308">
        <v>95.597964300000001</v>
      </c>
      <c r="L43" s="1250">
        <f t="shared" si="3"/>
        <v>23.852368872627487</v>
      </c>
      <c r="M43" s="1250">
        <f t="shared" si="6"/>
        <v>1.1704936382158049</v>
      </c>
      <c r="N43" s="389"/>
      <c r="P43" s="246"/>
      <c r="Q43" s="145"/>
      <c r="R43" s="146"/>
      <c r="S43" s="147"/>
      <c r="T43" s="147"/>
      <c r="U43" s="147"/>
      <c r="V43" s="139"/>
      <c r="W43" s="149"/>
      <c r="X43" s="148"/>
      <c r="Y43" s="148"/>
      <c r="Z43" s="148"/>
      <c r="AA43" s="148"/>
      <c r="AB43" s="148"/>
      <c r="AC43" s="148"/>
      <c r="AD43" s="148"/>
      <c r="AE43" s="148"/>
      <c r="AF43" s="148"/>
      <c r="AG43" s="148"/>
    </row>
    <row r="44" spans="3:33" ht="15" customHeight="1">
      <c r="C44" s="1301" t="str">
        <f>IF(Indice_index!$Z$1=1,"Transferências correntes","Current transfers")</f>
        <v>Transferências correntes</v>
      </c>
      <c r="D44" s="1302">
        <v>77.992171669999721</v>
      </c>
      <c r="E44" s="1302">
        <v>79.47401293000064</v>
      </c>
      <c r="F44" s="1250">
        <f t="shared" si="1"/>
        <v>1.8999871759833573</v>
      </c>
      <c r="G44" s="1302">
        <v>76.245165740000004</v>
      </c>
      <c r="H44" s="1302">
        <v>77.149911180000061</v>
      </c>
      <c r="I44" s="1250">
        <f t="shared" si="2"/>
        <v>1.1866266290052871</v>
      </c>
      <c r="J44" s="1308">
        <v>154.23733740999972</v>
      </c>
      <c r="K44" s="1308">
        <v>156.6239241100007</v>
      </c>
      <c r="L44" s="1250">
        <f t="shared" si="3"/>
        <v>1.5473469265466231</v>
      </c>
      <c r="M44" s="1250">
        <f t="shared" si="6"/>
        <v>0.1517296408613022</v>
      </c>
      <c r="N44" s="389"/>
      <c r="P44" s="246"/>
      <c r="Q44" s="145"/>
      <c r="R44" s="146"/>
      <c r="S44" s="147"/>
      <c r="T44" s="147"/>
      <c r="U44" s="147"/>
      <c r="V44" s="139"/>
      <c r="W44" s="149"/>
      <c r="X44" s="148"/>
      <c r="Y44" s="148"/>
      <c r="Z44" s="148"/>
      <c r="AA44" s="148"/>
      <c r="AB44" s="148"/>
      <c r="AC44" s="148"/>
      <c r="AD44" s="148"/>
      <c r="AE44" s="148"/>
      <c r="AF44" s="148"/>
      <c r="AG44" s="148"/>
    </row>
    <row r="45" spans="3:33" ht="15" customHeight="1">
      <c r="C45" s="1254" t="str">
        <f>IF(Indice_index!$Z$1=1,"Administrações Públicas","General Government")</f>
        <v>Administrações Públicas</v>
      </c>
      <c r="D45" s="1302">
        <v>1.4758478699999529</v>
      </c>
      <c r="E45" s="1302">
        <v>3.5095662000000232</v>
      </c>
      <c r="F45" s="1250">
        <f t="shared" si="1"/>
        <v>137.7999976379771</v>
      </c>
      <c r="G45" s="1302">
        <v>1.1286090300000069</v>
      </c>
      <c r="H45" s="1302">
        <v>1.2349183000000465</v>
      </c>
      <c r="I45" s="1250">
        <f t="shared" si="2"/>
        <v>9.4194948980728075</v>
      </c>
      <c r="J45" s="1308">
        <v>2.6044568999999598</v>
      </c>
      <c r="K45" s="1308">
        <v>4.7444845000000697</v>
      </c>
      <c r="L45" s="1250">
        <f t="shared" si="3"/>
        <v>82.167902260165761</v>
      </c>
      <c r="M45" s="1250">
        <f t="shared" si="6"/>
        <v>0.13605439902148053</v>
      </c>
      <c r="N45" s="389"/>
      <c r="P45" s="246"/>
      <c r="Q45" s="145"/>
      <c r="R45" s="146"/>
      <c r="S45" s="147"/>
      <c r="T45" s="147"/>
      <c r="U45" s="147"/>
      <c r="V45" s="139"/>
      <c r="W45" s="149"/>
      <c r="X45" s="148"/>
      <c r="Y45" s="148"/>
      <c r="Z45" s="148"/>
      <c r="AA45" s="148"/>
      <c r="AB45" s="148"/>
      <c r="AC45" s="148"/>
      <c r="AD45" s="148"/>
      <c r="AE45" s="148"/>
      <c r="AF45" s="148"/>
      <c r="AG45" s="148"/>
    </row>
    <row r="46" spans="3:33" ht="15" customHeight="1">
      <c r="C46" s="1254" t="str">
        <f>IF(Indice_index!$Z$1=1,"Outras transferências","Other transfers")</f>
        <v>Outras transferências</v>
      </c>
      <c r="D46" s="1302">
        <v>76.516323799999768</v>
      </c>
      <c r="E46" s="1302">
        <v>75.964446730000617</v>
      </c>
      <c r="F46" s="1250">
        <f t="shared" si="1"/>
        <v>-0.72125403128574295</v>
      </c>
      <c r="G46" s="1302">
        <v>75.116556709999998</v>
      </c>
      <c r="H46" s="1302">
        <v>75.914992880000014</v>
      </c>
      <c r="I46" s="1250">
        <f t="shared" si="2"/>
        <v>1.0629296721926598</v>
      </c>
      <c r="J46" s="1308">
        <v>151.63288050999978</v>
      </c>
      <c r="K46" s="1308">
        <v>151.87943961000065</v>
      </c>
      <c r="L46" s="1250">
        <f t="shared" si="3"/>
        <v>0.16260266188414582</v>
      </c>
      <c r="M46" s="1250">
        <f t="shared" si="6"/>
        <v>1.5675241839821687E-2</v>
      </c>
      <c r="N46" s="389"/>
      <c r="P46" s="246"/>
      <c r="Q46" s="145"/>
      <c r="R46" s="146"/>
      <c r="S46" s="147"/>
      <c r="T46" s="147"/>
      <c r="U46" s="147"/>
      <c r="V46" s="139"/>
      <c r="W46" s="149"/>
      <c r="X46" s="148"/>
      <c r="Y46" s="148"/>
      <c r="Z46" s="148"/>
      <c r="AA46" s="148"/>
      <c r="AB46" s="148"/>
      <c r="AC46" s="148"/>
      <c r="AD46" s="148"/>
      <c r="AE46" s="148"/>
      <c r="AF46" s="148"/>
      <c r="AG46" s="148"/>
    </row>
    <row r="47" spans="3:33" ht="15" customHeight="1">
      <c r="C47" s="1301" t="str">
        <f>IF(Indice_index!$Z$1=1,"Subsídios","Subsidies")</f>
        <v>Subsídios</v>
      </c>
      <c r="D47" s="1302">
        <v>36.220833039999704</v>
      </c>
      <c r="E47" s="1302">
        <v>18.625145100000001</v>
      </c>
      <c r="F47" s="1250">
        <f t="shared" si="1"/>
        <v>-48.578915676975953</v>
      </c>
      <c r="G47" s="1302">
        <v>21.38386302</v>
      </c>
      <c r="H47" s="1302">
        <v>18.729567529999997</v>
      </c>
      <c r="I47" s="1250">
        <f t="shared" si="2"/>
        <v>-12.412609861545974</v>
      </c>
      <c r="J47" s="1308">
        <v>57.604696059999704</v>
      </c>
      <c r="K47" s="1308">
        <v>37.354712629999995</v>
      </c>
      <c r="L47" s="1250">
        <f t="shared" si="3"/>
        <v>-35.153355221087878</v>
      </c>
      <c r="M47" s="1250">
        <f t="shared" si="6"/>
        <v>-1.2874129874602587</v>
      </c>
      <c r="N47" s="389"/>
      <c r="P47" s="246"/>
      <c r="Q47" s="145"/>
      <c r="R47" s="146"/>
      <c r="S47" s="147"/>
      <c r="T47" s="147"/>
      <c r="U47" s="147"/>
      <c r="V47" s="139"/>
      <c r="W47" s="149"/>
      <c r="X47" s="148"/>
      <c r="Y47" s="148"/>
      <c r="Z47" s="148"/>
      <c r="AA47" s="148"/>
      <c r="AB47" s="148"/>
      <c r="AC47" s="148"/>
      <c r="AD47" s="148"/>
      <c r="AE47" s="148"/>
      <c r="AF47" s="148"/>
      <c r="AG47" s="148"/>
    </row>
    <row r="48" spans="3:33" ht="15" customHeight="1">
      <c r="C48" s="1301" t="str">
        <f>IF(Indice_index!$Z$1=1,"Outras despesas correntes","Other current expenditure")</f>
        <v>Outras despesas correntes</v>
      </c>
      <c r="D48" s="1302">
        <v>8.7234765399999983</v>
      </c>
      <c r="E48" s="1302">
        <v>9.461656679999999</v>
      </c>
      <c r="F48" s="1250">
        <f t="shared" si="1"/>
        <v>8.4619949009457756</v>
      </c>
      <c r="G48" s="1302">
        <v>1.5026281000000001</v>
      </c>
      <c r="H48" s="1302">
        <v>2.3334079500000002</v>
      </c>
      <c r="I48" s="1250">
        <f t="shared" si="2"/>
        <v>55.288454275545632</v>
      </c>
      <c r="J48" s="1308">
        <v>10.226104639999999</v>
      </c>
      <c r="K48" s="1308">
        <v>11.795064629999999</v>
      </c>
      <c r="L48" s="1250">
        <f t="shared" si="3"/>
        <v>15.342694459265772</v>
      </c>
      <c r="M48" s="1250">
        <f t="shared" si="6"/>
        <v>9.9748203494285342E-2</v>
      </c>
      <c r="N48" s="389"/>
      <c r="P48" s="246"/>
      <c r="Q48" s="145"/>
      <c r="R48" s="146"/>
      <c r="S48" s="147"/>
      <c r="T48" s="147"/>
      <c r="U48" s="147"/>
      <c r="V48" s="139"/>
      <c r="W48" s="149"/>
      <c r="X48" s="148"/>
      <c r="Y48" s="148"/>
      <c r="Z48" s="148"/>
      <c r="AA48" s="148"/>
      <c r="AB48" s="148"/>
      <c r="AC48" s="148"/>
      <c r="AD48" s="148"/>
      <c r="AE48" s="148"/>
      <c r="AF48" s="148"/>
      <c r="AG48" s="148"/>
    </row>
    <row r="49" spans="3:33" ht="15" customHeight="1">
      <c r="C49" s="1301" t="str">
        <f>IF(Indice_index!$Z$1=1,"Diferenças de consolidação","Consolidation differences")</f>
        <v>Diferenças de consolidação</v>
      </c>
      <c r="D49" s="1302">
        <v>0.27149997000003623</v>
      </c>
      <c r="E49" s="1302">
        <v>0.51095956000000342</v>
      </c>
      <c r="F49" s="1250"/>
      <c r="G49" s="1302">
        <v>0.31796253000004526</v>
      </c>
      <c r="H49" s="1302">
        <v>0</v>
      </c>
      <c r="I49" s="1250"/>
      <c r="J49" s="1302">
        <v>0.58946250000008149</v>
      </c>
      <c r="K49" s="1302">
        <v>0</v>
      </c>
      <c r="L49" s="1302"/>
      <c r="M49" s="722">
        <f t="shared" si="6"/>
        <v>-3.7475669090999766E-2</v>
      </c>
      <c r="N49" s="389"/>
      <c r="P49" s="246"/>
      <c r="Q49" s="145"/>
      <c r="R49" s="146"/>
      <c r="S49" s="147"/>
      <c r="T49" s="147"/>
      <c r="U49" s="147"/>
      <c r="V49" s="139"/>
      <c r="W49" s="149"/>
      <c r="X49" s="148"/>
      <c r="Y49" s="148"/>
      <c r="Z49" s="148"/>
      <c r="AA49" s="148"/>
      <c r="AB49" s="148"/>
      <c r="AC49" s="148"/>
      <c r="AD49" s="148"/>
      <c r="AE49" s="148"/>
      <c r="AF49" s="148"/>
      <c r="AG49" s="148"/>
    </row>
    <row r="50" spans="3:33" s="299" customFormat="1" ht="15" customHeight="1">
      <c r="C50" s="1306" t="str">
        <f>IF(Indice_index!$Z$1=1,"Despesa de Capital","Capital expenditure")</f>
        <v>Despesa de Capital</v>
      </c>
      <c r="D50" s="1307">
        <v>140.39063082999999</v>
      </c>
      <c r="E50" s="1307">
        <v>138.63859772000004</v>
      </c>
      <c r="F50" s="302">
        <f t="shared" si="1"/>
        <v>-1.2479701100007921</v>
      </c>
      <c r="G50" s="1307">
        <v>71.637718220000011</v>
      </c>
      <c r="H50" s="1307">
        <v>108.61227552000003</v>
      </c>
      <c r="I50" s="302">
        <f t="shared" si="2"/>
        <v>51.613253770103128</v>
      </c>
      <c r="J50" s="1307">
        <v>212.02834904999997</v>
      </c>
      <c r="K50" s="1307">
        <v>247.25087324000006</v>
      </c>
      <c r="L50" s="302">
        <f t="shared" si="3"/>
        <v>16.612176790422492</v>
      </c>
      <c r="M50" s="302">
        <f t="shared" si="6"/>
        <v>2.2393072690696956</v>
      </c>
      <c r="N50" s="388"/>
      <c r="O50" s="300"/>
      <c r="P50" s="303"/>
      <c r="Q50" s="304"/>
      <c r="R50" s="305"/>
      <c r="S50" s="306"/>
      <c r="T50" s="306"/>
      <c r="U50" s="306"/>
      <c r="V50" s="301"/>
      <c r="W50" s="307"/>
      <c r="X50" s="148"/>
      <c r="Y50" s="148"/>
      <c r="Z50" s="148"/>
      <c r="AA50" s="148"/>
      <c r="AB50" s="148"/>
      <c r="AC50" s="148"/>
      <c r="AD50" s="148"/>
      <c r="AE50" s="148"/>
      <c r="AF50" s="148"/>
      <c r="AG50" s="148"/>
    </row>
    <row r="51" spans="3:33" ht="15" customHeight="1">
      <c r="C51" s="1301" t="str">
        <f>IF(Indice_index!$Z$1=1,"Aquisição de bens de capital","Purchase of capital goods")</f>
        <v>Aquisição de bens de capital</v>
      </c>
      <c r="D51" s="1302">
        <v>16.303798189999998</v>
      </c>
      <c r="E51" s="1302">
        <v>30.625212260000001</v>
      </c>
      <c r="F51" s="1250">
        <f t="shared" si="1"/>
        <v>87.840967504026764</v>
      </c>
      <c r="G51" s="1302">
        <v>51.552135480000004</v>
      </c>
      <c r="H51" s="1302">
        <v>54.255485230000019</v>
      </c>
      <c r="I51" s="1250">
        <f t="shared" si="2"/>
        <v>5.2439141944930645</v>
      </c>
      <c r="J51" s="1308">
        <v>67.855933669999999</v>
      </c>
      <c r="K51" s="1308">
        <v>84.880697490000017</v>
      </c>
      <c r="L51" s="1250">
        <f t="shared" si="3"/>
        <v>25.089572715623675</v>
      </c>
      <c r="M51" s="1250">
        <f t="shared" si="6"/>
        <v>1.0823664190184408</v>
      </c>
      <c r="N51" s="389"/>
      <c r="P51" s="246"/>
      <c r="Q51" s="145"/>
      <c r="R51" s="146"/>
      <c r="S51" s="147"/>
      <c r="T51" s="147"/>
      <c r="U51" s="147"/>
      <c r="V51" s="139"/>
      <c r="W51" s="149"/>
      <c r="X51" s="148"/>
      <c r="Y51" s="148"/>
      <c r="Z51" s="148"/>
      <c r="AA51" s="148"/>
      <c r="AB51" s="148"/>
      <c r="AC51" s="148"/>
      <c r="AD51" s="148"/>
      <c r="AE51" s="148"/>
      <c r="AF51" s="148"/>
      <c r="AG51" s="148"/>
    </row>
    <row r="52" spans="3:33" ht="15" customHeight="1">
      <c r="C52" s="1301" t="str">
        <f>IF(Indice_index!$Z$1=1,"Transferências de capital","Capital transfers")</f>
        <v>Transferências de capital</v>
      </c>
      <c r="D52" s="1302">
        <v>124.02622663999998</v>
      </c>
      <c r="E52" s="1302">
        <v>107.94980446000002</v>
      </c>
      <c r="F52" s="1250">
        <f t="shared" si="1"/>
        <v>-12.96211504254142</v>
      </c>
      <c r="G52" s="1302">
        <v>20.08558274</v>
      </c>
      <c r="H52" s="1302">
        <v>54.356790290000006</v>
      </c>
      <c r="I52" s="1250">
        <f t="shared" si="2"/>
        <v>170.62590612195504</v>
      </c>
      <c r="J52" s="1308">
        <v>144.11180937999998</v>
      </c>
      <c r="K52" s="1308">
        <v>162.30659475000004</v>
      </c>
      <c r="L52" s="1250">
        <f t="shared" si="3"/>
        <v>12.625464525272386</v>
      </c>
      <c r="M52" s="1250">
        <f t="shared" si="6"/>
        <v>1.1567517114452437</v>
      </c>
      <c r="N52" s="389"/>
      <c r="P52" s="246"/>
      <c r="Q52" s="145"/>
      <c r="R52" s="146"/>
      <c r="S52" s="147"/>
      <c r="T52" s="147"/>
      <c r="U52" s="147"/>
      <c r="V52" s="139"/>
      <c r="W52" s="149"/>
      <c r="X52" s="148"/>
      <c r="Y52" s="148"/>
      <c r="Z52" s="148"/>
      <c r="AA52" s="148"/>
      <c r="AB52" s="148"/>
      <c r="AC52" s="148"/>
      <c r="AD52" s="148"/>
      <c r="AE52" s="148"/>
      <c r="AF52" s="148"/>
      <c r="AG52" s="148"/>
    </row>
    <row r="53" spans="3:33" ht="15" customHeight="1">
      <c r="C53" s="1254" t="str">
        <f>IF(Indice_index!$Z$1=1,"Administrações Públicas","General Government")</f>
        <v>Administrações Públicas</v>
      </c>
      <c r="D53" s="1302">
        <v>1.9990797699999803</v>
      </c>
      <c r="E53" s="1302">
        <v>5.0903161500000209</v>
      </c>
      <c r="F53" s="1250">
        <f t="shared" si="1"/>
        <v>154.63296794805098</v>
      </c>
      <c r="G53" s="1302">
        <v>3.7457302899999974</v>
      </c>
      <c r="H53" s="1302">
        <v>3.5244194699999909</v>
      </c>
      <c r="I53" s="1250">
        <f t="shared" si="2"/>
        <v>-5.9083490498726379</v>
      </c>
      <c r="J53" s="1308">
        <v>5.7448100599999776</v>
      </c>
      <c r="K53" s="1308">
        <v>8.6147356200000118</v>
      </c>
      <c r="L53" s="1250">
        <f t="shared" si="3"/>
        <v>49.956839826311779</v>
      </c>
      <c r="M53" s="1250">
        <f t="shared" si="6"/>
        <v>0.18245839320117671</v>
      </c>
      <c r="N53" s="389"/>
      <c r="P53" s="246"/>
      <c r="Q53" s="145"/>
      <c r="R53" s="146"/>
      <c r="S53" s="147"/>
      <c r="T53" s="147"/>
      <c r="U53" s="147"/>
      <c r="V53" s="139"/>
      <c r="W53" s="149"/>
      <c r="X53" s="148"/>
      <c r="Y53" s="148"/>
      <c r="Z53" s="148"/>
      <c r="AA53" s="148"/>
      <c r="AB53" s="148"/>
      <c r="AC53" s="148"/>
      <c r="AD53" s="148"/>
      <c r="AE53" s="148"/>
      <c r="AF53" s="148"/>
      <c r="AG53" s="148"/>
    </row>
    <row r="54" spans="3:33" ht="15" customHeight="1">
      <c r="C54" s="1254" t="str">
        <f>IF(Indice_index!$Z$1=1,"Outras transferências","Other transfers")</f>
        <v>Outras transferências</v>
      </c>
      <c r="D54" s="1302">
        <v>122.02714687</v>
      </c>
      <c r="E54" s="1302">
        <v>102.85948831</v>
      </c>
      <c r="F54" s="1250">
        <f t="shared" si="1"/>
        <v>-15.707700336893071</v>
      </c>
      <c r="G54" s="1302">
        <v>16.339852450000002</v>
      </c>
      <c r="H54" s="1302">
        <v>50.832370820000015</v>
      </c>
      <c r="I54" s="1250">
        <f t="shared" si="2"/>
        <v>211.09442986432848</v>
      </c>
      <c r="J54" s="1308">
        <v>138.36699931999999</v>
      </c>
      <c r="K54" s="1308">
        <v>153.69185913000001</v>
      </c>
      <c r="L54" s="1250">
        <f t="shared" si="3"/>
        <v>11.075516478144017</v>
      </c>
      <c r="M54" s="1250">
        <f t="shared" si="6"/>
        <v>0.9742933182440664</v>
      </c>
      <c r="N54" s="389"/>
      <c r="P54" s="246"/>
      <c r="Q54" s="145"/>
      <c r="R54" s="146"/>
      <c r="S54" s="147"/>
      <c r="T54" s="147"/>
      <c r="U54" s="147"/>
      <c r="V54" s="139"/>
      <c r="W54" s="149"/>
      <c r="X54" s="148"/>
      <c r="Y54" s="148"/>
      <c r="Z54" s="148"/>
      <c r="AA54" s="148"/>
      <c r="AB54" s="148"/>
      <c r="AC54" s="148"/>
      <c r="AD54" s="148"/>
      <c r="AE54" s="148"/>
      <c r="AF54" s="148"/>
      <c r="AG54" s="148"/>
    </row>
    <row r="55" spans="3:33" ht="15" customHeight="1">
      <c r="C55" s="1301" t="str">
        <f>IF(Indice_index!$Z$1=1,"Outras despesas de capital","Other capital expenditure")</f>
        <v>Outras despesas de capital</v>
      </c>
      <c r="D55" s="1302">
        <v>6.0606E-2</v>
      </c>
      <c r="E55" s="1302">
        <v>6.3580999999999999E-2</v>
      </c>
      <c r="F55" s="1250">
        <f t="shared" si="1"/>
        <v>4.9087549087549061</v>
      </c>
      <c r="G55" s="1302">
        <v>0</v>
      </c>
      <c r="H55" s="1302">
        <v>0</v>
      </c>
      <c r="I55" s="1250">
        <f t="shared" si="2"/>
        <v>0</v>
      </c>
      <c r="J55" s="1308">
        <v>6.0606E-2</v>
      </c>
      <c r="K55" s="1308">
        <v>6.3580999999999999E-2</v>
      </c>
      <c r="L55" s="1250">
        <f t="shared" si="3"/>
        <v>4.9087549087549061</v>
      </c>
      <c r="M55" s="1250">
        <f t="shared" si="6"/>
        <v>1.8913860601091475E-4</v>
      </c>
      <c r="N55" s="389"/>
      <c r="P55" s="246"/>
      <c r="Q55" s="145"/>
      <c r="R55" s="146"/>
      <c r="S55" s="147"/>
      <c r="T55" s="147"/>
      <c r="U55" s="147"/>
      <c r="V55" s="139"/>
      <c r="W55" s="149"/>
      <c r="X55" s="148"/>
      <c r="Y55" s="148"/>
      <c r="Z55" s="148"/>
      <c r="AA55" s="148"/>
      <c r="AB55" s="148"/>
      <c r="AC55" s="148"/>
      <c r="AD55" s="148"/>
      <c r="AE55" s="148"/>
      <c r="AF55" s="148"/>
      <c r="AG55" s="148"/>
    </row>
    <row r="56" spans="3:33" s="152" customFormat="1" ht="15" customHeight="1">
      <c r="C56" s="1301" t="str">
        <f>IF(Indice_index!$Z$1=1,"Diferenças de consolidação","Consolidation differences")</f>
        <v>Diferenças de consolidação</v>
      </c>
      <c r="D56" s="1302">
        <v>0</v>
      </c>
      <c r="E56" s="1302">
        <v>0</v>
      </c>
      <c r="F56" s="1250"/>
      <c r="G56" s="1302">
        <v>0</v>
      </c>
      <c r="H56" s="1302">
        <v>0</v>
      </c>
      <c r="I56" s="1250"/>
      <c r="J56" s="1302">
        <v>0</v>
      </c>
      <c r="K56" s="1302">
        <v>0</v>
      </c>
      <c r="L56" s="1250"/>
      <c r="M56" s="722"/>
      <c r="N56" s="389"/>
      <c r="O56" s="247"/>
      <c r="P56" s="246"/>
      <c r="Q56" s="145"/>
      <c r="R56" s="146"/>
      <c r="S56" s="147"/>
      <c r="T56" s="147"/>
      <c r="U56" s="147"/>
      <c r="V56" s="150"/>
      <c r="W56" s="151"/>
      <c r="X56" s="148"/>
      <c r="Y56" s="148"/>
      <c r="Z56" s="148"/>
      <c r="AA56" s="148"/>
      <c r="AB56" s="148"/>
      <c r="AC56" s="148"/>
      <c r="AD56" s="148"/>
      <c r="AE56" s="148"/>
      <c r="AF56" s="148"/>
      <c r="AG56" s="148"/>
    </row>
    <row r="57" spans="3:33" ht="4.5" customHeight="1">
      <c r="C57" s="1064"/>
      <c r="D57" s="1308"/>
      <c r="E57" s="1308"/>
      <c r="F57" s="157"/>
      <c r="G57" s="1308"/>
      <c r="H57" s="1308"/>
      <c r="I57" s="157"/>
      <c r="J57" s="1308"/>
      <c r="K57" s="1308"/>
      <c r="L57" s="157"/>
      <c r="M57" s="157"/>
      <c r="N57" s="389"/>
      <c r="P57" s="246"/>
      <c r="Q57" s="145"/>
      <c r="R57" s="146"/>
      <c r="S57" s="147"/>
      <c r="T57" s="147"/>
      <c r="U57" s="147"/>
      <c r="V57" s="139"/>
      <c r="W57" s="149"/>
      <c r="X57" s="148"/>
      <c r="Y57" s="148"/>
      <c r="Z57" s="148"/>
      <c r="AA57" s="148"/>
      <c r="AB57" s="148"/>
      <c r="AC57" s="148"/>
      <c r="AD57" s="148"/>
      <c r="AE57" s="148"/>
      <c r="AF57" s="148"/>
      <c r="AG57" s="148"/>
    </row>
    <row r="58" spans="3:33" s="299" customFormat="1" ht="15" customHeight="1">
      <c r="C58" s="1306" t="str">
        <f>IF(Indice_index!$Z$1=1,"Despesa efetiva","Effective expenditure")</f>
        <v>Despesa efetiva</v>
      </c>
      <c r="D58" s="1309">
        <v>790.77514063999922</v>
      </c>
      <c r="E58" s="1309">
        <v>809.59710995000069</v>
      </c>
      <c r="F58" s="302">
        <f t="shared" si="1"/>
        <v>2.380192338212384</v>
      </c>
      <c r="G58" s="1309">
        <v>782.14540834000013</v>
      </c>
      <c r="H58" s="1309">
        <v>835.31178882000006</v>
      </c>
      <c r="I58" s="302">
        <f t="shared" si="2"/>
        <v>6.797505925763665</v>
      </c>
      <c r="J58" s="1309">
        <v>1572.9205489799992</v>
      </c>
      <c r="K58" s="1309">
        <v>1644.3979392100009</v>
      </c>
      <c r="L58" s="302">
        <f t="shared" si="3"/>
        <v>4.5442467056809086</v>
      </c>
      <c r="M58" s="302"/>
      <c r="N58" s="388"/>
      <c r="O58" s="300"/>
      <c r="P58" s="303"/>
      <c r="Q58" s="309"/>
      <c r="R58" s="305"/>
      <c r="S58" s="306"/>
      <c r="T58" s="306"/>
      <c r="U58" s="306"/>
      <c r="V58" s="301"/>
      <c r="W58" s="307"/>
      <c r="X58" s="148"/>
      <c r="Y58" s="148"/>
      <c r="Z58" s="148"/>
      <c r="AA58" s="148"/>
      <c r="AB58" s="148"/>
      <c r="AC58" s="148"/>
      <c r="AD58" s="148"/>
      <c r="AE58" s="148"/>
      <c r="AF58" s="148"/>
      <c r="AG58" s="148"/>
    </row>
    <row r="59" spans="3:33" ht="4.5" customHeight="1">
      <c r="C59" s="1310"/>
      <c r="D59" s="1302"/>
      <c r="E59" s="1302"/>
      <c r="F59" s="1311"/>
      <c r="G59" s="1302"/>
      <c r="H59" s="1302"/>
      <c r="I59" s="1311"/>
      <c r="J59" s="1302"/>
      <c r="K59" s="1302"/>
      <c r="L59" s="1311"/>
      <c r="M59" s="1312"/>
      <c r="N59" s="389"/>
      <c r="P59" s="246"/>
      <c r="Q59" s="145"/>
      <c r="R59" s="146"/>
      <c r="S59" s="147"/>
      <c r="T59" s="147"/>
      <c r="U59" s="147"/>
      <c r="V59" s="139"/>
      <c r="W59" s="139"/>
      <c r="X59" s="148"/>
      <c r="Y59" s="148"/>
      <c r="Z59" s="148"/>
      <c r="AA59" s="148"/>
      <c r="AB59" s="148"/>
      <c r="AC59" s="148"/>
      <c r="AD59" s="148"/>
      <c r="AE59" s="148"/>
      <c r="AF59" s="148"/>
      <c r="AG59" s="148"/>
    </row>
    <row r="60" spans="3:33" s="299" customFormat="1" ht="15" customHeight="1">
      <c r="C60" s="1313" t="str">
        <f>IF(Indice_index!$Z$1=1,"Saldo global","Overall balance")</f>
        <v>Saldo global</v>
      </c>
      <c r="D60" s="1314">
        <v>-5.8970813499990982</v>
      </c>
      <c r="E60" s="1314">
        <v>-126.68332619000057</v>
      </c>
      <c r="F60" s="1266"/>
      <c r="G60" s="1314">
        <v>-131.88417063999998</v>
      </c>
      <c r="H60" s="1314">
        <v>-57.487214090000066</v>
      </c>
      <c r="I60" s="1266"/>
      <c r="J60" s="1314">
        <v>-137.78125198999874</v>
      </c>
      <c r="K60" s="1314">
        <v>-184.17054028000075</v>
      </c>
      <c r="L60" s="1266"/>
      <c r="M60" s="1266"/>
      <c r="N60" s="390"/>
      <c r="O60" s="300"/>
      <c r="P60" s="303"/>
      <c r="Q60" s="304"/>
      <c r="R60" s="305"/>
      <c r="S60" s="306"/>
      <c r="T60" s="306"/>
      <c r="U60" s="306"/>
      <c r="V60" s="301"/>
      <c r="W60" s="301"/>
      <c r="X60" s="148"/>
      <c r="Y60" s="148"/>
      <c r="Z60" s="148"/>
      <c r="AA60" s="148"/>
      <c r="AB60" s="148"/>
      <c r="AC60" s="148"/>
      <c r="AD60" s="148"/>
      <c r="AE60" s="148"/>
      <c r="AF60" s="148"/>
      <c r="AG60" s="148"/>
    </row>
    <row r="61" spans="3:33" ht="4.5" customHeight="1">
      <c r="C61" s="1315"/>
      <c r="D61" s="1308"/>
      <c r="E61" s="1308"/>
      <c r="F61" s="1316"/>
      <c r="G61" s="1308"/>
      <c r="H61" s="1308"/>
      <c r="I61" s="1316"/>
      <c r="J61" s="1308"/>
      <c r="K61" s="1308"/>
      <c r="L61" s="1316"/>
      <c r="M61" s="1317"/>
      <c r="N61" s="389"/>
      <c r="P61" s="246"/>
      <c r="Q61" s="145"/>
      <c r="R61" s="146"/>
      <c r="S61" s="147"/>
      <c r="T61" s="147"/>
      <c r="U61" s="147"/>
      <c r="V61" s="139"/>
      <c r="W61" s="139"/>
      <c r="X61" s="148"/>
      <c r="Y61" s="148"/>
      <c r="Z61" s="148"/>
      <c r="AA61" s="148"/>
      <c r="AB61" s="148"/>
      <c r="AC61" s="148"/>
      <c r="AD61" s="148"/>
      <c r="AE61" s="148"/>
      <c r="AF61" s="148"/>
      <c r="AG61" s="148"/>
    </row>
    <row r="62" spans="3:33" ht="15" customHeight="1">
      <c r="C62" s="1301" t="str">
        <f>IF(Indice_index!$Z$1=1,"Despesa  primária","Primary Expenditure")</f>
        <v>Despesa  primária</v>
      </c>
      <c r="D62" s="1308">
        <v>766.04068215999928</v>
      </c>
      <c r="E62" s="1308">
        <v>785.65300038000066</v>
      </c>
      <c r="F62" s="1250">
        <f t="shared" ref="F62" si="7">IFERROR(IF(ABS((E62-D62)/D62)*100&gt;500,"n.r",((E62-D62)/D62)*100),0)</f>
        <v>2.5602188861172066</v>
      </c>
      <c r="G62" s="1308">
        <v>729.69283748000009</v>
      </c>
      <c r="H62" s="1308">
        <v>763.65793409000003</v>
      </c>
      <c r="I62" s="1250">
        <f t="shared" ref="I62" si="8">IFERROR(IF(ABS((H62-G62)/G62)*100&gt;500,"n.r",((H62-G62)/G62)*100),0)</f>
        <v>4.654711525920777</v>
      </c>
      <c r="J62" s="1302">
        <v>1495.7335196399995</v>
      </c>
      <c r="K62" s="1302">
        <v>1549.3109344700006</v>
      </c>
      <c r="L62" s="1250">
        <f t="shared" ref="L62" si="9">IFERROR(IF(ABS((K62-J62)/J62)*100&gt;500,"n.r",((K62-J62)/J62)*100),0)</f>
        <v>3.5820160561017826</v>
      </c>
      <c r="M62" s="1250"/>
      <c r="N62" s="389"/>
      <c r="P62" s="246"/>
      <c r="Q62" s="145"/>
      <c r="R62" s="146"/>
      <c r="S62" s="147"/>
      <c r="T62" s="147"/>
      <c r="U62" s="147"/>
      <c r="V62" s="139"/>
      <c r="W62" s="139"/>
      <c r="X62" s="148"/>
      <c r="Y62" s="148"/>
      <c r="Z62" s="148"/>
      <c r="AA62" s="148"/>
      <c r="AB62" s="148"/>
      <c r="AC62" s="148"/>
      <c r="AD62" s="148"/>
      <c r="AE62" s="148"/>
      <c r="AF62" s="148"/>
      <c r="AG62" s="148"/>
    </row>
    <row r="63" spans="3:33" ht="15" customHeight="1">
      <c r="C63" s="1318" t="str">
        <f>IF(Indice_index!$Z$1=1,"Saldo primário","Primary balance")</f>
        <v>Saldo primário</v>
      </c>
      <c r="D63" s="1308">
        <v>18.837377130000899</v>
      </c>
      <c r="E63" s="1308">
        <v>-102.73921662000058</v>
      </c>
      <c r="F63" s="1250"/>
      <c r="G63" s="1308">
        <v>-79.431599779999985</v>
      </c>
      <c r="H63" s="1308">
        <v>14.166640639999926</v>
      </c>
      <c r="I63" s="1250"/>
      <c r="J63" s="1302">
        <v>-60.594222649999082</v>
      </c>
      <c r="K63" s="1302">
        <v>-88.57257598000065</v>
      </c>
      <c r="L63" s="1250"/>
      <c r="M63" s="1319"/>
      <c r="N63" s="389"/>
      <c r="P63" s="246"/>
      <c r="Q63" s="145"/>
      <c r="R63" s="146"/>
      <c r="S63" s="147"/>
      <c r="T63" s="147"/>
      <c r="U63" s="147"/>
      <c r="V63" s="139"/>
      <c r="W63" s="139"/>
      <c r="X63" s="148"/>
      <c r="Y63" s="148"/>
      <c r="Z63" s="148"/>
      <c r="AA63" s="148"/>
      <c r="AB63" s="148"/>
      <c r="AC63" s="148"/>
      <c r="AD63" s="148"/>
      <c r="AE63" s="148"/>
      <c r="AF63" s="148"/>
      <c r="AG63" s="148"/>
    </row>
    <row r="64" spans="3:33" ht="15" customHeight="1">
      <c r="C64" s="1318" t="str">
        <f>IF(Indice_index!$Z$1=1,"Saldo corrente","Current balance")</f>
        <v>Saldo corrente</v>
      </c>
      <c r="D64" s="1308">
        <v>10.717973290000828</v>
      </c>
      <c r="E64" s="1308">
        <v>-89.358450440000524</v>
      </c>
      <c r="F64" s="1250"/>
      <c r="G64" s="1308">
        <v>-120.68990733999999</v>
      </c>
      <c r="H64" s="1308">
        <v>-50.524709840000014</v>
      </c>
      <c r="I64" s="1250"/>
      <c r="J64" s="1302">
        <v>-109.97193404999916</v>
      </c>
      <c r="K64" s="1302">
        <v>-139.88316028000054</v>
      </c>
      <c r="L64" s="1250"/>
      <c r="M64" s="1319"/>
      <c r="N64" s="389"/>
      <c r="P64" s="246"/>
      <c r="Q64" s="145"/>
      <c r="R64" s="146"/>
      <c r="S64" s="147"/>
      <c r="T64" s="147"/>
      <c r="U64" s="147"/>
      <c r="V64" s="139"/>
      <c r="W64" s="139"/>
      <c r="X64" s="148"/>
      <c r="Y64" s="148"/>
      <c r="Z64" s="148"/>
      <c r="AA64" s="148"/>
      <c r="AB64" s="148"/>
      <c r="AC64" s="148"/>
      <c r="AD64" s="148"/>
      <c r="AE64" s="148"/>
      <c r="AF64" s="148"/>
      <c r="AG64" s="148"/>
    </row>
    <row r="65" spans="2:33" ht="15" customHeight="1">
      <c r="C65" s="1318" t="str">
        <f>IF(Indice_index!$Z$1=1,"Saldo de capital","Capital balance")</f>
        <v>Saldo de capital</v>
      </c>
      <c r="D65" s="1308">
        <v>-16.615054639999983</v>
      </c>
      <c r="E65" s="1308">
        <v>-37.324875750000032</v>
      </c>
      <c r="F65" s="1250"/>
      <c r="G65" s="1308">
        <v>-11.194263300000003</v>
      </c>
      <c r="H65" s="1308">
        <v>-6.9625042500000518</v>
      </c>
      <c r="I65" s="1250"/>
      <c r="J65" s="1302">
        <v>-27.809317939999985</v>
      </c>
      <c r="K65" s="1302">
        <v>-44.287380000000084</v>
      </c>
      <c r="L65" s="1250"/>
      <c r="M65" s="1319"/>
      <c r="N65" s="389"/>
      <c r="P65" s="246"/>
      <c r="Q65" s="145"/>
      <c r="R65" s="146"/>
      <c r="S65" s="147"/>
      <c r="T65" s="147"/>
      <c r="U65" s="147"/>
      <c r="V65" s="139"/>
      <c r="W65" s="139"/>
      <c r="X65" s="148"/>
      <c r="Y65" s="148"/>
      <c r="Z65" s="148"/>
      <c r="AA65" s="148"/>
      <c r="AB65" s="148"/>
      <c r="AC65" s="148"/>
      <c r="AD65" s="148"/>
      <c r="AE65" s="148"/>
      <c r="AF65" s="148"/>
      <c r="AG65" s="148"/>
    </row>
    <row r="66" spans="2:33" ht="15" customHeight="1">
      <c r="C66" s="1310" t="str">
        <f>IF(Indice_index!$Z$1=1,"Activos financeiros líquidos de reembolsos","Financial assets net of reimbursements")</f>
        <v>Activos financeiros líquidos de reembolsos</v>
      </c>
      <c r="D66" s="1308">
        <v>1.4582503300000003</v>
      </c>
      <c r="E66" s="1308">
        <v>-0.50839872000000008</v>
      </c>
      <c r="F66" s="1250"/>
      <c r="G66" s="1308">
        <v>21.281879699999998</v>
      </c>
      <c r="H66" s="1308">
        <v>22.520979479999998</v>
      </c>
      <c r="I66" s="1250"/>
      <c r="J66" s="1308">
        <v>22.740130029999996</v>
      </c>
      <c r="K66" s="1308">
        <v>22.012580759999999</v>
      </c>
      <c r="L66" s="1250"/>
      <c r="M66" s="1319"/>
      <c r="N66" s="389"/>
      <c r="P66" s="246"/>
      <c r="Q66" s="145"/>
      <c r="R66" s="146"/>
      <c r="S66" s="147"/>
      <c r="T66" s="147"/>
      <c r="U66" s="147"/>
      <c r="V66" s="139"/>
      <c r="W66" s="139"/>
      <c r="X66" s="148"/>
      <c r="Y66" s="148"/>
      <c r="Z66" s="148"/>
      <c r="AA66" s="148"/>
      <c r="AB66" s="148"/>
      <c r="AC66" s="148"/>
      <c r="AD66" s="148"/>
      <c r="AE66" s="148"/>
      <c r="AF66" s="148"/>
      <c r="AG66" s="148"/>
    </row>
    <row r="67" spans="2:33" ht="15" customHeight="1">
      <c r="C67" s="1320" t="str">
        <f>IF(Indice_index!$Z$1=1,"dos quais Receitas de:","of which Revenues of")</f>
        <v>dos quais Receitas de:</v>
      </c>
      <c r="D67" s="1321"/>
      <c r="E67" s="1321"/>
      <c r="F67" s="1250"/>
      <c r="G67" s="1321"/>
      <c r="H67" s="1321"/>
      <c r="I67" s="1250"/>
      <c r="J67" s="1321"/>
      <c r="K67" s="1321"/>
      <c r="L67" s="1250"/>
      <c r="M67" s="1319"/>
      <c r="N67" s="389"/>
      <c r="P67" s="246"/>
      <c r="Q67" s="145"/>
      <c r="R67" s="146"/>
      <c r="S67" s="147"/>
      <c r="T67" s="147"/>
      <c r="U67" s="147"/>
      <c r="V67" s="139"/>
      <c r="W67" s="139"/>
      <c r="X67" s="148"/>
      <c r="Y67" s="148"/>
      <c r="Z67" s="148"/>
      <c r="AA67" s="148"/>
      <c r="AB67" s="148"/>
      <c r="AC67" s="148"/>
      <c r="AD67" s="148"/>
      <c r="AE67" s="148"/>
      <c r="AF67" s="148"/>
      <c r="AG67" s="148"/>
    </row>
    <row r="68" spans="2:33" ht="15" customHeight="1">
      <c r="C68" s="1322" t="str">
        <f>IF(Indice_index!$Z$1=1,"Alienação de partes de Capital","Divestment of company shares")</f>
        <v>Alienação de partes de Capital</v>
      </c>
      <c r="D68" s="1308">
        <v>0</v>
      </c>
      <c r="E68" s="1308">
        <v>0</v>
      </c>
      <c r="F68" s="1250"/>
      <c r="G68" s="1308">
        <v>0</v>
      </c>
      <c r="H68" s="1308">
        <v>0</v>
      </c>
      <c r="I68" s="1250"/>
      <c r="J68" s="1308">
        <v>0</v>
      </c>
      <c r="K68" s="1308">
        <v>0</v>
      </c>
      <c r="L68" s="1250"/>
      <c r="M68" s="1319"/>
      <c r="N68" s="389"/>
      <c r="Q68" s="145"/>
      <c r="R68" s="146"/>
      <c r="S68" s="147"/>
      <c r="T68" s="147"/>
      <c r="U68" s="147"/>
      <c r="V68" s="139"/>
      <c r="W68" s="139"/>
      <c r="X68" s="148"/>
      <c r="Y68" s="148"/>
      <c r="Z68" s="148"/>
      <c r="AA68" s="148"/>
      <c r="AB68" s="148"/>
      <c r="AC68" s="148"/>
      <c r="AD68" s="148"/>
      <c r="AE68" s="148"/>
      <c r="AF68" s="148"/>
      <c r="AG68" s="148"/>
    </row>
    <row r="69" spans="2:33" ht="15" customHeight="1">
      <c r="C69" s="1323" t="str">
        <f>IF(Indice_index!$Z$1=1,"Outros Ativos","Other Financial assets")</f>
        <v>Outros Ativos</v>
      </c>
      <c r="D69" s="1308">
        <v>0.38160338999999999</v>
      </c>
      <c r="E69" s="1308">
        <v>0.46882660000000004</v>
      </c>
      <c r="F69" s="1250"/>
      <c r="G69" s="1308">
        <v>5.2362039899999999</v>
      </c>
      <c r="H69" s="1308">
        <v>4.0875100500000023</v>
      </c>
      <c r="I69" s="1250"/>
      <c r="J69" s="1308">
        <v>5.6178073800000004</v>
      </c>
      <c r="K69" s="1308">
        <v>4.5563366500000022</v>
      </c>
      <c r="L69" s="1250"/>
      <c r="M69" s="1319"/>
      <c r="N69" s="389"/>
      <c r="Q69" s="145"/>
      <c r="R69" s="146"/>
      <c r="S69" s="147"/>
      <c r="T69" s="147"/>
      <c r="U69" s="147"/>
      <c r="V69" s="139"/>
      <c r="W69" s="139"/>
      <c r="X69" s="148"/>
      <c r="Y69" s="148"/>
      <c r="Z69" s="148"/>
      <c r="AA69" s="148"/>
      <c r="AB69" s="148"/>
      <c r="AC69" s="148"/>
      <c r="AD69" s="148"/>
      <c r="AE69" s="148"/>
      <c r="AF69" s="148"/>
      <c r="AG69" s="148"/>
    </row>
    <row r="70" spans="2:33" ht="15" customHeight="1">
      <c r="C70" s="1064" t="str">
        <f>IF(Indice_index!$Z$1=1,"Passivos financeiros líquidos de amortizações","Financial liabilities net of amortizations")</f>
        <v>Passivos financeiros líquidos de amortizações</v>
      </c>
      <c r="D70" s="1302">
        <v>-153.69698746999998</v>
      </c>
      <c r="E70" s="1302">
        <v>282.49479697000004</v>
      </c>
      <c r="F70" s="1250"/>
      <c r="G70" s="1302">
        <v>125.35368132999997</v>
      </c>
      <c r="H70" s="1302">
        <v>88.065711179999937</v>
      </c>
      <c r="I70" s="1250"/>
      <c r="J70" s="1302">
        <v>-28.34330614000001</v>
      </c>
      <c r="K70" s="1302">
        <v>370.56050814999998</v>
      </c>
      <c r="L70" s="1250"/>
      <c r="M70" s="1319"/>
      <c r="N70" s="389"/>
      <c r="Q70" s="145"/>
      <c r="R70" s="146"/>
      <c r="S70" s="147"/>
      <c r="T70" s="147"/>
      <c r="U70" s="147"/>
      <c r="V70" s="139"/>
      <c r="W70" s="139"/>
      <c r="X70" s="148"/>
      <c r="Y70" s="148"/>
      <c r="Z70" s="148"/>
      <c r="AA70" s="148"/>
      <c r="AB70" s="148"/>
      <c r="AC70" s="148"/>
      <c r="AD70" s="148"/>
      <c r="AE70" s="148"/>
      <c r="AF70" s="148"/>
      <c r="AG70" s="148"/>
    </row>
    <row r="71" spans="2:33" ht="15" customHeight="1">
      <c r="C71" s="1324" t="str">
        <f>IF(Indice_index!$Z$1=1,"Poupança (+) / Utilização (-) de saldo da gerência anterior","Saving (+) / Usage (-) of balance from previous management")</f>
        <v>Poupança (+) / Utilização (-) de saldo da gerência anterior</v>
      </c>
      <c r="D71" s="1325">
        <v>-161.05231914999908</v>
      </c>
      <c r="E71" s="1325">
        <v>156.31986949999947</v>
      </c>
      <c r="F71" s="1325"/>
      <c r="G71" s="1325">
        <v>-27.812369009999998</v>
      </c>
      <c r="H71" s="1325">
        <v>8.0575176099998771</v>
      </c>
      <c r="I71" s="1325"/>
      <c r="J71" s="1325">
        <v>-188.86468815999908</v>
      </c>
      <c r="K71" s="1325">
        <v>164.37738710999935</v>
      </c>
      <c r="L71" s="1325"/>
      <c r="M71" s="1326"/>
      <c r="N71" s="389"/>
      <c r="Q71" s="145"/>
      <c r="R71" s="146"/>
      <c r="S71" s="147"/>
      <c r="T71" s="147"/>
      <c r="U71" s="147"/>
      <c r="V71" s="139"/>
      <c r="W71" s="139"/>
      <c r="X71" s="148"/>
      <c r="Y71" s="148"/>
      <c r="Z71" s="148"/>
      <c r="AA71" s="148"/>
      <c r="AB71" s="148"/>
      <c r="AC71" s="148"/>
      <c r="AD71" s="148"/>
      <c r="AE71" s="148"/>
      <c r="AF71" s="148"/>
      <c r="AG71" s="148"/>
    </row>
    <row r="72" spans="2:33" ht="4.5" customHeight="1">
      <c r="C72" s="1327"/>
      <c r="E72" s="167"/>
      <c r="F72" s="167"/>
      <c r="G72" s="167"/>
      <c r="H72" s="167"/>
      <c r="I72" s="167"/>
      <c r="J72" s="167"/>
      <c r="K72" s="421"/>
      <c r="L72" s="421"/>
      <c r="M72" s="97"/>
      <c r="N72" s="387"/>
      <c r="Q72" s="145"/>
      <c r="R72" s="146"/>
      <c r="S72" s="147"/>
      <c r="T72" s="147"/>
      <c r="U72" s="147"/>
      <c r="V72" s="139"/>
      <c r="W72" s="139"/>
      <c r="X72" s="148"/>
      <c r="Y72" s="148"/>
      <c r="Z72" s="148"/>
      <c r="AA72" s="148"/>
      <c r="AB72" s="148"/>
      <c r="AC72" s="148"/>
      <c r="AD72" s="148"/>
      <c r="AE72" s="148"/>
      <c r="AF72" s="148"/>
      <c r="AG72" s="148"/>
    </row>
    <row r="73" spans="2:33">
      <c r="C73" s="1328" t="s">
        <v>62</v>
      </c>
      <c r="D73" s="167"/>
      <c r="E73" s="167"/>
      <c r="F73" s="167"/>
      <c r="G73" s="167"/>
      <c r="I73" s="167"/>
      <c r="J73" s="167"/>
      <c r="K73" s="421"/>
      <c r="L73" s="421"/>
      <c r="M73" s="97"/>
      <c r="N73" s="387"/>
      <c r="Q73" s="145"/>
      <c r="R73" s="146"/>
      <c r="S73" s="147"/>
      <c r="T73" s="147"/>
      <c r="U73" s="147"/>
      <c r="V73" s="139"/>
      <c r="W73" s="139"/>
      <c r="X73" s="148"/>
      <c r="Y73" s="148"/>
      <c r="Z73" s="148"/>
      <c r="AA73" s="148"/>
      <c r="AB73" s="148"/>
      <c r="AC73" s="148"/>
      <c r="AD73" s="148"/>
      <c r="AE73" s="148"/>
      <c r="AF73" s="148"/>
      <c r="AG73" s="148"/>
    </row>
    <row r="74" spans="2:33" ht="15.75" customHeight="1">
      <c r="B74" s="97"/>
      <c r="C74" s="1310" t="str">
        <f>IF(Indice_index!$Z$1=1,"Fonte: DROT/RAM; DROT/RAA.","Source: DROT/RAM; DROT/RAA.")</f>
        <v>Fonte: DROT/RAM; DROT/RAA.</v>
      </c>
      <c r="D74" s="97"/>
      <c r="E74" s="1329"/>
      <c r="F74" s="97"/>
      <c r="G74" s="97"/>
      <c r="H74" s="97"/>
      <c r="I74" s="97"/>
      <c r="J74" s="97"/>
      <c r="K74" s="97"/>
      <c r="L74" s="97"/>
      <c r="M74" s="97"/>
      <c r="N74" s="387"/>
      <c r="Q74" s="145"/>
      <c r="R74" s="146"/>
      <c r="S74" s="147"/>
      <c r="T74" s="147"/>
      <c r="U74" s="147"/>
      <c r="X74" s="148"/>
      <c r="Y74" s="148"/>
      <c r="Z74" s="148"/>
      <c r="AA74" s="148"/>
      <c r="AB74" s="148"/>
      <c r="AC74" s="148"/>
      <c r="AD74" s="148"/>
      <c r="AE74" s="148"/>
      <c r="AF74" s="148"/>
      <c r="AG74" s="148"/>
    </row>
    <row r="75" spans="2:33">
      <c r="B75" s="97"/>
      <c r="D75" s="97"/>
      <c r="E75" s="97"/>
      <c r="F75" s="97"/>
      <c r="G75" s="97"/>
      <c r="H75" s="97"/>
      <c r="I75" s="97"/>
      <c r="J75" s="97"/>
      <c r="K75" s="97"/>
      <c r="L75" s="97"/>
      <c r="M75" s="97"/>
      <c r="N75" s="387"/>
      <c r="Q75" s="145"/>
      <c r="R75" s="146"/>
      <c r="S75" s="147"/>
      <c r="T75" s="147"/>
      <c r="U75" s="147"/>
      <c r="X75" s="148"/>
      <c r="Y75" s="148"/>
      <c r="Z75" s="148"/>
      <c r="AA75" s="148"/>
      <c r="AB75" s="148"/>
      <c r="AC75" s="148"/>
      <c r="AD75" s="148"/>
      <c r="AE75" s="148"/>
      <c r="AF75" s="148"/>
      <c r="AG75" s="148"/>
    </row>
    <row r="76" spans="2:33">
      <c r="B76" s="97"/>
      <c r="C76" s="97"/>
      <c r="D76" s="97"/>
      <c r="E76" s="97"/>
      <c r="F76" s="97"/>
      <c r="G76" s="97"/>
      <c r="H76" s="97"/>
      <c r="I76" s="97"/>
      <c r="J76" s="97"/>
      <c r="K76" s="97"/>
      <c r="L76" s="97"/>
      <c r="M76" s="97"/>
      <c r="X76" s="148"/>
      <c r="Y76" s="148"/>
      <c r="Z76" s="148"/>
      <c r="AA76" s="148"/>
      <c r="AB76" s="148"/>
      <c r="AC76" s="148"/>
      <c r="AD76" s="148"/>
      <c r="AE76" s="148"/>
      <c r="AF76" s="148"/>
      <c r="AG76" s="148"/>
    </row>
    <row r="77" spans="2:33">
      <c r="B77" s="97"/>
      <c r="C77" s="97"/>
      <c r="D77" s="97"/>
      <c r="E77" s="97"/>
      <c r="F77" s="97"/>
      <c r="G77" s="97"/>
      <c r="H77" s="97"/>
      <c r="I77" s="97"/>
      <c r="J77" s="97"/>
      <c r="K77" s="97"/>
      <c r="L77" s="97"/>
      <c r="M77" s="97"/>
      <c r="X77" s="148"/>
      <c r="Y77" s="148"/>
      <c r="Z77" s="148"/>
      <c r="AA77" s="148"/>
      <c r="AB77" s="148"/>
      <c r="AC77" s="148"/>
      <c r="AD77" s="148"/>
      <c r="AE77" s="148"/>
      <c r="AF77" s="148"/>
      <c r="AG77" s="148"/>
    </row>
    <row r="78" spans="2:33">
      <c r="B78" s="97"/>
      <c r="C78" s="97"/>
      <c r="D78" s="97"/>
      <c r="E78" s="97"/>
      <c r="F78" s="97"/>
      <c r="G78" s="97"/>
      <c r="H78" s="97"/>
      <c r="I78" s="97"/>
      <c r="J78" s="97"/>
      <c r="K78" s="97"/>
      <c r="L78" s="97"/>
      <c r="M78" s="97"/>
      <c r="X78" s="148"/>
      <c r="Y78" s="148"/>
      <c r="Z78" s="148"/>
      <c r="AA78" s="148"/>
      <c r="AB78" s="148"/>
      <c r="AC78" s="148"/>
      <c r="AD78" s="148"/>
      <c r="AE78" s="148"/>
      <c r="AF78" s="148"/>
      <c r="AG78" s="148"/>
    </row>
    <row r="79" spans="2:33">
      <c r="C79" s="97"/>
      <c r="D79" s="167"/>
      <c r="E79" s="167"/>
      <c r="F79" s="167"/>
      <c r="G79" s="167"/>
      <c r="H79" s="167"/>
      <c r="I79" s="167"/>
      <c r="J79" s="167"/>
      <c r="K79" s="167"/>
      <c r="L79" s="167"/>
      <c r="M79" s="421"/>
      <c r="X79" s="148"/>
      <c r="Y79" s="148"/>
      <c r="Z79" s="148"/>
      <c r="AA79" s="148"/>
      <c r="AB79" s="148"/>
      <c r="AC79" s="148"/>
      <c r="AD79" s="148"/>
      <c r="AE79" s="148"/>
      <c r="AF79" s="148"/>
      <c r="AG79" s="148"/>
    </row>
    <row r="80" spans="2:33">
      <c r="C80" s="167"/>
      <c r="D80" s="167"/>
      <c r="E80" s="167"/>
      <c r="F80" s="167"/>
      <c r="G80" s="167"/>
      <c r="H80" s="167"/>
      <c r="I80" s="167"/>
      <c r="J80" s="167"/>
      <c r="K80" s="167"/>
      <c r="L80" s="167"/>
      <c r="M80" s="421"/>
      <c r="X80" s="148"/>
      <c r="Y80" s="148"/>
      <c r="Z80" s="148"/>
      <c r="AA80" s="148"/>
      <c r="AB80" s="148"/>
      <c r="AC80" s="148"/>
      <c r="AD80" s="148"/>
      <c r="AE80" s="148"/>
      <c r="AF80" s="148"/>
      <c r="AG80" s="148"/>
    </row>
    <row r="81" spans="3:33">
      <c r="C81" s="167"/>
      <c r="D81" s="167"/>
      <c r="E81" s="167"/>
      <c r="F81" s="167"/>
      <c r="G81" s="167"/>
      <c r="H81" s="167"/>
      <c r="I81" s="167"/>
      <c r="J81" s="167"/>
      <c r="K81" s="167"/>
      <c r="L81" s="167"/>
      <c r="M81" s="421"/>
      <c r="X81" s="148"/>
      <c r="Y81" s="148"/>
      <c r="Z81" s="148"/>
      <c r="AA81" s="148"/>
      <c r="AB81" s="148"/>
      <c r="AC81" s="148"/>
      <c r="AD81" s="148"/>
      <c r="AE81" s="148"/>
      <c r="AF81" s="148"/>
      <c r="AG81" s="148"/>
    </row>
    <row r="82" spans="3:33">
      <c r="C82" s="167"/>
      <c r="D82" s="167"/>
      <c r="E82" s="167"/>
      <c r="F82" s="167"/>
      <c r="G82" s="167"/>
      <c r="H82" s="167"/>
      <c r="I82" s="167"/>
      <c r="J82" s="167"/>
      <c r="K82" s="167"/>
      <c r="L82" s="167"/>
      <c r="M82" s="421"/>
      <c r="X82" s="148"/>
      <c r="Y82" s="148"/>
      <c r="Z82" s="148"/>
      <c r="AA82" s="148"/>
      <c r="AB82" s="148"/>
      <c r="AC82" s="148"/>
      <c r="AD82" s="148"/>
      <c r="AE82" s="148"/>
      <c r="AF82" s="148"/>
      <c r="AG82" s="148"/>
    </row>
    <row r="83" spans="3:33">
      <c r="C83" s="167"/>
      <c r="D83" s="167"/>
      <c r="E83" s="167"/>
      <c r="F83" s="167"/>
      <c r="G83" s="167"/>
      <c r="H83" s="167"/>
      <c r="I83" s="167"/>
      <c r="J83" s="167"/>
      <c r="K83" s="167"/>
      <c r="L83" s="167"/>
      <c r="M83" s="421"/>
      <c r="X83" s="148"/>
      <c r="Y83" s="148"/>
      <c r="Z83" s="148"/>
      <c r="AA83" s="148"/>
      <c r="AB83" s="148"/>
      <c r="AC83" s="148"/>
      <c r="AD83" s="148"/>
      <c r="AE83" s="148"/>
      <c r="AF83" s="148"/>
      <c r="AG83" s="148"/>
    </row>
    <row r="84" spans="3:33">
      <c r="C84" s="167"/>
      <c r="D84" s="167"/>
      <c r="E84" s="167"/>
      <c r="F84" s="167"/>
      <c r="G84" s="167"/>
      <c r="H84" s="167"/>
      <c r="I84" s="167"/>
      <c r="J84" s="167"/>
      <c r="K84" s="167"/>
      <c r="L84" s="167"/>
      <c r="M84" s="421"/>
      <c r="X84" s="148"/>
      <c r="Y84" s="148"/>
      <c r="Z84" s="148"/>
      <c r="AA84" s="148"/>
      <c r="AB84" s="148"/>
      <c r="AC84" s="148"/>
      <c r="AD84" s="148"/>
      <c r="AE84" s="148"/>
      <c r="AF84" s="148"/>
      <c r="AG84" s="148"/>
    </row>
    <row r="85" spans="3:33">
      <c r="C85" s="167"/>
      <c r="D85" s="167"/>
      <c r="E85" s="167"/>
      <c r="F85" s="167"/>
      <c r="G85" s="167"/>
      <c r="H85" s="167"/>
      <c r="I85" s="167"/>
      <c r="J85" s="167"/>
      <c r="K85" s="167"/>
      <c r="L85" s="167"/>
      <c r="M85" s="421"/>
      <c r="X85" s="148"/>
      <c r="Y85" s="148"/>
      <c r="Z85" s="148"/>
      <c r="AA85" s="148"/>
      <c r="AB85" s="148"/>
      <c r="AC85" s="148"/>
      <c r="AD85" s="148"/>
      <c r="AE85" s="148"/>
      <c r="AF85" s="148"/>
      <c r="AG85" s="148"/>
    </row>
    <row r="86" spans="3:33">
      <c r="C86" s="167"/>
      <c r="D86" s="167"/>
      <c r="E86" s="167"/>
      <c r="F86" s="167"/>
      <c r="G86" s="167"/>
      <c r="H86" s="167"/>
      <c r="I86" s="167"/>
      <c r="J86" s="167"/>
      <c r="K86" s="167"/>
      <c r="L86" s="167"/>
      <c r="M86" s="421"/>
      <c r="X86" s="148"/>
      <c r="Y86" s="148"/>
      <c r="Z86" s="148"/>
      <c r="AA86" s="148"/>
      <c r="AB86" s="148"/>
      <c r="AC86" s="148"/>
      <c r="AD86" s="148"/>
      <c r="AE86" s="148"/>
      <c r="AF86" s="148"/>
      <c r="AG86" s="148"/>
    </row>
    <row r="87" spans="3:33">
      <c r="C87" s="167"/>
      <c r="D87" s="167"/>
      <c r="E87" s="167"/>
      <c r="F87" s="167"/>
      <c r="G87" s="167"/>
      <c r="H87" s="167"/>
      <c r="I87" s="167"/>
      <c r="J87" s="167"/>
      <c r="K87" s="167"/>
      <c r="L87" s="167"/>
      <c r="M87" s="421"/>
      <c r="X87" s="148"/>
      <c r="Y87" s="148"/>
      <c r="Z87" s="148"/>
      <c r="AA87" s="148"/>
      <c r="AB87" s="148"/>
      <c r="AC87" s="148"/>
      <c r="AD87" s="148"/>
      <c r="AE87" s="148"/>
      <c r="AF87" s="148"/>
      <c r="AG87" s="148"/>
    </row>
    <row r="88" spans="3:33">
      <c r="C88" s="167"/>
      <c r="D88" s="167"/>
      <c r="E88" s="167"/>
      <c r="F88" s="167"/>
      <c r="G88" s="167"/>
      <c r="H88" s="167"/>
      <c r="I88" s="167"/>
      <c r="J88" s="167"/>
      <c r="K88" s="167"/>
      <c r="L88" s="167"/>
      <c r="M88" s="421"/>
      <c r="X88" s="148"/>
      <c r="Y88" s="148"/>
      <c r="Z88" s="148"/>
      <c r="AA88" s="148"/>
      <c r="AB88" s="148"/>
      <c r="AC88" s="148"/>
      <c r="AD88" s="148"/>
      <c r="AE88" s="148"/>
      <c r="AF88" s="148"/>
      <c r="AG88" s="148"/>
    </row>
    <row r="89" spans="3:33">
      <c r="C89" s="167"/>
      <c r="D89" s="167"/>
      <c r="E89" s="167"/>
      <c r="F89" s="167"/>
      <c r="G89" s="167"/>
      <c r="H89" s="167"/>
      <c r="I89" s="167"/>
      <c r="J89" s="167"/>
      <c r="K89" s="167"/>
      <c r="L89" s="167"/>
      <c r="M89" s="421"/>
      <c r="X89" s="148"/>
      <c r="Y89" s="148"/>
      <c r="Z89" s="148"/>
      <c r="AA89" s="148"/>
      <c r="AB89" s="148"/>
      <c r="AC89" s="148"/>
      <c r="AD89" s="148"/>
      <c r="AE89" s="148"/>
      <c r="AF89" s="148"/>
      <c r="AG89" s="148"/>
    </row>
    <row r="90" spans="3:33">
      <c r="C90" s="167"/>
      <c r="D90" s="167"/>
      <c r="E90" s="167"/>
      <c r="F90" s="167"/>
      <c r="G90" s="167"/>
      <c r="H90" s="167"/>
      <c r="I90" s="167"/>
      <c r="J90" s="167"/>
      <c r="K90" s="167"/>
      <c r="L90" s="167"/>
      <c r="M90" s="421"/>
      <c r="X90" s="148"/>
      <c r="Y90" s="148"/>
      <c r="Z90" s="148"/>
      <c r="AA90" s="148"/>
      <c r="AB90" s="148"/>
      <c r="AC90" s="148"/>
      <c r="AD90" s="148"/>
      <c r="AE90" s="148"/>
      <c r="AF90" s="148"/>
      <c r="AG90" s="148"/>
    </row>
    <row r="91" spans="3:33">
      <c r="C91" s="167"/>
      <c r="D91" s="167"/>
      <c r="E91" s="167"/>
      <c r="F91" s="167"/>
      <c r="G91" s="167"/>
      <c r="H91" s="167"/>
      <c r="I91" s="167"/>
      <c r="J91" s="167"/>
      <c r="K91" s="167"/>
      <c r="L91" s="167"/>
      <c r="M91" s="421"/>
      <c r="X91" s="148"/>
      <c r="Y91" s="148"/>
      <c r="Z91" s="148"/>
      <c r="AA91" s="148"/>
      <c r="AB91" s="148"/>
      <c r="AC91" s="148"/>
      <c r="AD91" s="148"/>
      <c r="AE91" s="148"/>
      <c r="AF91" s="148"/>
      <c r="AG91" s="148"/>
    </row>
    <row r="92" spans="3:33">
      <c r="C92" s="167"/>
      <c r="D92" s="167"/>
      <c r="E92" s="167"/>
      <c r="F92" s="167"/>
      <c r="G92" s="167"/>
      <c r="H92" s="167"/>
      <c r="I92" s="167"/>
      <c r="J92" s="167"/>
      <c r="K92" s="167"/>
      <c r="L92" s="167"/>
      <c r="M92" s="421"/>
      <c r="X92" s="148"/>
      <c r="Y92" s="148"/>
      <c r="Z92" s="148"/>
      <c r="AA92" s="148"/>
      <c r="AB92" s="148"/>
      <c r="AC92" s="148"/>
      <c r="AD92" s="148"/>
      <c r="AE92" s="148"/>
      <c r="AF92" s="148"/>
      <c r="AG92" s="148"/>
    </row>
    <row r="93" spans="3:33">
      <c r="C93" s="167"/>
      <c r="D93" s="167"/>
      <c r="E93" s="167"/>
      <c r="F93" s="167"/>
      <c r="G93" s="167"/>
      <c r="H93" s="167"/>
      <c r="I93" s="167"/>
      <c r="J93" s="167"/>
      <c r="K93" s="167"/>
      <c r="L93" s="167"/>
      <c r="M93" s="421"/>
      <c r="X93" s="148"/>
      <c r="Y93" s="148"/>
      <c r="Z93" s="148"/>
      <c r="AA93" s="148"/>
      <c r="AB93" s="148"/>
      <c r="AC93" s="148"/>
      <c r="AD93" s="148"/>
      <c r="AE93" s="148"/>
      <c r="AF93" s="148"/>
      <c r="AG93" s="148"/>
    </row>
    <row r="94" spans="3:33">
      <c r="C94" s="167"/>
      <c r="D94" s="167"/>
      <c r="E94" s="167"/>
      <c r="F94" s="167"/>
      <c r="G94" s="167"/>
      <c r="H94" s="167"/>
      <c r="I94" s="167"/>
      <c r="J94" s="167"/>
      <c r="K94" s="167"/>
      <c r="L94" s="167"/>
      <c r="M94" s="421"/>
      <c r="X94" s="148"/>
      <c r="Y94" s="148"/>
      <c r="Z94" s="148"/>
      <c r="AA94" s="148"/>
      <c r="AB94" s="148"/>
      <c r="AC94" s="148"/>
      <c r="AD94" s="148"/>
      <c r="AE94" s="148"/>
      <c r="AF94" s="148"/>
      <c r="AG94" s="148"/>
    </row>
    <row r="95" spans="3:33">
      <c r="C95" s="167"/>
      <c r="D95" s="167"/>
      <c r="E95" s="167"/>
      <c r="F95" s="167"/>
      <c r="G95" s="167"/>
      <c r="H95" s="167"/>
      <c r="I95" s="167"/>
      <c r="J95" s="167"/>
      <c r="K95" s="167"/>
      <c r="L95" s="167"/>
      <c r="M95" s="421"/>
      <c r="X95" s="148"/>
      <c r="Y95" s="148"/>
      <c r="Z95" s="148"/>
      <c r="AA95" s="148"/>
      <c r="AB95" s="148"/>
      <c r="AC95" s="148"/>
      <c r="AD95" s="148"/>
      <c r="AE95" s="148"/>
      <c r="AF95" s="148"/>
      <c r="AG95" s="148"/>
    </row>
    <row r="96" spans="3:33">
      <c r="C96" s="167"/>
      <c r="D96" s="167"/>
      <c r="E96" s="167"/>
      <c r="F96" s="167"/>
      <c r="G96" s="167"/>
      <c r="H96" s="167"/>
      <c r="I96" s="167"/>
      <c r="J96" s="167"/>
      <c r="K96" s="167"/>
      <c r="L96" s="167"/>
      <c r="M96" s="421"/>
      <c r="X96" s="148"/>
      <c r="Y96" s="148"/>
      <c r="Z96" s="148"/>
      <c r="AA96" s="148"/>
      <c r="AB96" s="148"/>
      <c r="AC96" s="148"/>
      <c r="AD96" s="148"/>
      <c r="AE96" s="148"/>
      <c r="AF96" s="148"/>
      <c r="AG96" s="148"/>
    </row>
    <row r="97" spans="3:33">
      <c r="C97" s="167"/>
      <c r="D97" s="167"/>
      <c r="E97" s="167"/>
      <c r="F97" s="167"/>
      <c r="G97" s="167"/>
      <c r="H97" s="167"/>
      <c r="I97" s="167"/>
      <c r="J97" s="167"/>
      <c r="K97" s="167"/>
      <c r="L97" s="167"/>
      <c r="M97" s="421"/>
      <c r="X97" s="148"/>
      <c r="Y97" s="148"/>
      <c r="Z97" s="148"/>
      <c r="AA97" s="148"/>
      <c r="AB97" s="148"/>
      <c r="AC97" s="148"/>
      <c r="AD97" s="148"/>
      <c r="AE97" s="148"/>
      <c r="AF97" s="148"/>
      <c r="AG97" s="148"/>
    </row>
    <row r="98" spans="3:33">
      <c r="C98" s="167"/>
      <c r="D98" s="167"/>
      <c r="E98" s="167"/>
      <c r="F98" s="167"/>
      <c r="G98" s="167"/>
      <c r="H98" s="167"/>
      <c r="I98" s="167"/>
      <c r="J98" s="167"/>
      <c r="K98" s="167"/>
      <c r="L98" s="167"/>
      <c r="M98" s="421"/>
    </row>
    <row r="99" spans="3:33">
      <c r="C99" s="167"/>
      <c r="D99" s="167"/>
      <c r="E99" s="167"/>
      <c r="F99" s="167"/>
      <c r="G99" s="167"/>
      <c r="H99" s="167"/>
      <c r="I99" s="167"/>
      <c r="J99" s="167"/>
      <c r="K99" s="167"/>
      <c r="L99" s="167"/>
      <c r="M99" s="421"/>
    </row>
    <row r="100" spans="3:33">
      <c r="C100" s="167"/>
      <c r="D100" s="167"/>
      <c r="E100" s="167"/>
      <c r="F100" s="167"/>
      <c r="G100" s="167"/>
      <c r="H100" s="167"/>
      <c r="I100" s="371"/>
      <c r="J100" s="371"/>
      <c r="K100" s="371"/>
      <c r="L100" s="371"/>
      <c r="M100" s="372"/>
    </row>
    <row r="101" spans="3:33">
      <c r="C101" s="167"/>
      <c r="D101" s="167"/>
      <c r="E101" s="167"/>
      <c r="F101" s="167"/>
      <c r="G101" s="167"/>
      <c r="H101" s="167"/>
      <c r="I101" s="371"/>
      <c r="J101" s="371"/>
      <c r="K101" s="371"/>
      <c r="L101" s="371"/>
      <c r="M101" s="372"/>
    </row>
    <row r="102" spans="3:33">
      <c r="C102" s="167"/>
      <c r="D102" s="167"/>
      <c r="E102" s="167"/>
      <c r="F102" s="167"/>
      <c r="G102" s="167"/>
      <c r="H102" s="167"/>
      <c r="I102" s="371"/>
      <c r="J102" s="371"/>
      <c r="K102" s="371"/>
      <c r="L102" s="371"/>
      <c r="M102" s="372"/>
    </row>
    <row r="103" spans="3:33">
      <c r="C103" s="167"/>
      <c r="D103" s="167"/>
      <c r="E103" s="167"/>
      <c r="F103" s="167"/>
      <c r="G103" s="167"/>
      <c r="H103" s="167"/>
      <c r="I103" s="371"/>
      <c r="J103" s="371"/>
      <c r="K103" s="371"/>
      <c r="L103" s="371"/>
      <c r="M103" s="372"/>
    </row>
    <row r="104" spans="3:33">
      <c r="C104" s="167"/>
      <c r="D104" s="167"/>
      <c r="E104" s="167"/>
      <c r="F104" s="167"/>
      <c r="G104" s="167"/>
      <c r="H104" s="167"/>
      <c r="I104" s="371"/>
      <c r="J104" s="371"/>
      <c r="K104" s="371"/>
      <c r="L104" s="371"/>
      <c r="M104" s="372"/>
    </row>
    <row r="105" spans="3:33">
      <c r="C105" s="167"/>
      <c r="D105" s="167"/>
      <c r="E105" s="167"/>
      <c r="F105" s="167"/>
      <c r="G105" s="167"/>
      <c r="H105" s="167"/>
      <c r="I105" s="371"/>
      <c r="J105" s="371"/>
      <c r="K105" s="371"/>
      <c r="L105" s="371"/>
      <c r="M105" s="372"/>
    </row>
    <row r="106" spans="3:33">
      <c r="C106" s="167"/>
      <c r="D106" s="167"/>
      <c r="E106" s="167"/>
      <c r="F106" s="167"/>
      <c r="G106" s="167"/>
      <c r="H106" s="167"/>
      <c r="I106" s="371"/>
      <c r="J106" s="371"/>
      <c r="K106" s="371"/>
      <c r="L106" s="371"/>
      <c r="M106" s="372"/>
    </row>
    <row r="107" spans="3:33">
      <c r="C107" s="167"/>
      <c r="D107" s="167"/>
      <c r="E107" s="167"/>
      <c r="F107" s="167"/>
      <c r="G107" s="167"/>
      <c r="H107" s="167"/>
      <c r="I107" s="371"/>
      <c r="J107" s="371"/>
      <c r="K107" s="371"/>
      <c r="L107" s="371"/>
      <c r="M107" s="372"/>
    </row>
    <row r="108" spans="3:33">
      <c r="C108" s="167"/>
      <c r="D108" s="167"/>
      <c r="E108" s="167"/>
      <c r="F108" s="167"/>
      <c r="G108" s="167"/>
      <c r="H108" s="167"/>
      <c r="I108" s="371"/>
      <c r="J108" s="371"/>
      <c r="K108" s="371"/>
      <c r="L108" s="371"/>
      <c r="M108" s="372"/>
    </row>
    <row r="109" spans="3:33">
      <c r="C109" s="167"/>
      <c r="D109" s="167"/>
      <c r="E109" s="167"/>
      <c r="F109" s="167"/>
      <c r="G109" s="167"/>
      <c r="H109" s="167"/>
      <c r="I109" s="371"/>
      <c r="J109" s="371"/>
      <c r="K109" s="371"/>
      <c r="L109" s="371"/>
      <c r="M109" s="372"/>
    </row>
    <row r="110" spans="3:33">
      <c r="C110" s="167"/>
      <c r="D110" s="167"/>
      <c r="E110" s="167"/>
      <c r="F110" s="167"/>
      <c r="G110" s="167"/>
      <c r="H110" s="167"/>
      <c r="I110" s="371"/>
      <c r="J110" s="371"/>
      <c r="K110" s="371"/>
      <c r="L110" s="371"/>
      <c r="M110" s="372"/>
    </row>
    <row r="111" spans="3:33">
      <c r="C111" s="167"/>
      <c r="D111" s="167"/>
      <c r="E111" s="167"/>
      <c r="F111" s="167"/>
      <c r="G111" s="167"/>
      <c r="H111" s="167"/>
      <c r="I111" s="371"/>
      <c r="J111" s="371"/>
      <c r="K111" s="371"/>
      <c r="L111" s="371"/>
      <c r="M111" s="372"/>
    </row>
    <row r="112" spans="3:33">
      <c r="C112" s="167"/>
      <c r="D112" s="167"/>
      <c r="E112" s="167"/>
      <c r="F112" s="167"/>
      <c r="G112" s="167"/>
      <c r="H112" s="167"/>
      <c r="I112" s="371"/>
      <c r="J112" s="371"/>
      <c r="K112" s="371"/>
      <c r="L112" s="371"/>
      <c r="M112" s="372"/>
    </row>
    <row r="113" spans="3:13">
      <c r="C113" s="167"/>
      <c r="D113" s="167"/>
      <c r="E113" s="167"/>
      <c r="F113" s="167"/>
      <c r="G113" s="167"/>
      <c r="H113" s="167"/>
      <c r="I113" s="371"/>
      <c r="J113" s="371"/>
      <c r="K113" s="371"/>
      <c r="L113" s="371"/>
      <c r="M113" s="372"/>
    </row>
    <row r="114" spans="3:13">
      <c r="C114" s="167"/>
      <c r="D114" s="167"/>
      <c r="E114" s="167"/>
      <c r="F114" s="167"/>
      <c r="G114" s="167"/>
      <c r="H114" s="167"/>
      <c r="I114" s="371"/>
      <c r="J114" s="371"/>
      <c r="K114" s="371"/>
      <c r="L114" s="371"/>
      <c r="M114" s="372"/>
    </row>
    <row r="115" spans="3:13">
      <c r="C115" s="167"/>
      <c r="D115" s="167"/>
      <c r="E115" s="167"/>
      <c r="F115" s="167"/>
      <c r="G115" s="167"/>
      <c r="H115" s="167"/>
      <c r="I115" s="371"/>
      <c r="J115" s="371"/>
      <c r="K115" s="371"/>
      <c r="L115" s="371"/>
      <c r="M115" s="372"/>
    </row>
    <row r="116" spans="3:13">
      <c r="C116" s="167"/>
      <c r="F116" s="167"/>
      <c r="G116" s="167"/>
      <c r="I116" s="371"/>
      <c r="J116" s="371"/>
      <c r="K116" s="371"/>
      <c r="L116" s="371"/>
      <c r="M116" s="372"/>
    </row>
    <row r="117" spans="3:13">
      <c r="C117" s="167"/>
      <c r="D117" s="167"/>
      <c r="E117" s="167"/>
      <c r="F117" s="167"/>
      <c r="G117" s="167"/>
      <c r="H117" s="167"/>
      <c r="I117" s="371"/>
      <c r="J117" s="371"/>
      <c r="K117" s="371"/>
      <c r="L117" s="371"/>
      <c r="M117" s="372"/>
    </row>
    <row r="118" spans="3:13">
      <c r="C118" s="167"/>
      <c r="D118" s="167"/>
      <c r="E118" s="167"/>
      <c r="F118" s="167"/>
      <c r="G118" s="167"/>
      <c r="H118" s="167"/>
      <c r="I118" s="371"/>
      <c r="J118" s="371"/>
      <c r="K118" s="371"/>
      <c r="L118" s="371"/>
      <c r="M118" s="372"/>
    </row>
    <row r="119" spans="3:13">
      <c r="C119" s="167"/>
      <c r="D119" s="167"/>
      <c r="E119" s="167"/>
      <c r="F119" s="167"/>
      <c r="G119" s="167"/>
      <c r="H119" s="167"/>
      <c r="I119" s="371"/>
      <c r="J119" s="371"/>
      <c r="K119" s="371"/>
      <c r="L119" s="371"/>
      <c r="M119" s="372"/>
    </row>
    <row r="120" spans="3:13">
      <c r="C120" s="167"/>
      <c r="D120" s="167"/>
      <c r="E120" s="167"/>
      <c r="F120" s="167"/>
      <c r="G120" s="167"/>
      <c r="H120" s="167"/>
      <c r="I120" s="371"/>
      <c r="J120" s="371"/>
      <c r="K120" s="371"/>
      <c r="L120" s="371"/>
      <c r="M120" s="372"/>
    </row>
    <row r="121" spans="3:13">
      <c r="C121" s="167"/>
      <c r="D121" s="167"/>
      <c r="E121" s="167"/>
      <c r="F121" s="167"/>
      <c r="G121" s="167"/>
      <c r="H121" s="167"/>
      <c r="I121" s="371"/>
      <c r="J121" s="371"/>
      <c r="K121" s="371"/>
      <c r="L121" s="371"/>
      <c r="M121" s="372"/>
    </row>
    <row r="122" spans="3:13">
      <c r="C122" s="167"/>
      <c r="D122" s="167"/>
      <c r="E122" s="167"/>
      <c r="F122" s="167"/>
      <c r="G122" s="167"/>
      <c r="H122" s="167"/>
      <c r="I122" s="371"/>
      <c r="J122" s="371"/>
      <c r="K122" s="371"/>
      <c r="L122" s="371"/>
      <c r="M122" s="372"/>
    </row>
    <row r="123" spans="3:13">
      <c r="C123" s="167"/>
      <c r="D123" s="167"/>
      <c r="E123" s="167"/>
      <c r="F123" s="167"/>
      <c r="G123" s="167"/>
      <c r="H123" s="167"/>
      <c r="I123" s="371"/>
      <c r="J123" s="371"/>
      <c r="K123" s="371"/>
      <c r="L123" s="371"/>
      <c r="M123" s="372"/>
    </row>
    <row r="124" spans="3:13">
      <c r="C124" s="167"/>
      <c r="D124" s="167"/>
      <c r="E124" s="167"/>
      <c r="F124" s="167"/>
      <c r="G124" s="167"/>
      <c r="H124" s="167"/>
      <c r="I124" s="371"/>
      <c r="J124" s="371"/>
      <c r="K124" s="371"/>
      <c r="L124" s="371"/>
      <c r="M124" s="372"/>
    </row>
    <row r="125" spans="3:13">
      <c r="C125" s="167"/>
      <c r="D125" s="167"/>
      <c r="E125" s="167"/>
      <c r="F125" s="167"/>
      <c r="G125" s="167"/>
      <c r="H125" s="167"/>
      <c r="I125" s="371"/>
      <c r="J125" s="371"/>
      <c r="K125" s="371"/>
      <c r="L125" s="371"/>
      <c r="M125" s="372"/>
    </row>
    <row r="126" spans="3:13">
      <c r="C126" s="167"/>
      <c r="D126" s="167"/>
      <c r="E126" s="167"/>
      <c r="F126" s="167"/>
      <c r="G126" s="167"/>
      <c r="H126" s="167"/>
      <c r="I126" s="371"/>
      <c r="J126" s="371"/>
      <c r="K126" s="371"/>
      <c r="L126" s="371"/>
      <c r="M126" s="372"/>
    </row>
    <row r="127" spans="3:13">
      <c r="C127" s="167"/>
      <c r="D127" s="167"/>
      <c r="E127" s="167"/>
      <c r="F127" s="167"/>
      <c r="G127" s="167"/>
      <c r="H127" s="167"/>
      <c r="I127" s="371"/>
      <c r="J127" s="371"/>
      <c r="K127" s="371"/>
      <c r="L127" s="371"/>
      <c r="M127" s="372"/>
    </row>
    <row r="128" spans="3:13">
      <c r="C128" s="167"/>
      <c r="D128" s="167"/>
      <c r="E128" s="167"/>
      <c r="F128" s="167"/>
      <c r="G128" s="167"/>
      <c r="H128" s="167"/>
      <c r="I128" s="371"/>
      <c r="J128" s="371"/>
      <c r="K128" s="371"/>
      <c r="L128" s="371"/>
      <c r="M128" s="372"/>
    </row>
    <row r="129" spans="3:13">
      <c r="C129" s="167"/>
      <c r="D129" s="167"/>
      <c r="E129" s="167"/>
      <c r="F129" s="167"/>
      <c r="G129" s="167"/>
      <c r="H129" s="167"/>
      <c r="I129" s="371"/>
      <c r="J129" s="371"/>
      <c r="K129" s="371"/>
      <c r="L129" s="371"/>
      <c r="M129" s="372"/>
    </row>
    <row r="130" spans="3:13">
      <c r="C130" s="167"/>
      <c r="D130" s="167"/>
      <c r="E130" s="167"/>
      <c r="F130" s="167"/>
      <c r="G130" s="167"/>
      <c r="H130" s="167"/>
      <c r="I130" s="371"/>
      <c r="J130" s="371"/>
      <c r="K130" s="371"/>
      <c r="L130" s="371"/>
      <c r="M130" s="372"/>
    </row>
    <row r="131" spans="3:13">
      <c r="C131" s="167"/>
      <c r="D131" s="167"/>
      <c r="E131" s="167"/>
      <c r="F131" s="167"/>
      <c r="G131" s="167"/>
      <c r="H131" s="167"/>
      <c r="I131" s="371"/>
      <c r="J131" s="371"/>
      <c r="K131" s="371"/>
      <c r="L131" s="371"/>
      <c r="M131" s="372"/>
    </row>
    <row r="132" spans="3:13">
      <c r="C132" s="167"/>
      <c r="D132" s="167"/>
      <c r="E132" s="167"/>
      <c r="F132" s="167"/>
      <c r="G132" s="167"/>
      <c r="H132" s="167"/>
      <c r="I132" s="371"/>
      <c r="J132" s="371"/>
      <c r="K132" s="371"/>
      <c r="L132" s="371"/>
      <c r="M132" s="372"/>
    </row>
    <row r="133" spans="3:13">
      <c r="C133" s="167"/>
    </row>
  </sheetData>
  <mergeCells count="7">
    <mergeCell ref="Q7:R7"/>
    <mergeCell ref="W7:X7"/>
    <mergeCell ref="J7:M7"/>
    <mergeCell ref="D6:F6"/>
    <mergeCell ref="G6:I6"/>
    <mergeCell ref="D7:F7"/>
    <mergeCell ref="G7:I7"/>
  </mergeCells>
  <printOptions horizontalCentered="1"/>
  <pageMargins left="0.70866141732283472" right="0.70866141732283472" top="0.74803149606299213" bottom="0.74803149606299213" header="0.74803149606299213" footer="0.35433070866141736"/>
  <pageSetup paperSize="9" scale="62" orientation="portrait" r:id="rId1"/>
  <headerFooter differentOddEven="1">
    <oddFooter>&amp;R&amp;G</oddFooter>
    <evenFooter>&amp;L&amp;G</evenFooter>
  </headerFooter>
  <drawing r:id="rId2"/>
  <legacyDrawingHF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Folha19">
    <pageSetUpPr fitToPage="1"/>
  </sheetPr>
  <dimension ref="B1:V180"/>
  <sheetViews>
    <sheetView showGridLines="0" zoomScaleNormal="100" zoomScaleSheetLayoutView="100" workbookViewId="0">
      <selection activeCell="B2" sqref="B2"/>
    </sheetView>
  </sheetViews>
  <sheetFormatPr defaultColWidth="9.140625" defaultRowHeight="12.75"/>
  <cols>
    <col min="1" max="1" width="2.5703125" style="97" customWidth="1"/>
    <col min="2" max="2" width="4.42578125" style="97" customWidth="1"/>
    <col min="3" max="3" width="40.42578125" style="97" customWidth="1"/>
    <col min="4" max="7" width="9.42578125" style="97" customWidth="1"/>
    <col min="8" max="8" width="10.140625" style="97" customWidth="1"/>
    <col min="9" max="9" width="9.5703125" style="97" bestFit="1" customWidth="1"/>
    <col min="10" max="10" width="11.5703125" style="97" bestFit="1" customWidth="1"/>
    <col min="11" max="12" width="8.5703125" style="97" customWidth="1"/>
    <col min="13" max="13" width="15.42578125" style="97" customWidth="1"/>
    <col min="14" max="15" width="8.5703125" style="97" customWidth="1"/>
    <col min="16" max="18" width="9.140625" style="97"/>
    <col min="19" max="21" width="9.140625" style="50" customWidth="1"/>
    <col min="22" max="16384" width="9.140625" style="97"/>
  </cols>
  <sheetData>
    <row r="1" spans="2:22" s="50" customFormat="1" ht="15" customHeight="1">
      <c r="B1" s="49"/>
      <c r="C1" s="49"/>
      <c r="F1" s="156"/>
      <c r="G1" s="156"/>
    </row>
    <row r="2" spans="2:22" ht="24" customHeight="1">
      <c r="B2" s="8"/>
      <c r="C2" s="51" t="str">
        <f>IF(Indice_index!$Z$1=1,"15 - Execução Orçamental da Administração Local","15 - Local Government Budget Execution")</f>
        <v>15 - Execução Orçamental da Administração Local</v>
      </c>
      <c r="D2" s="51"/>
      <c r="E2" s="51"/>
      <c r="F2" s="51"/>
      <c r="G2" s="51"/>
      <c r="S2" s="81"/>
      <c r="U2" s="81"/>
    </row>
    <row r="3" spans="2:22" ht="15" customHeight="1">
      <c r="S3" s="81"/>
    </row>
    <row r="4" spans="2:22" ht="15" customHeight="1">
      <c r="S4" s="81"/>
    </row>
    <row r="5" spans="2:22" s="251" customFormat="1" ht="15" customHeight="1">
      <c r="C5" s="797" t="str">
        <f>+'5 - Conta AC + SS'!C5</f>
        <v>Período: janeiro a julho</v>
      </c>
      <c r="D5" s="1243"/>
      <c r="E5" s="1243"/>
      <c r="F5" s="1244"/>
      <c r="G5" s="802" t="str">
        <f>IF(Indice_index!$Z$1=1,"€ Milhões","€ Millions")</f>
        <v>€ Milhões</v>
      </c>
      <c r="S5" s="249"/>
      <c r="T5" s="249"/>
      <c r="U5" s="249"/>
    </row>
    <row r="6" spans="2:22" ht="24" customHeight="1">
      <c r="C6" s="1741"/>
      <c r="D6" s="1743" t="str">
        <f>IF(Indice_index!$Z$1=1,"Execução Acumulada","Accumulated Execution")</f>
        <v>Execução Acumulada</v>
      </c>
      <c r="E6" s="1743"/>
      <c r="F6" s="1744" t="str">
        <f>IF(Indice_index!$Z$1=1,"Variação Homóloga Acumulada","YOY Change Rate (%)")</f>
        <v>Variação Homóloga Acumulada</v>
      </c>
      <c r="G6" s="1745"/>
    </row>
    <row r="7" spans="2:22" ht="36" customHeight="1">
      <c r="C7" s="1742"/>
      <c r="D7" s="1245">
        <v>2021</v>
      </c>
      <c r="E7" s="1245">
        <v>2022</v>
      </c>
      <c r="F7" s="1242" t="str">
        <f>IF(Indice_index!$Z$1=1,"TVH (%)","YOY Change Rate (%)")</f>
        <v>TVH (%)</v>
      </c>
      <c r="G7" s="1241" t="str">
        <f>IF(Indice_index!$Z$1=1,"Contributo    VH (p.p.)","YOY Change Contrib. (p.p.)")</f>
        <v>Contributo    VH (p.p.)</v>
      </c>
      <c r="H7" s="247"/>
      <c r="I7" s="247"/>
      <c r="J7"/>
    </row>
    <row r="8" spans="2:22" s="251" customFormat="1" ht="15" customHeight="1">
      <c r="C8" s="1246" t="str">
        <f>IF(Indice_index!$Z$1=1,"Receita corrente","Current revenue")</f>
        <v>Receita corrente</v>
      </c>
      <c r="D8" s="1247">
        <v>4430.6454706565492</v>
      </c>
      <c r="E8" s="1247">
        <v>5121.2499618656584</v>
      </c>
      <c r="F8" s="302">
        <f t="shared" ref="F8:F19" si="0">IFERROR(IF(ABS((E8-D8)/D8)*100&gt;500,"n.r.",((E8-D8)/D8)*100),0)</f>
        <v>15.586995072904648</v>
      </c>
      <c r="G8" s="160">
        <f>IFERROR((E8-D8)/D43*100,"-")</f>
        <v>13.542738835669137</v>
      </c>
      <c r="H8" s="446"/>
      <c r="I8" s="446"/>
      <c r="J8" s="447"/>
      <c r="K8" s="446"/>
      <c r="L8" s="302"/>
      <c r="M8" s="311"/>
      <c r="N8" s="311"/>
      <c r="O8" s="160"/>
      <c r="P8" s="160"/>
      <c r="Q8" s="312"/>
      <c r="R8" s="312"/>
      <c r="S8" s="313"/>
      <c r="T8" s="313"/>
      <c r="U8" s="313"/>
      <c r="V8" s="314"/>
    </row>
    <row r="9" spans="2:22" ht="15" customHeight="1">
      <c r="C9" s="1248" t="str">
        <f>IF(Indice_index!$Z$1=1,"Receita Fiscal","Tax income")</f>
        <v>Receita Fiscal</v>
      </c>
      <c r="D9" s="1249">
        <v>1660.4603106136838</v>
      </c>
      <c r="E9" s="1249">
        <v>2008.4758189368656</v>
      </c>
      <c r="F9" s="1250">
        <f t="shared" si="0"/>
        <v>20.958977826730468</v>
      </c>
      <c r="G9" s="1251">
        <f>IFERROR((E9-D9)/D43*100,"-")</f>
        <v>6.8245764398836046</v>
      </c>
      <c r="H9" s="446"/>
      <c r="I9" s="446"/>
      <c r="J9" s="447"/>
      <c r="K9" s="216"/>
      <c r="L9" s="157"/>
      <c r="M9" s="158"/>
      <c r="N9" s="158"/>
      <c r="O9" s="159"/>
      <c r="P9" s="160"/>
      <c r="Q9" s="161"/>
      <c r="R9" s="161"/>
      <c r="S9" s="162"/>
      <c r="T9" s="162"/>
      <c r="U9" s="162"/>
      <c r="V9" s="112"/>
    </row>
    <row r="10" spans="2:22" ht="15" customHeight="1">
      <c r="C10" s="1252" t="str">
        <f>IF(Indice_index!$Z$1=1,"Impostos diretos","Direct taxes")</f>
        <v>Impostos diretos</v>
      </c>
      <c r="D10" s="1249">
        <v>1636.8772549837349</v>
      </c>
      <c r="E10" s="1249">
        <v>2000.4236783748786</v>
      </c>
      <c r="F10" s="1250">
        <f t="shared" si="0"/>
        <v>22.20975471949826</v>
      </c>
      <c r="G10" s="1251">
        <f>IFERROR((E10-D10)/D43*100,"-")</f>
        <v>7.1291373417047295</v>
      </c>
      <c r="H10" s="446"/>
      <c r="I10" s="446"/>
      <c r="J10" s="447"/>
      <c r="K10" s="216"/>
      <c r="L10" s="157"/>
      <c r="M10" s="158"/>
      <c r="N10" s="158"/>
      <c r="O10" s="159"/>
      <c r="P10" s="160"/>
      <c r="Q10" s="161"/>
      <c r="R10" s="161"/>
      <c r="S10" s="162"/>
      <c r="T10" s="162"/>
      <c r="U10" s="162"/>
      <c r="V10" s="112"/>
    </row>
    <row r="11" spans="2:22" ht="15" customHeight="1">
      <c r="C11" s="1253" t="str">
        <f>IF(Indice_index!$Z$1=1,"Imposto Municipal sobre Transmissões","Municipal Property Transfer Tax")</f>
        <v>Imposto Municipal sobre Transmissões</v>
      </c>
      <c r="D11" s="1249">
        <v>703.37382173480785</v>
      </c>
      <c r="E11" s="1249">
        <v>1039.9531398095414</v>
      </c>
      <c r="F11" s="1250">
        <f t="shared" si="0"/>
        <v>47.852124670291417</v>
      </c>
      <c r="G11" s="1251">
        <f>IFERROR((E11-D11)/D43*100,"-")</f>
        <v>6.600313001430429</v>
      </c>
      <c r="H11" s="446"/>
      <c r="I11" s="446"/>
      <c r="J11" s="447"/>
      <c r="K11" s="216"/>
      <c r="L11" s="157"/>
      <c r="M11" s="158"/>
      <c r="N11" s="158"/>
      <c r="O11" s="159"/>
      <c r="P11" s="160"/>
      <c r="Q11" s="161"/>
      <c r="R11" s="161"/>
      <c r="S11" s="162"/>
      <c r="T11" s="162"/>
      <c r="U11" s="162"/>
      <c r="V11" s="112"/>
    </row>
    <row r="12" spans="2:22" ht="15" customHeight="1">
      <c r="C12" s="1253" t="str">
        <f>IF(Indice_index!$Z$1=1,"Imposto Municipal sobre Imóveis","Municipal Real Estate Tax")</f>
        <v>Imposto Municipal sobre Imóveis</v>
      </c>
      <c r="D12" s="1249">
        <v>725.13667801946792</v>
      </c>
      <c r="E12" s="1249">
        <v>742.45528394196469</v>
      </c>
      <c r="F12" s="1250">
        <f t="shared" si="0"/>
        <v>2.388322980682521</v>
      </c>
      <c r="G12" s="1251">
        <f>IFERROR((E12-D12)/D43*100,"-")</f>
        <v>0.3396174800363837</v>
      </c>
      <c r="H12" s="446"/>
      <c r="I12" s="446"/>
      <c r="J12" s="447"/>
      <c r="K12" s="216"/>
      <c r="L12" s="157"/>
      <c r="M12" s="158"/>
      <c r="N12" s="158"/>
      <c r="O12" s="159"/>
      <c r="P12" s="160"/>
      <c r="Q12" s="161"/>
      <c r="R12" s="161"/>
      <c r="S12" s="162"/>
      <c r="T12" s="162"/>
      <c r="U12" s="162"/>
      <c r="V12" s="112"/>
    </row>
    <row r="13" spans="2:22" ht="15" customHeight="1">
      <c r="C13" s="1253" t="str">
        <f>IF(Indice_index!$Z$1=1,"Imposto Único de Circulação","Municipal Vehicle Tax")</f>
        <v>Imposto Único de Circulação</v>
      </c>
      <c r="D13" s="1249">
        <v>175.59717630582946</v>
      </c>
      <c r="E13" s="1249">
        <v>184.94455097518033</v>
      </c>
      <c r="F13" s="1250">
        <f t="shared" si="0"/>
        <v>5.3231919020559761</v>
      </c>
      <c r="G13" s="1251">
        <f>IFERROR((E13-D13)/D43*100,"-")</f>
        <v>0.18330181103302134</v>
      </c>
      <c r="H13" s="446"/>
      <c r="I13" s="446"/>
      <c r="J13" s="447"/>
      <c r="K13" s="216"/>
      <c r="L13" s="157"/>
      <c r="M13" s="158"/>
      <c r="N13" s="158"/>
      <c r="O13" s="159"/>
      <c r="P13" s="160"/>
      <c r="Q13" s="161"/>
      <c r="R13" s="161"/>
      <c r="S13" s="162"/>
      <c r="T13" s="162"/>
      <c r="U13" s="162"/>
      <c r="V13" s="112"/>
    </row>
    <row r="14" spans="2:22" ht="15" customHeight="1">
      <c r="C14" s="1253" t="str">
        <f>IF(Indice_index!$Z$1=1,"Derrama","Overtax")</f>
        <v>Derrama</v>
      </c>
      <c r="D14" s="1249">
        <v>32.263280363629846</v>
      </c>
      <c r="E14" s="1249">
        <v>32.872242761385507</v>
      </c>
      <c r="F14" s="1250">
        <f t="shared" si="0"/>
        <v>1.8874782442833682</v>
      </c>
      <c r="G14" s="1251">
        <f>IFERROR((E14-D14)/D43*100,"-")</f>
        <v>1.1941739184332445E-2</v>
      </c>
      <c r="H14" s="446"/>
      <c r="I14" s="446"/>
      <c r="J14" s="447"/>
      <c r="K14" s="216"/>
      <c r="L14" s="157"/>
      <c r="M14" s="158"/>
      <c r="N14" s="158"/>
      <c r="O14" s="159"/>
      <c r="P14" s="160"/>
      <c r="Q14" s="161"/>
      <c r="R14" s="161"/>
      <c r="S14" s="162"/>
      <c r="T14" s="162"/>
      <c r="U14" s="162"/>
      <c r="V14" s="112"/>
    </row>
    <row r="15" spans="2:22" ht="15" customHeight="1">
      <c r="C15" s="1253" t="str">
        <f>IF(Indice_index!$Z$1=1,"Outros ","Others")</f>
        <v xml:space="preserve">Outros </v>
      </c>
      <c r="D15" s="1249">
        <v>0.50629855999999995</v>
      </c>
      <c r="E15" s="1249">
        <v>0.19846088680662477</v>
      </c>
      <c r="F15" s="1250">
        <f t="shared" si="0"/>
        <v>-60.801609468013339</v>
      </c>
      <c r="G15" s="1251">
        <f>IFERROR((E15-D15)/D43*100,"-")</f>
        <v>-6.0366899794395031E-3</v>
      </c>
      <c r="H15" s="446"/>
      <c r="I15" s="446"/>
      <c r="J15" s="447"/>
      <c r="K15" s="216"/>
      <c r="L15" s="157"/>
      <c r="M15" s="158"/>
      <c r="N15" s="158"/>
      <c r="O15" s="159"/>
      <c r="P15" s="160"/>
      <c r="Q15" s="161"/>
      <c r="R15" s="161"/>
      <c r="S15" s="162"/>
      <c r="T15" s="162"/>
      <c r="U15" s="162"/>
      <c r="V15" s="112"/>
    </row>
    <row r="16" spans="2:22" ht="15" customHeight="1">
      <c r="C16" s="1252" t="str">
        <f>IF(Indice_index!$Z$1=1,"Impostos indiretos","Indirect taxes")</f>
        <v>Impostos indiretos</v>
      </c>
      <c r="D16" s="1249">
        <v>23.58305562994893</v>
      </c>
      <c r="E16" s="1249">
        <v>8.0521405619869562</v>
      </c>
      <c r="F16" s="1250">
        <f t="shared" si="0"/>
        <v>-65.856245737039828</v>
      </c>
      <c r="G16" s="1251">
        <f>IFERROR((E16-D16)/D43*100,"-")</f>
        <v>-0.30456090182112805</v>
      </c>
      <c r="H16" s="446"/>
      <c r="I16" s="446"/>
      <c r="J16" s="447"/>
      <c r="K16" s="216"/>
      <c r="L16" s="157"/>
      <c r="M16" s="158"/>
      <c r="N16" s="158"/>
      <c r="O16" s="159"/>
      <c r="P16" s="160"/>
      <c r="Q16" s="161"/>
      <c r="R16" s="161"/>
      <c r="S16" s="162"/>
      <c r="T16" s="162"/>
      <c r="U16" s="162"/>
      <c r="V16" s="112"/>
    </row>
    <row r="17" spans="3:22" ht="15" customHeight="1">
      <c r="C17" s="1248" t="str">
        <f>IF(Indice_index!$Z$1=1,"Taxas, Multas e Outras Penalidades","Taxes, fines and other penalties")</f>
        <v>Taxas, Multas e Outras Penalidades</v>
      </c>
      <c r="D17" s="1249">
        <v>190.34389783645159</v>
      </c>
      <c r="E17" s="1249">
        <v>231.34123393814869</v>
      </c>
      <c r="F17" s="1250">
        <f t="shared" si="0"/>
        <v>21.538560766956174</v>
      </c>
      <c r="G17" s="1251">
        <f>IFERROR((E17-D17)/D43*100,"-")</f>
        <v>0.80395685642206294</v>
      </c>
      <c r="H17" s="446"/>
      <c r="I17" s="446"/>
      <c r="J17" s="447"/>
      <c r="K17" s="216"/>
      <c r="L17" s="157"/>
      <c r="M17" s="158"/>
      <c r="N17" s="158"/>
      <c r="O17" s="159"/>
      <c r="P17" s="160"/>
      <c r="Q17" s="161"/>
      <c r="R17" s="161"/>
      <c r="S17" s="162"/>
      <c r="T17" s="162"/>
      <c r="U17" s="162"/>
      <c r="V17" s="112"/>
    </row>
    <row r="18" spans="3:22" ht="15" customHeight="1">
      <c r="C18" s="1248" t="str">
        <f>IF(Indice_index!$Z$1=1,"Transferências Correntes","Current transfers")</f>
        <v>Transferências Correntes</v>
      </c>
      <c r="D18" s="1249">
        <v>1947.7589482434232</v>
      </c>
      <c r="E18" s="1249">
        <v>2179.1882200696036</v>
      </c>
      <c r="F18" s="1250">
        <f t="shared" si="0"/>
        <v>11.881823057976129</v>
      </c>
      <c r="G18" s="1251">
        <f>IFERROR((E18-D18)/D43*100,"-")</f>
        <v>4.5383229144422659</v>
      </c>
      <c r="H18" s="446"/>
      <c r="I18" s="446"/>
      <c r="J18" s="447"/>
      <c r="K18" s="216"/>
      <c r="L18" s="157"/>
      <c r="M18" s="158"/>
      <c r="N18" s="158"/>
      <c r="O18" s="159"/>
      <c r="P18" s="160"/>
      <c r="Q18" s="161"/>
      <c r="R18" s="161"/>
      <c r="S18" s="162"/>
      <c r="T18" s="162"/>
      <c r="U18" s="162"/>
      <c r="V18" s="112"/>
    </row>
    <row r="19" spans="3:22" ht="15" customHeight="1">
      <c r="C19" s="1254" t="str">
        <f>IF(Indice_index!$Z$1=1,"Administração Central","Central Administration")</f>
        <v>Administração Central</v>
      </c>
      <c r="D19" s="1249">
        <v>1895.2123942823937</v>
      </c>
      <c r="E19" s="1249">
        <v>2078.9149496210762</v>
      </c>
      <c r="F19" s="1250">
        <f t="shared" si="0"/>
        <v>9.6929798418841564</v>
      </c>
      <c r="G19" s="1251">
        <f>IFERROR((E19-D19)/D43*100,"-")</f>
        <v>3.60240305712628</v>
      </c>
      <c r="H19" s="446"/>
      <c r="I19" s="446"/>
      <c r="J19" s="447"/>
      <c r="K19" s="216"/>
      <c r="L19" s="157"/>
      <c r="M19" s="158"/>
      <c r="N19" s="158"/>
      <c r="O19" s="159"/>
      <c r="P19" s="160"/>
      <c r="Q19" s="161"/>
      <c r="R19" s="161"/>
      <c r="S19" s="162"/>
      <c r="T19" s="162"/>
      <c r="U19" s="162"/>
      <c r="V19" s="112"/>
    </row>
    <row r="20" spans="3:22" ht="15" customHeight="1">
      <c r="C20" s="1255" t="str">
        <f>IF(Indice_index!$Z$1=1,"das quais:","of which:")</f>
        <v>das quais:</v>
      </c>
      <c r="D20" s="1249"/>
      <c r="E20" s="1249"/>
      <c r="F20" s="1250"/>
      <c r="G20" s="1251"/>
      <c r="H20" s="446"/>
      <c r="I20" s="446"/>
      <c r="J20" s="447"/>
      <c r="K20" s="216"/>
      <c r="L20" s="157"/>
      <c r="M20" s="158"/>
      <c r="N20" s="158"/>
      <c r="O20" s="159"/>
      <c r="P20" s="160"/>
      <c r="Q20" s="161"/>
      <c r="R20" s="161"/>
      <c r="S20" s="162"/>
      <c r="T20" s="162"/>
      <c r="U20" s="162"/>
      <c r="V20" s="112"/>
    </row>
    <row r="21" spans="3:22" ht="15" customHeight="1">
      <c r="C21" s="1256" t="str">
        <f>IF(Indice_index!$Z$1=1,"Transferências do OE","State Budget transfers")</f>
        <v>Transferências do OE</v>
      </c>
      <c r="D21" s="1249">
        <v>1559.1327026399999</v>
      </c>
      <c r="E21" s="1249">
        <v>1591.2475745099998</v>
      </c>
      <c r="F21" s="1250">
        <f t="shared" ref="F21:F33" si="1">IFERROR(IF(ABS((E21-D21)/D21)*100&gt;500,"n.r.",((E21-D21)/D21)*100),0)</f>
        <v>2.0597907936650559</v>
      </c>
      <c r="G21" s="1251">
        <f>IFERROR((E21-D21)/D43*100,"-")</f>
        <v>0.62977192881402022</v>
      </c>
      <c r="H21" s="446"/>
      <c r="I21" s="446"/>
      <c r="J21" s="447"/>
      <c r="K21" s="216"/>
      <c r="L21" s="157"/>
      <c r="M21" s="158"/>
      <c r="N21" s="158"/>
      <c r="O21" s="159"/>
      <c r="P21" s="160"/>
      <c r="Q21" s="161"/>
      <c r="R21" s="161"/>
      <c r="S21" s="162"/>
      <c r="T21" s="162"/>
      <c r="U21" s="162"/>
      <c r="V21" s="112"/>
    </row>
    <row r="22" spans="3:22" ht="15" customHeight="1">
      <c r="C22" s="1257" t="str">
        <f>IF(Indice_index!$Z$1=1,"Fundo de Equilíbrio Financeiro","Financial Balance Fund")</f>
        <v>Fundo de Equilíbrio Financeiro</v>
      </c>
      <c r="D22" s="1249">
        <v>1136.709754</v>
      </c>
      <c r="E22" s="1249">
        <v>1142.7148139999999</v>
      </c>
      <c r="F22" s="1250">
        <f t="shared" si="1"/>
        <v>0.52828437328601985</v>
      </c>
      <c r="G22" s="1251">
        <f>IFERROR((E22-D22)/D43*100,"-")</f>
        <v>0.11775909410918996</v>
      </c>
      <c r="H22" s="446"/>
      <c r="I22" s="446"/>
      <c r="J22" s="447"/>
      <c r="K22" s="216"/>
      <c r="L22" s="157"/>
      <c r="M22" s="158"/>
      <c r="N22" s="158"/>
      <c r="O22" s="159"/>
      <c r="P22" s="160"/>
      <c r="Q22" s="161"/>
      <c r="R22" s="161"/>
      <c r="S22" s="162"/>
      <c r="T22" s="162"/>
      <c r="U22" s="162"/>
      <c r="V22" s="112"/>
    </row>
    <row r="23" spans="3:22" ht="15" customHeight="1">
      <c r="C23" s="1257" t="str">
        <f>IF(Indice_index!$Z$1=1,"Fundo Social Municipal","Municipal Social Fund")</f>
        <v>Fundo Social Municipal</v>
      </c>
      <c r="D23" s="1249">
        <v>95.701784000000004</v>
      </c>
      <c r="E23" s="1249">
        <v>122.48865000000001</v>
      </c>
      <c r="F23" s="1250">
        <f t="shared" si="1"/>
        <v>27.989933813564022</v>
      </c>
      <c r="G23" s="1251">
        <f>IFERROR((E23-D23)/D43*100,"-")</f>
        <v>0.52528985125615446</v>
      </c>
      <c r="H23" s="446"/>
      <c r="I23" s="446"/>
      <c r="J23" s="447"/>
      <c r="K23" s="216"/>
      <c r="L23" s="157"/>
      <c r="M23" s="158"/>
      <c r="N23" s="158"/>
      <c r="O23" s="159"/>
      <c r="P23" s="160"/>
      <c r="Q23" s="161"/>
      <c r="R23" s="161"/>
      <c r="S23" s="162"/>
      <c r="T23" s="162"/>
      <c r="U23" s="162"/>
      <c r="V23" s="112"/>
    </row>
    <row r="24" spans="3:22" ht="15" customHeight="1">
      <c r="C24" s="1257" t="str">
        <f>IF(Indice_index!$Z$1=1,"Participação IRS","Personal income tax (IRS) participation")</f>
        <v>Participação IRS</v>
      </c>
      <c r="D24" s="1249">
        <v>291.92359299999998</v>
      </c>
      <c r="E24" s="1249">
        <v>294.98003650999999</v>
      </c>
      <c r="F24" s="1250">
        <f t="shared" si="1"/>
        <v>1.0470011959602075</v>
      </c>
      <c r="G24" s="1251">
        <f>IFERROR((E24-D24)/D43*100,"-")</f>
        <v>5.993678979619127E-2</v>
      </c>
      <c r="H24" s="446"/>
      <c r="I24" s="446"/>
      <c r="J24" s="447"/>
      <c r="K24" s="216"/>
      <c r="L24" s="157"/>
      <c r="M24" s="158"/>
      <c r="N24" s="158"/>
      <c r="O24" s="159"/>
      <c r="P24" s="160"/>
      <c r="Q24" s="161"/>
      <c r="R24" s="161"/>
      <c r="S24" s="162"/>
      <c r="T24" s="162"/>
      <c r="U24" s="163"/>
      <c r="V24" s="112"/>
    </row>
    <row r="25" spans="3:22" ht="15" customHeight="1">
      <c r="C25" s="1257" t="str">
        <f>IF(Indice_index!$Z$1=1,"Participação no IVA","Value-added tax (IVA) participation")</f>
        <v>Participação no IVA</v>
      </c>
      <c r="D25" s="1249">
        <v>34.797571640000001</v>
      </c>
      <c r="E25" s="1249">
        <v>31.064074000000002</v>
      </c>
      <c r="F25" s="1250">
        <f t="shared" ref="F25" si="2">IFERROR(IF(ABS((E25-D25)/D25)*100&gt;500,"n.r.",((E25-D25)/D25)*100),0)</f>
        <v>-10.729190182076739</v>
      </c>
      <c r="G25" s="1251">
        <f>IFERROR((E25-D25)/D43*100,"-")</f>
        <v>-7.3213806347513871E-2</v>
      </c>
      <c r="H25" s="446"/>
      <c r="I25" s="446"/>
      <c r="J25" s="447"/>
      <c r="K25" s="216"/>
      <c r="L25" s="157"/>
      <c r="M25" s="158"/>
      <c r="N25" s="158"/>
      <c r="O25" s="159"/>
      <c r="P25" s="160"/>
      <c r="Q25" s="161"/>
      <c r="R25" s="161"/>
      <c r="S25" s="162"/>
      <c r="T25" s="162"/>
      <c r="U25" s="163"/>
      <c r="V25" s="112"/>
    </row>
    <row r="26" spans="3:22" ht="15" customHeight="1">
      <c r="C26" s="1252" t="str">
        <f>IF(Indice_index!$Z$1=1,"Outros subsectores das AP","Other General Government subsectors")</f>
        <v>Outros subsectores das AP</v>
      </c>
      <c r="D26" s="1249">
        <v>1.5280512500004022</v>
      </c>
      <c r="E26" s="1249">
        <v>5.0514834700004023</v>
      </c>
      <c r="F26" s="1250">
        <f t="shared" si="1"/>
        <v>230.58337997492379</v>
      </c>
      <c r="G26" s="1251">
        <f>IFERROR((E26-D26)/D43*100,"-")</f>
        <v>6.9094428096028185E-2</v>
      </c>
      <c r="H26" s="446"/>
      <c r="I26" s="446"/>
      <c r="J26" s="447"/>
      <c r="K26" s="216"/>
      <c r="L26" s="157"/>
      <c r="M26" s="158"/>
      <c r="N26" s="158"/>
      <c r="O26" s="159"/>
      <c r="P26" s="160"/>
      <c r="Q26" s="161"/>
      <c r="R26" s="161"/>
      <c r="S26" s="162"/>
      <c r="T26" s="162"/>
      <c r="U26" s="162"/>
      <c r="V26" s="112"/>
    </row>
    <row r="27" spans="3:22" ht="15" customHeight="1">
      <c r="C27" s="1252" t="str">
        <f>IF(Indice_index!$Z$1=1,"União Europeia","European Union")</f>
        <v>União Europeia</v>
      </c>
      <c r="D27" s="1249">
        <v>39.374799307224805</v>
      </c>
      <c r="E27" s="1249">
        <v>81.483725895890501</v>
      </c>
      <c r="F27" s="1250">
        <f t="shared" si="1"/>
        <v>106.94385071047006</v>
      </c>
      <c r="G27" s="1251">
        <f>IFERROR((E27-D27)/D43*100,"-")</f>
        <v>0.8257551213462796</v>
      </c>
      <c r="H27" s="446"/>
      <c r="I27" s="446"/>
      <c r="J27" s="447"/>
      <c r="K27" s="216"/>
      <c r="L27" s="157"/>
      <c r="M27" s="158"/>
      <c r="N27" s="158"/>
      <c r="O27" s="159"/>
      <c r="P27" s="160"/>
      <c r="Q27" s="161"/>
      <c r="R27" s="161"/>
      <c r="S27" s="162"/>
      <c r="T27" s="162"/>
      <c r="U27" s="162"/>
      <c r="V27" s="112"/>
    </row>
    <row r="28" spans="3:22" ht="15" customHeight="1">
      <c r="C28" s="1252" t="str">
        <f>IF(Indice_index!$Z$1=1,"Outras transferências","Other transfers")</f>
        <v>Outras transferências</v>
      </c>
      <c r="D28" s="1249">
        <v>11.643703403804473</v>
      </c>
      <c r="E28" s="1249">
        <v>13.738061082636818</v>
      </c>
      <c r="F28" s="1250">
        <f t="shared" si="1"/>
        <v>17.987040773883276</v>
      </c>
      <c r="G28" s="1251">
        <f>IFERROR((E28-D28)/D43*100,"-")</f>
        <v>4.1070307873680614E-2</v>
      </c>
      <c r="H28" s="446"/>
      <c r="I28" s="446"/>
      <c r="J28" s="447"/>
      <c r="K28" s="216"/>
      <c r="L28" s="157"/>
      <c r="M28" s="158"/>
      <c r="N28" s="158"/>
      <c r="O28" s="159"/>
      <c r="P28" s="160"/>
      <c r="Q28" s="161"/>
      <c r="R28" s="161"/>
      <c r="S28" s="162"/>
      <c r="T28" s="162"/>
      <c r="U28" s="162"/>
      <c r="V28" s="112"/>
    </row>
    <row r="29" spans="3:22" ht="15" customHeight="1">
      <c r="C29" s="1248" t="str">
        <f>IF(Indice_index!$Z$1=1,"Outras receitas correntes","Other current revenue")</f>
        <v>Outras receitas correntes</v>
      </c>
      <c r="D29" s="1249">
        <v>632.08231396299027</v>
      </c>
      <c r="E29" s="1249">
        <v>702.24468892104005</v>
      </c>
      <c r="F29" s="1250">
        <f t="shared" si="1"/>
        <v>11.100195877677718</v>
      </c>
      <c r="G29" s="1251">
        <f>IFERROR((E29-D29)/D43*100,"-")</f>
        <v>1.3758826249212022</v>
      </c>
      <c r="H29" s="446"/>
      <c r="I29" s="446"/>
      <c r="J29" s="447"/>
      <c r="K29" s="216"/>
      <c r="L29" s="157"/>
      <c r="M29" s="158"/>
      <c r="N29" s="158"/>
      <c r="O29" s="159"/>
      <c r="P29" s="160"/>
      <c r="Q29" s="161"/>
      <c r="R29" s="161"/>
      <c r="S29" s="162"/>
      <c r="T29" s="162"/>
      <c r="U29" s="162"/>
      <c r="V29" s="112"/>
    </row>
    <row r="30" spans="3:22" s="251" customFormat="1" ht="15" customHeight="1">
      <c r="C30" s="1258" t="str">
        <f>IF(Indice_index!$Z$1=1,"Receita de capital","Capital revenue")</f>
        <v>Receita de capital</v>
      </c>
      <c r="D30" s="1247">
        <v>668.79932842782307</v>
      </c>
      <c r="E30" s="1247">
        <v>512.13251560644346</v>
      </c>
      <c r="F30" s="302">
        <f t="shared" si="1"/>
        <v>-23.42508524786701</v>
      </c>
      <c r="G30" s="160">
        <f>IFERROR((E30-D30)/D43*100,"-")</f>
        <v>-3.0722327428568268</v>
      </c>
      <c r="H30" s="446"/>
      <c r="I30" s="446"/>
      <c r="J30" s="447"/>
      <c r="K30" s="310"/>
      <c r="L30" s="302"/>
      <c r="M30" s="311"/>
      <c r="N30" s="311"/>
      <c r="O30" s="160"/>
      <c r="P30" s="160"/>
      <c r="Q30" s="312"/>
      <c r="R30" s="312"/>
      <c r="S30" s="313"/>
      <c r="T30" s="313"/>
      <c r="U30" s="313"/>
      <c r="V30" s="314"/>
    </row>
    <row r="31" spans="3:22" ht="15" customHeight="1">
      <c r="C31" s="1248" t="str">
        <f>IF(Indice_index!$Z$1=1,"Venda de Bens de Investimento","Sale of investment goods")</f>
        <v>Venda de Bens de Investimento</v>
      </c>
      <c r="D31" s="1249">
        <v>51.546880555280296</v>
      </c>
      <c r="E31" s="1249">
        <v>24.286816332246445</v>
      </c>
      <c r="F31" s="1250">
        <f t="shared" si="1"/>
        <v>-52.884023105528968</v>
      </c>
      <c r="G31" s="1251">
        <f>IFERROR((E31-D31)/D43*100,"-")</f>
        <v>-0.53456925796958366</v>
      </c>
      <c r="H31" s="446"/>
      <c r="I31" s="446"/>
      <c r="J31" s="447"/>
      <c r="K31" s="216"/>
      <c r="L31" s="157"/>
      <c r="M31" s="158"/>
      <c r="N31" s="158"/>
      <c r="O31" s="159"/>
      <c r="P31" s="160"/>
      <c r="Q31" s="161"/>
      <c r="R31" s="161"/>
      <c r="S31" s="162"/>
      <c r="T31" s="162"/>
      <c r="U31" s="162"/>
      <c r="V31" s="112"/>
    </row>
    <row r="32" spans="3:22" ht="15" customHeight="1">
      <c r="C32" s="1248" t="str">
        <f>IF(Indice_index!$Z$1=1,"Transferências de Capital","Capital transfers")</f>
        <v>Transferências de Capital</v>
      </c>
      <c r="D32" s="1249">
        <v>608.83589956155436</v>
      </c>
      <c r="E32" s="1249">
        <v>474.09546370105625</v>
      </c>
      <c r="F32" s="1250">
        <f t="shared" si="1"/>
        <v>-22.130829663219558</v>
      </c>
      <c r="G32" s="1251">
        <f>IFERROR((E32-D32)/D43*100,"-")</f>
        <v>-2.6422569744198694</v>
      </c>
      <c r="H32" s="446"/>
      <c r="I32" s="446"/>
      <c r="J32" s="447"/>
      <c r="K32" s="216"/>
      <c r="L32" s="157"/>
      <c r="M32" s="158"/>
      <c r="N32" s="158"/>
      <c r="O32" s="159"/>
      <c r="P32" s="160"/>
      <c r="Q32" s="161"/>
      <c r="R32" s="161"/>
      <c r="S32" s="162"/>
      <c r="T32" s="162"/>
      <c r="U32" s="162"/>
      <c r="V32" s="112"/>
    </row>
    <row r="33" spans="3:22" ht="15" customHeight="1">
      <c r="C33" s="1254" t="str">
        <f>IF(Indice_index!$Z$1=1,"Administração Central","Central Administration")</f>
        <v>Administração Central</v>
      </c>
      <c r="D33" s="1249">
        <v>240.45248756813183</v>
      </c>
      <c r="E33" s="1249">
        <v>240.04468323544131</v>
      </c>
      <c r="F33" s="1250">
        <f t="shared" si="1"/>
        <v>-0.16959871649278185</v>
      </c>
      <c r="G33" s="1251">
        <f>IFERROR((E33-D33)/D43*100,"-")</f>
        <v>-7.9970339665945689E-3</v>
      </c>
      <c r="H33" s="446"/>
      <c r="I33" s="446"/>
      <c r="J33" s="447"/>
      <c r="K33" s="216"/>
      <c r="L33" s="157"/>
      <c r="M33" s="158"/>
      <c r="N33" s="158"/>
      <c r="O33" s="159"/>
      <c r="P33" s="160"/>
      <c r="Q33" s="161"/>
      <c r="R33" s="161"/>
      <c r="S33" s="162"/>
      <c r="T33" s="162"/>
      <c r="U33" s="162"/>
      <c r="V33" s="112"/>
    </row>
    <row r="34" spans="3:22" ht="15" customHeight="1">
      <c r="C34" s="1255" t="str">
        <f>IF(Indice_index!$Z$1=1,"das quais:","of which:")</f>
        <v>das quais:</v>
      </c>
      <c r="D34" s="1249"/>
      <c r="E34" s="1249"/>
      <c r="F34" s="1250"/>
      <c r="G34" s="1251"/>
      <c r="H34" s="446"/>
      <c r="I34" s="446"/>
      <c r="J34" s="447"/>
      <c r="K34" s="216"/>
      <c r="L34" s="157"/>
      <c r="M34" s="158"/>
      <c r="N34" s="158"/>
      <c r="O34" s="159"/>
      <c r="P34" s="160"/>
      <c r="Q34" s="161"/>
      <c r="R34" s="161"/>
      <c r="S34" s="162"/>
      <c r="T34" s="162"/>
      <c r="U34" s="162"/>
      <c r="V34" s="112"/>
    </row>
    <row r="35" spans="3:22" ht="15" customHeight="1">
      <c r="C35" s="1256" t="str">
        <f>IF(Indice_index!$Z$1=1,"Transferências do OE","State Budget transfers")</f>
        <v>Transferências do OE</v>
      </c>
      <c r="D35" s="1249">
        <v>226.62178458</v>
      </c>
      <c r="E35" s="1249">
        <v>212.63733502000002</v>
      </c>
      <c r="F35" s="1250">
        <f t="shared" ref="F35:F41" si="3">IFERROR(IF(ABS((E35-D35)/D35)*100&gt;500,"n.r.",((E35-D35)/D35)*100),0)</f>
        <v>-6.170831981540287</v>
      </c>
      <c r="G35" s="1251">
        <f>IFERROR((E35-D35)/D43*100,"-")</f>
        <v>-0.27423474732996311</v>
      </c>
      <c r="H35" s="446"/>
      <c r="I35" s="446"/>
      <c r="J35" s="447"/>
      <c r="K35" s="216"/>
      <c r="L35" s="157"/>
      <c r="M35" s="158"/>
      <c r="N35" s="158"/>
      <c r="O35" s="159"/>
      <c r="P35" s="160"/>
      <c r="Q35" s="161"/>
      <c r="R35" s="161"/>
      <c r="S35" s="162"/>
      <c r="T35" s="162"/>
      <c r="U35" s="162"/>
      <c r="V35" s="112"/>
    </row>
    <row r="36" spans="3:22" ht="15" customHeight="1">
      <c r="C36" s="1257" t="str">
        <f>IF(Indice_index!$Z$1=1,"Fundo de Equilíbrio Financeiro","Financial Balance Fund")</f>
        <v>Fundo de Equilíbrio Financeiro</v>
      </c>
      <c r="D36" s="1249">
        <v>129.17479557999999</v>
      </c>
      <c r="E36" s="1249">
        <v>129.39489502000001</v>
      </c>
      <c r="F36" s="1250">
        <f t="shared" si="3"/>
        <v>0.17038884328150658</v>
      </c>
      <c r="G36" s="1251">
        <f>IFERROR((E36-D36)/D43*100,"-")</f>
        <v>4.3161451623034046E-3</v>
      </c>
      <c r="H36" s="446"/>
      <c r="I36" s="446"/>
      <c r="J36" s="447"/>
      <c r="K36" s="216"/>
      <c r="L36" s="157"/>
      <c r="M36" s="158"/>
      <c r="N36" s="158"/>
      <c r="O36" s="159"/>
      <c r="P36" s="160"/>
      <c r="Q36" s="161"/>
      <c r="R36" s="161"/>
      <c r="S36" s="162"/>
      <c r="T36" s="162"/>
      <c r="U36" s="162"/>
      <c r="V36" s="112"/>
    </row>
    <row r="37" spans="3:22" ht="15" customHeight="1">
      <c r="C37" s="1257" t="str">
        <f>IF(Indice_index!$Z$1=1,"Adicional 2018","Additional 2018")</f>
        <v>Adicional 2018</v>
      </c>
      <c r="D37" s="1249">
        <v>97.446989000000002</v>
      </c>
      <c r="E37" s="1249">
        <v>83.242440000000002</v>
      </c>
      <c r="F37" s="1250">
        <f t="shared" si="3"/>
        <v>-14.576693590809667</v>
      </c>
      <c r="G37" s="1251">
        <f>IFERROR((E37-D37)/D43*100,"-")</f>
        <v>-0.27855089249226683</v>
      </c>
      <c r="H37" s="446"/>
      <c r="I37" s="446"/>
      <c r="J37" s="447"/>
      <c r="K37" s="216"/>
      <c r="L37" s="157"/>
      <c r="M37" s="158"/>
      <c r="N37" s="158"/>
      <c r="O37" s="159"/>
      <c r="P37" s="160"/>
      <c r="Q37" s="161"/>
      <c r="R37" s="161"/>
      <c r="S37" s="162"/>
      <c r="T37" s="162"/>
      <c r="U37" s="162"/>
      <c r="V37" s="112"/>
    </row>
    <row r="38" spans="3:22" ht="15" customHeight="1">
      <c r="C38" s="1252" t="str">
        <f>IF(Indice_index!$Z$1=1,"Outros subsectores das AP","Other General Government subsectors")</f>
        <v>Outros subsectores das AP</v>
      </c>
      <c r="D38" s="1249">
        <v>3.5247891800000133</v>
      </c>
      <c r="E38" s="1249">
        <v>3.740611470000013</v>
      </c>
      <c r="F38" s="1250">
        <f t="shared" si="3"/>
        <v>6.1229843539181239</v>
      </c>
      <c r="G38" s="1251">
        <f>IFERROR((E38-D38)/D43*100,"-")</f>
        <v>4.2322703451707451E-3</v>
      </c>
      <c r="H38" s="446"/>
      <c r="I38" s="446"/>
      <c r="J38" s="447"/>
      <c r="K38" s="216"/>
      <c r="L38" s="157"/>
      <c r="M38" s="158"/>
      <c r="N38" s="158"/>
      <c r="O38" s="159"/>
      <c r="P38" s="160"/>
      <c r="Q38" s="161"/>
      <c r="R38" s="161"/>
      <c r="S38" s="162"/>
      <c r="T38" s="162"/>
      <c r="U38" s="162"/>
      <c r="V38" s="112"/>
    </row>
    <row r="39" spans="3:22" ht="15" customHeight="1">
      <c r="C39" s="1252" t="str">
        <f>IF(Indice_index!$Z$1=1,"União Europeia","European Union")</f>
        <v>União Europeia</v>
      </c>
      <c r="D39" s="1249">
        <v>361.28185588342257</v>
      </c>
      <c r="E39" s="1249">
        <v>227.29124296996369</v>
      </c>
      <c r="F39" s="1250">
        <f t="shared" si="3"/>
        <v>-37.087556635198034</v>
      </c>
      <c r="G39" s="1251">
        <f>IFERROR((E39-D39)/D43*100,"-")</f>
        <v>-2.6275529629719201</v>
      </c>
      <c r="H39" s="446"/>
      <c r="I39" s="446"/>
      <c r="J39" s="447"/>
      <c r="K39" s="216"/>
      <c r="L39" s="157"/>
      <c r="M39" s="158"/>
      <c r="N39" s="158"/>
      <c r="O39" s="159"/>
      <c r="P39" s="160"/>
      <c r="Q39" s="161"/>
      <c r="R39" s="161"/>
      <c r="S39" s="162"/>
      <c r="T39" s="162"/>
      <c r="U39" s="162"/>
      <c r="V39" s="112"/>
    </row>
    <row r="40" spans="3:22" ht="15" customHeight="1">
      <c r="C40" s="1252" t="str">
        <f>IF(Indice_index!$Z$1=1,"Outras transferências","Other transfers")</f>
        <v>Outras transferências</v>
      </c>
      <c r="D40" s="1249">
        <v>3.5767669299999993</v>
      </c>
      <c r="E40" s="1249">
        <v>3.0189260256512283</v>
      </c>
      <c r="F40" s="1250">
        <f t="shared" si="3"/>
        <v>-15.596233002209377</v>
      </c>
      <c r="G40" s="1251">
        <f>IFERROR((E40-D40)/D43*100,"-")</f>
        <v>-1.0939247826526801E-2</v>
      </c>
      <c r="H40" s="446"/>
      <c r="I40" s="446"/>
      <c r="J40" s="447"/>
      <c r="K40" s="216"/>
      <c r="L40" s="157"/>
      <c r="M40" s="158"/>
      <c r="N40" s="158"/>
      <c r="O40" s="159"/>
      <c r="P40" s="160"/>
      <c r="Q40" s="161"/>
      <c r="R40" s="161"/>
      <c r="S40" s="162"/>
      <c r="T40" s="162"/>
      <c r="U40" s="162"/>
      <c r="V40" s="112"/>
    </row>
    <row r="41" spans="3:22" ht="15" customHeight="1">
      <c r="C41" s="1248" t="str">
        <f>IF(Indice_index!$Z$1=1,"Outras receitas de capital","Other capital revenue")</f>
        <v>Outras receitas de capital</v>
      </c>
      <c r="D41" s="1249">
        <v>8.4165483109884462</v>
      </c>
      <c r="E41" s="1249">
        <v>13.750235573140785</v>
      </c>
      <c r="F41" s="1250">
        <f t="shared" si="3"/>
        <v>63.371432861483171</v>
      </c>
      <c r="G41" s="1251">
        <f>IFERROR((E41-D41)/D43*100,"-")</f>
        <v>0.10459348953262571</v>
      </c>
      <c r="H41" s="446"/>
      <c r="I41" s="446"/>
      <c r="J41" s="447"/>
      <c r="K41" s="216"/>
      <c r="L41" s="157"/>
      <c r="M41" s="158"/>
      <c r="N41" s="158"/>
      <c r="O41" s="159"/>
      <c r="P41" s="160"/>
      <c r="Q41" s="161"/>
      <c r="R41" s="161"/>
      <c r="S41" s="162"/>
      <c r="T41" s="162"/>
      <c r="U41" s="162"/>
      <c r="V41" s="112"/>
    </row>
    <row r="42" spans="3:22" ht="4.5" customHeight="1">
      <c r="C42" s="1248"/>
      <c r="D42" s="1249"/>
      <c r="E42" s="1249"/>
      <c r="F42" s="1259"/>
      <c r="G42" s="1260"/>
      <c r="H42" s="446"/>
      <c r="I42" s="446"/>
      <c r="J42" s="447"/>
      <c r="K42" s="216"/>
      <c r="L42" s="157"/>
      <c r="M42" s="158"/>
      <c r="N42" s="158"/>
      <c r="O42" s="159"/>
      <c r="P42" s="160"/>
      <c r="Q42" s="161"/>
      <c r="R42" s="161"/>
      <c r="S42" s="162"/>
      <c r="T42" s="162"/>
      <c r="U42" s="162"/>
      <c r="V42" s="112"/>
    </row>
    <row r="43" spans="3:22" s="251" customFormat="1" ht="15" customHeight="1">
      <c r="C43" s="1258" t="str">
        <f>IF(Indice_index!$Z$1=1,"Receita Efetiva","Effective revenue")</f>
        <v>Receita Efetiva</v>
      </c>
      <c r="D43" s="1247">
        <v>5099.4447990843719</v>
      </c>
      <c r="E43" s="1247">
        <v>5633.3824774721015</v>
      </c>
      <c r="F43" s="302">
        <f>IFERROR(IF(ABS((E43-D43)/D43)*100&gt;500,"n.r.",((E43-D43)/D43)*100),0)</f>
        <v>10.470506092812311</v>
      </c>
      <c r="G43" s="1261">
        <f>IFERROR((E43-D43)/D43*100,"-")</f>
        <v>10.470506092812311</v>
      </c>
      <c r="H43" s="446"/>
      <c r="I43" s="446"/>
      <c r="J43" s="447"/>
      <c r="K43" s="310"/>
      <c r="L43" s="302"/>
      <c r="M43" s="311"/>
      <c r="N43" s="311"/>
      <c r="O43" s="160"/>
      <c r="P43" s="160"/>
      <c r="Q43" s="312"/>
      <c r="R43" s="312"/>
      <c r="S43" s="313"/>
      <c r="T43" s="313"/>
      <c r="U43" s="313"/>
      <c r="V43" s="314"/>
    </row>
    <row r="44" spans="3:22" ht="4.5" customHeight="1">
      <c r="C44" s="1064"/>
      <c r="D44" s="1249"/>
      <c r="E44" s="1249"/>
      <c r="F44" s="1250"/>
      <c r="G44" s="1260"/>
      <c r="H44" s="446"/>
      <c r="I44" s="446"/>
      <c r="J44" s="447"/>
      <c r="K44" s="216"/>
      <c r="L44" s="157"/>
      <c r="M44" s="158"/>
      <c r="N44" s="158"/>
      <c r="O44" s="159"/>
      <c r="P44" s="160"/>
      <c r="Q44" s="161"/>
      <c r="R44" s="161"/>
      <c r="S44" s="162"/>
      <c r="T44" s="162"/>
      <c r="U44" s="162"/>
      <c r="V44" s="112"/>
    </row>
    <row r="45" spans="3:22" s="251" customFormat="1" ht="15" customHeight="1">
      <c r="C45" s="1262" t="str">
        <f>IF(Indice_index!$Z$1=1,"Despesa Corrente","Current expenditure")</f>
        <v>Despesa Corrente</v>
      </c>
      <c r="D45" s="1247">
        <v>3622.6093126688061</v>
      </c>
      <c r="E45" s="1247">
        <v>3972.5534147622202</v>
      </c>
      <c r="F45" s="302">
        <f t="shared" ref="F45:F62" si="4">IFERROR(IF(ABS((E45-D45)/D45)*100&gt;500,"n.r.",((E45-D45)/D45)*100),0)</f>
        <v>9.6600011729006301</v>
      </c>
      <c r="G45" s="1261">
        <f>IFERROR((E45-D45)/D64*100,"-")</f>
        <v>7.0575500622761451</v>
      </c>
      <c r="H45" s="446"/>
      <c r="I45" s="446"/>
      <c r="J45" s="447"/>
      <c r="K45" s="310"/>
      <c r="L45" s="302"/>
      <c r="M45" s="311"/>
      <c r="N45" s="311"/>
      <c r="O45" s="160"/>
      <c r="P45" s="160"/>
      <c r="Q45" s="312"/>
      <c r="R45" s="312"/>
      <c r="S45" s="313"/>
      <c r="T45" s="313"/>
      <c r="U45" s="313"/>
      <c r="V45" s="314"/>
    </row>
    <row r="46" spans="3:22" ht="15" customHeight="1">
      <c r="C46" s="1248" t="str">
        <f>IF(Indice_index!$Z$1=1,"Despesas com o pessoal","Employees")</f>
        <v>Despesas com o pessoal</v>
      </c>
      <c r="D46" s="1249">
        <v>1655.9323380388339</v>
      </c>
      <c r="E46" s="1249">
        <v>1820.6974331398023</v>
      </c>
      <c r="F46" s="1250">
        <f t="shared" si="4"/>
        <v>9.9499895808607892</v>
      </c>
      <c r="G46" s="1260">
        <f>IFERROR((E46-D46)/D64*100,"-")</f>
        <v>3.3229247192180615</v>
      </c>
      <c r="H46" s="446"/>
      <c r="I46" s="446"/>
      <c r="J46" s="447"/>
      <c r="K46" s="216"/>
      <c r="L46" s="157"/>
      <c r="M46" s="158"/>
      <c r="N46" s="158"/>
      <c r="O46" s="159"/>
      <c r="P46" s="160"/>
      <c r="Q46" s="161"/>
      <c r="R46" s="161"/>
      <c r="S46" s="162"/>
      <c r="T46" s="162"/>
      <c r="U46" s="162"/>
      <c r="V46" s="112"/>
    </row>
    <row r="47" spans="3:22" ht="15" customHeight="1">
      <c r="C47" s="758" t="str">
        <f>IF(Indice_index!$Z$1=1,"Remunerações Certas e Permanentes","Certain and permanent wages")</f>
        <v>Remunerações Certas e Permanentes</v>
      </c>
      <c r="D47" s="1249">
        <v>1233.8803076821746</v>
      </c>
      <c r="E47" s="1249">
        <v>1356.6251771723521</v>
      </c>
      <c r="F47" s="1250">
        <f t="shared" si="4"/>
        <v>9.9478749053667848</v>
      </c>
      <c r="G47" s="1260">
        <f>IFERROR((E47-D47)/D64*100,"-")</f>
        <v>2.4754755291839015</v>
      </c>
      <c r="H47" s="446"/>
      <c r="I47" s="446"/>
      <c r="J47" s="447"/>
      <c r="K47" s="216"/>
      <c r="L47" s="157"/>
      <c r="M47" s="158"/>
      <c r="N47" s="158"/>
      <c r="O47" s="159"/>
      <c r="P47" s="160"/>
      <c r="Q47" s="161"/>
      <c r="R47" s="161"/>
      <c r="S47" s="162"/>
      <c r="T47" s="162"/>
      <c r="U47" s="162"/>
      <c r="V47" s="112"/>
    </row>
    <row r="48" spans="3:22" ht="15" customHeight="1">
      <c r="C48" s="758" t="str">
        <f>IF(Indice_index!$Z$1=1,"Abonos Variáveis ou Eventuais","Variable or contingent bonuses")</f>
        <v>Abonos Variáveis ou Eventuais</v>
      </c>
      <c r="D48" s="1249">
        <v>66.166736297628177</v>
      </c>
      <c r="E48" s="1249">
        <v>81.516334540036837</v>
      </c>
      <c r="F48" s="1250">
        <f t="shared" si="4"/>
        <v>23.19836084005081</v>
      </c>
      <c r="G48" s="1260">
        <f>IFERROR((E48-D48)/D64*100,"-")</f>
        <v>0.30956532024279487</v>
      </c>
      <c r="H48" s="446"/>
      <c r="I48" s="446"/>
      <c r="J48" s="447"/>
      <c r="K48" s="216"/>
      <c r="L48" s="157"/>
      <c r="M48" s="158"/>
      <c r="N48" s="158"/>
      <c r="O48" s="159"/>
      <c r="P48" s="160"/>
      <c r="Q48" s="161"/>
      <c r="R48" s="161"/>
      <c r="S48" s="162"/>
      <c r="T48" s="162"/>
      <c r="U48" s="162"/>
      <c r="V48" s="112"/>
    </row>
    <row r="49" spans="3:22" ht="15" customHeight="1">
      <c r="C49" s="758" t="str">
        <f>IF(Indice_index!$Z$1=1,"Segurança social","Social security")</f>
        <v>Segurança social</v>
      </c>
      <c r="D49" s="1249">
        <v>355.88529405903114</v>
      </c>
      <c r="E49" s="1249">
        <v>382.55592142741352</v>
      </c>
      <c r="F49" s="1250">
        <f t="shared" si="4"/>
        <v>7.4941639381026217</v>
      </c>
      <c r="G49" s="1260">
        <f>IFERROR((E49-D49)/D64*100,"-")</f>
        <v>0.53788386979136737</v>
      </c>
      <c r="H49" s="446"/>
      <c r="I49" s="446"/>
      <c r="J49" s="447"/>
      <c r="K49" s="216"/>
      <c r="L49" s="157"/>
      <c r="M49" s="158"/>
      <c r="N49" s="158"/>
      <c r="O49" s="159"/>
      <c r="P49" s="160"/>
      <c r="Q49" s="161"/>
      <c r="R49" s="161"/>
      <c r="S49" s="162"/>
      <c r="T49" s="162"/>
      <c r="U49" s="162"/>
      <c r="V49" s="112"/>
    </row>
    <row r="50" spans="3:22" ht="15" customHeight="1">
      <c r="C50" s="1248" t="str">
        <f>IF(Indice_index!$Z$1=1,"Aquisição de bens e serviços","Purchase of goods and services")</f>
        <v>Aquisição de bens e serviços</v>
      </c>
      <c r="D50" s="1249">
        <v>1213.9053346082655</v>
      </c>
      <c r="E50" s="1249">
        <v>1356.7213690234075</v>
      </c>
      <c r="F50" s="1250">
        <f t="shared" si="4"/>
        <v>11.765005914668755</v>
      </c>
      <c r="G50" s="1260">
        <f>IFERROR((E50-D50)/D64*100,"-")</f>
        <v>2.880263752270813</v>
      </c>
      <c r="H50" s="446"/>
      <c r="I50" s="446"/>
      <c r="J50" s="447"/>
      <c r="K50" s="216"/>
      <c r="L50" s="157"/>
      <c r="M50" s="158"/>
      <c r="N50" s="158"/>
      <c r="O50" s="159"/>
      <c r="P50" s="160"/>
      <c r="Q50" s="161"/>
      <c r="R50" s="161"/>
      <c r="S50" s="162"/>
      <c r="T50" s="162"/>
      <c r="U50" s="162"/>
      <c r="V50" s="112"/>
    </row>
    <row r="51" spans="3:22" ht="15" customHeight="1">
      <c r="C51" s="1248" t="str">
        <f>IF(Indice_index!$Z$1=1,"Juros e outros encargos","Interests and other charges")</f>
        <v>Juros e outros encargos</v>
      </c>
      <c r="D51" s="1249">
        <v>19.345537520682697</v>
      </c>
      <c r="E51" s="1249">
        <v>16.344657991987788</v>
      </c>
      <c r="F51" s="1250">
        <f t="shared" si="4"/>
        <v>-15.511998699889364</v>
      </c>
      <c r="G51" s="1260">
        <f>IFERROR((E51-D51)/D64*100,"-")</f>
        <v>-6.0520687098108254E-2</v>
      </c>
      <c r="H51" s="446"/>
      <c r="I51" s="446"/>
      <c r="J51" s="447"/>
      <c r="K51" s="216"/>
      <c r="L51" s="157"/>
      <c r="M51" s="158"/>
      <c r="N51" s="158"/>
      <c r="O51" s="159"/>
      <c r="P51" s="160"/>
      <c r="Q51" s="161"/>
      <c r="R51" s="161"/>
      <c r="S51" s="162"/>
      <c r="T51" s="162"/>
      <c r="U51" s="162"/>
      <c r="V51" s="112"/>
    </row>
    <row r="52" spans="3:22" ht="15" customHeight="1">
      <c r="C52" s="1248" t="str">
        <f>IF(Indice_index!$Z$1=1,"Transferências correntes","Current transfers")</f>
        <v>Transferências correntes</v>
      </c>
      <c r="D52" s="1249">
        <v>560.7479473875502</v>
      </c>
      <c r="E52" s="1249">
        <v>569.10157192037934</v>
      </c>
      <c r="F52" s="1250">
        <f t="shared" si="4"/>
        <v>1.4897289542917751</v>
      </c>
      <c r="G52" s="1260">
        <f>IFERROR((E52-D52)/D64*100,"-")</f>
        <v>0.16847297322405538</v>
      </c>
      <c r="H52" s="446"/>
      <c r="I52" s="446"/>
      <c r="J52" s="447"/>
      <c r="K52" s="216"/>
      <c r="L52" s="157"/>
      <c r="M52" s="158"/>
      <c r="N52" s="158"/>
      <c r="O52" s="159"/>
      <c r="P52" s="160"/>
      <c r="Q52" s="161"/>
      <c r="R52" s="161"/>
      <c r="S52" s="162"/>
      <c r="T52" s="162"/>
      <c r="U52" s="162"/>
      <c r="V52" s="112"/>
    </row>
    <row r="53" spans="3:22" ht="15" customHeight="1">
      <c r="C53" s="1252" t="str">
        <f>IF(Indice_index!$Z$1=1,"Subsectores das AP","General Government subsectors")</f>
        <v>Subsectores das AP</v>
      </c>
      <c r="D53" s="1249">
        <v>240.19539431994536</v>
      </c>
      <c r="E53" s="1249">
        <v>255.26751311994539</v>
      </c>
      <c r="F53" s="1250">
        <f t="shared" si="4"/>
        <v>6.2749408008729937</v>
      </c>
      <c r="G53" s="1260">
        <f>IFERROR((E53-D53)/D64*100,"-")</f>
        <v>0.30396921205198257</v>
      </c>
      <c r="H53" s="446"/>
      <c r="I53" s="446"/>
      <c r="J53" s="447"/>
      <c r="K53" s="216"/>
      <c r="L53" s="157"/>
      <c r="M53" s="158"/>
      <c r="N53" s="158"/>
      <c r="O53" s="159"/>
      <c r="P53" s="160"/>
      <c r="Q53" s="161"/>
      <c r="R53" s="161"/>
      <c r="S53" s="162"/>
      <c r="T53" s="162"/>
      <c r="U53" s="162"/>
      <c r="V53" s="112"/>
    </row>
    <row r="54" spans="3:22" ht="15" customHeight="1">
      <c r="C54" s="1252" t="str">
        <f>IF(Indice_index!$Z$1=1,"Outras transferências","Other transfers")</f>
        <v>Outras transferências</v>
      </c>
      <c r="D54" s="1249">
        <v>320.55255306760483</v>
      </c>
      <c r="E54" s="1249">
        <v>313.83405880043398</v>
      </c>
      <c r="F54" s="1250">
        <f t="shared" si="4"/>
        <v>-2.0959103906291201</v>
      </c>
      <c r="G54" s="1260">
        <f>IFERROR((E54-D54)/D64*100,"-")</f>
        <v>-0.13549623882792666</v>
      </c>
      <c r="H54" s="446"/>
      <c r="I54" s="446"/>
      <c r="J54" s="447"/>
      <c r="K54" s="216"/>
      <c r="L54" s="157"/>
      <c r="M54" s="158"/>
      <c r="N54" s="158"/>
      <c r="O54" s="159"/>
      <c r="P54" s="160"/>
      <c r="Q54" s="161"/>
      <c r="R54" s="161"/>
      <c r="S54" s="162"/>
      <c r="T54" s="162"/>
      <c r="U54" s="162"/>
      <c r="V54" s="112"/>
    </row>
    <row r="55" spans="3:22" ht="15" customHeight="1">
      <c r="C55" s="1248" t="str">
        <f>IF(Indice_index!$Z$1=1,"Subsídios","Subsidies")</f>
        <v>Subsídios</v>
      </c>
      <c r="D55" s="1249">
        <v>120.86770036814009</v>
      </c>
      <c r="E55" s="1249">
        <v>139.93175190071042</v>
      </c>
      <c r="F55" s="1250">
        <f t="shared" si="4"/>
        <v>15.772660085783752</v>
      </c>
      <c r="G55" s="1260">
        <f>IFERROR((E55-D55)/D64*100,"-")</f>
        <v>0.38447711299049636</v>
      </c>
      <c r="H55" s="446"/>
      <c r="I55" s="446"/>
      <c r="J55" s="447"/>
      <c r="K55" s="216"/>
      <c r="L55" s="157"/>
      <c r="M55" s="158"/>
      <c r="N55" s="158"/>
      <c r="O55" s="159"/>
      <c r="P55" s="160"/>
      <c r="Q55" s="161"/>
      <c r="R55" s="161"/>
      <c r="S55" s="162"/>
      <c r="T55" s="162"/>
      <c r="U55" s="162"/>
      <c r="V55" s="112"/>
    </row>
    <row r="56" spans="3:22" ht="15" customHeight="1">
      <c r="C56" s="1248" t="str">
        <f>IF(Indice_index!$Z$1=1,"Outras despesas correntes","Other current expenditure")</f>
        <v>Outras despesas correntes</v>
      </c>
      <c r="D56" s="1249">
        <v>51.810454745333523</v>
      </c>
      <c r="E56" s="1249">
        <v>69.756630785932828</v>
      </c>
      <c r="F56" s="1250">
        <f t="shared" si="4"/>
        <v>34.638136508955633</v>
      </c>
      <c r="G56" s="1260">
        <f>IFERROR((E56-D56)/D64*100,"-")</f>
        <v>0.36193219167083063</v>
      </c>
      <c r="H56" s="446"/>
      <c r="I56" s="446"/>
      <c r="J56" s="447"/>
      <c r="K56" s="216"/>
      <c r="L56" s="157"/>
      <c r="M56" s="158"/>
      <c r="N56" s="158"/>
      <c r="O56" s="159"/>
      <c r="P56" s="160"/>
      <c r="Q56" s="161"/>
      <c r="R56" s="161"/>
      <c r="S56" s="162"/>
      <c r="T56" s="162"/>
      <c r="U56" s="162"/>
      <c r="V56" s="112"/>
    </row>
    <row r="57" spans="3:22" s="251" customFormat="1" ht="15" customHeight="1">
      <c r="C57" s="1262" t="str">
        <f>IF(Indice_index!$Z$1=1,"Despesa de Capital","Capital expenditure")</f>
        <v>Despesa de Capital</v>
      </c>
      <c r="D57" s="1247">
        <v>1335.8266744016555</v>
      </c>
      <c r="E57" s="1247">
        <v>1239.9171716116109</v>
      </c>
      <c r="F57" s="302">
        <f t="shared" si="4"/>
        <v>-7.17978646690855</v>
      </c>
      <c r="G57" s="1261">
        <f>IFERROR((E57-D57)/D64*100,"-")</f>
        <v>-1.9342692542595425</v>
      </c>
      <c r="H57" s="446"/>
      <c r="I57" s="446"/>
      <c r="J57" s="447"/>
      <c r="K57" s="310"/>
      <c r="L57" s="302"/>
      <c r="M57" s="311"/>
      <c r="N57" s="311"/>
      <c r="O57" s="160"/>
      <c r="P57" s="160"/>
      <c r="Q57" s="312"/>
      <c r="R57" s="312"/>
      <c r="S57" s="313"/>
      <c r="T57" s="313"/>
      <c r="U57" s="313"/>
      <c r="V57" s="314"/>
    </row>
    <row r="58" spans="3:22" ht="15" customHeight="1">
      <c r="C58" s="1248" t="str">
        <f>IF(Indice_index!$Z$1=1,"Aquisição de bens de capital","Purchase of capital goods")</f>
        <v>Aquisição de bens de capital</v>
      </c>
      <c r="D58" s="1249">
        <v>1171.2461038761749</v>
      </c>
      <c r="E58" s="1249">
        <v>1088.825780298547</v>
      </c>
      <c r="F58" s="1250">
        <f t="shared" si="4"/>
        <v>-7.0369773956867236</v>
      </c>
      <c r="G58" s="1260">
        <f>IFERROR((E58-D58)/D64*100,"-")</f>
        <v>-1.6622242132911624</v>
      </c>
      <c r="H58" s="446"/>
      <c r="I58" s="446"/>
      <c r="J58" s="447"/>
      <c r="K58" s="216"/>
      <c r="L58" s="157"/>
      <c r="M58" s="158"/>
      <c r="N58" s="158"/>
      <c r="O58" s="159"/>
      <c r="P58" s="160"/>
      <c r="Q58" s="161"/>
      <c r="R58" s="161"/>
      <c r="S58" s="162"/>
      <c r="T58" s="162"/>
      <c r="U58" s="162"/>
      <c r="V58" s="112"/>
    </row>
    <row r="59" spans="3:22" ht="15" customHeight="1">
      <c r="C59" s="1248" t="str">
        <f>IF(Indice_index!$Z$1=1,"Transferências de capital","Capital transfers")</f>
        <v>Transferências de capital</v>
      </c>
      <c r="D59" s="1249">
        <v>159.13200330548062</v>
      </c>
      <c r="E59" s="1249">
        <v>147.44683507681458</v>
      </c>
      <c r="F59" s="1250">
        <f t="shared" si="4"/>
        <v>-7.343066124941819</v>
      </c>
      <c r="G59" s="1260">
        <f>IFERROR((E59-D59)/D64*100,"-")</f>
        <v>-0.23566237941028387</v>
      </c>
      <c r="H59" s="446"/>
      <c r="I59" s="446"/>
      <c r="J59" s="447"/>
      <c r="K59" s="216"/>
      <c r="L59" s="157"/>
      <c r="M59" s="158"/>
      <c r="N59" s="158"/>
      <c r="O59" s="159"/>
      <c r="P59" s="160"/>
      <c r="Q59" s="161"/>
      <c r="R59" s="161"/>
      <c r="S59" s="162"/>
      <c r="T59" s="162"/>
      <c r="U59" s="162"/>
      <c r="V59" s="112"/>
    </row>
    <row r="60" spans="3:22" ht="15" customHeight="1">
      <c r="C60" s="1252" t="str">
        <f>IF(Indice_index!$Z$1=1,"Subsectores das AP","General Government subsectors")</f>
        <v>Subsectores das AP</v>
      </c>
      <c r="D60" s="1249">
        <v>91.807160130000014</v>
      </c>
      <c r="E60" s="1249">
        <v>92.317297760000017</v>
      </c>
      <c r="F60" s="1250">
        <f t="shared" si="4"/>
        <v>0.55566213929027075</v>
      </c>
      <c r="G60" s="1260">
        <f>IFERROR((E60-D60)/D64*100,"-")</f>
        <v>1.0288277015781376E-2</v>
      </c>
      <c r="H60" s="446"/>
      <c r="I60" s="446"/>
      <c r="J60" s="447"/>
      <c r="K60" s="216"/>
      <c r="L60" s="157"/>
      <c r="M60" s="158"/>
      <c r="N60" s="158"/>
      <c r="O60" s="159"/>
      <c r="P60" s="160"/>
      <c r="Q60" s="161"/>
      <c r="R60" s="161"/>
      <c r="S60" s="162"/>
      <c r="T60" s="162"/>
      <c r="U60" s="162"/>
      <c r="V60" s="112"/>
    </row>
    <row r="61" spans="3:22" ht="15" customHeight="1">
      <c r="C61" s="1252" t="str">
        <f>IF(Indice_index!$Z$1=1,"Outras transferências","Other transfers")</f>
        <v>Outras transferências</v>
      </c>
      <c r="D61" s="1249">
        <v>67.324843175480609</v>
      </c>
      <c r="E61" s="1249">
        <v>55.129537316814577</v>
      </c>
      <c r="F61" s="1250">
        <f t="shared" si="4"/>
        <v>-18.114124420430148</v>
      </c>
      <c r="G61" s="1260">
        <f>IFERROR((E61-D61)/D64*100,"-")</f>
        <v>-0.24595065642606492</v>
      </c>
      <c r="H61" s="446"/>
      <c r="I61" s="446"/>
      <c r="J61" s="447"/>
      <c r="K61" s="216"/>
      <c r="L61" s="157"/>
      <c r="M61" s="158"/>
      <c r="N61" s="158"/>
      <c r="O61" s="159"/>
      <c r="P61" s="160"/>
      <c r="Q61" s="161"/>
      <c r="R61" s="161"/>
      <c r="S61" s="162"/>
      <c r="T61" s="162"/>
      <c r="U61" s="162"/>
      <c r="V61" s="112"/>
    </row>
    <row r="62" spans="3:22" ht="15" customHeight="1">
      <c r="C62" s="1248" t="str">
        <f>IF(Indice_index!$Z$1=1,"Outras despesas de capital","Other capital expenditure")</f>
        <v>Outras despesas de capital</v>
      </c>
      <c r="D62" s="1249">
        <v>5.4485672200000019</v>
      </c>
      <c r="E62" s="1249">
        <v>3.6445562362494393</v>
      </c>
      <c r="F62" s="1250">
        <f t="shared" si="4"/>
        <v>-33.109823388589156</v>
      </c>
      <c r="G62" s="1260">
        <f>IFERROR((E62-D62)/D64*100,"-")</f>
        <v>-3.6382661558093582E-2</v>
      </c>
      <c r="H62" s="446"/>
      <c r="I62" s="446"/>
      <c r="J62" s="447"/>
      <c r="K62" s="216"/>
      <c r="L62" s="157"/>
      <c r="M62" s="158"/>
      <c r="N62" s="158"/>
      <c r="O62" s="159"/>
      <c r="P62" s="160"/>
      <c r="Q62" s="161"/>
      <c r="R62" s="161"/>
      <c r="S62" s="162"/>
      <c r="T62" s="162"/>
      <c r="U62" s="162"/>
      <c r="V62" s="112"/>
    </row>
    <row r="63" spans="3:22" ht="4.5" customHeight="1">
      <c r="C63" s="1248"/>
      <c r="D63" s="1249"/>
      <c r="E63" s="1249"/>
      <c r="F63" s="1250"/>
      <c r="G63" s="1260"/>
      <c r="H63" s="446"/>
      <c r="I63" s="446"/>
      <c r="J63" s="447"/>
      <c r="K63" s="216"/>
      <c r="L63" s="157"/>
      <c r="M63" s="158"/>
      <c r="N63" s="158"/>
      <c r="O63" s="159"/>
      <c r="P63" s="160"/>
      <c r="Q63" s="161"/>
      <c r="R63" s="161"/>
      <c r="S63" s="162"/>
      <c r="T63" s="162"/>
      <c r="U63" s="162"/>
      <c r="V63" s="112"/>
    </row>
    <row r="64" spans="3:22" s="251" customFormat="1" ht="15" customHeight="1">
      <c r="C64" s="1262" t="str">
        <f>IF(Indice_index!$Z$1=1,"Despesa efetiva","Effective expenditure")</f>
        <v>Despesa efetiva</v>
      </c>
      <c r="D64" s="1247">
        <v>4958.4359870704611</v>
      </c>
      <c r="E64" s="1247">
        <v>5212.4705863738309</v>
      </c>
      <c r="F64" s="302">
        <f>IFERROR(IF(ABS((E64-D64)/D64)*100&gt;500,"n.r.",((E64-D64)/D64)*100),0)</f>
        <v>5.1232808080166077</v>
      </c>
      <c r="G64" s="1261">
        <f>IFERROR((E64-D64)/D64*100,"-")</f>
        <v>5.1232808080166077</v>
      </c>
      <c r="H64" s="446"/>
      <c r="I64" s="446"/>
      <c r="J64" s="447"/>
      <c r="K64" s="310"/>
      <c r="L64" s="302"/>
      <c r="M64" s="311"/>
      <c r="N64" s="311"/>
      <c r="O64" s="160"/>
      <c r="P64" s="160"/>
      <c r="Q64" s="312"/>
      <c r="R64" s="312"/>
      <c r="S64" s="313"/>
      <c r="T64" s="313"/>
      <c r="U64" s="313"/>
      <c r="V64" s="314"/>
    </row>
    <row r="65" spans="3:22" ht="4.5" customHeight="1">
      <c r="C65" s="1064"/>
      <c r="D65" s="1249"/>
      <c r="E65" s="1249"/>
      <c r="F65" s="1263"/>
      <c r="G65" s="1260"/>
      <c r="H65" s="446"/>
      <c r="I65" s="446"/>
      <c r="J65" s="447"/>
      <c r="K65" s="216"/>
      <c r="L65" s="157"/>
      <c r="M65" s="158"/>
      <c r="N65" s="158"/>
      <c r="O65" s="159"/>
      <c r="P65" s="160"/>
      <c r="Q65" s="161"/>
      <c r="R65" s="161"/>
      <c r="S65" s="162"/>
      <c r="T65" s="162"/>
      <c r="U65" s="162"/>
      <c r="V65" s="112"/>
    </row>
    <row r="66" spans="3:22" s="251" customFormat="1" ht="15" customHeight="1">
      <c r="C66" s="1264" t="str">
        <f>IF(Indice_index!$Z$1=1,"Saldo global","Overall balance")</f>
        <v>Saldo global</v>
      </c>
      <c r="D66" s="1265">
        <v>141.00881201391076</v>
      </c>
      <c r="E66" s="1265">
        <v>420.91189109827064</v>
      </c>
      <c r="F66" s="1266"/>
      <c r="G66" s="1266"/>
      <c r="H66" s="446"/>
      <c r="I66" s="446"/>
      <c r="J66" s="445"/>
      <c r="K66" s="310"/>
      <c r="L66" s="315"/>
      <c r="M66" s="311"/>
      <c r="N66" s="311"/>
      <c r="O66" s="160"/>
      <c r="P66" s="160"/>
      <c r="Q66" s="312"/>
      <c r="R66" s="312"/>
      <c r="S66" s="313"/>
      <c r="T66" s="313"/>
      <c r="U66" s="313"/>
      <c r="V66" s="314"/>
    </row>
    <row r="67" spans="3:22" ht="4.5" customHeight="1">
      <c r="C67" s="1267"/>
      <c r="D67" s="1268"/>
      <c r="E67" s="1268"/>
      <c r="F67" s="1263"/>
      <c r="G67" s="1269"/>
      <c r="H67" s="446"/>
      <c r="I67" s="446"/>
      <c r="J67" s="447"/>
      <c r="K67" s="216"/>
      <c r="L67" s="157"/>
      <c r="M67" s="158"/>
      <c r="N67" s="158"/>
      <c r="O67" s="159"/>
      <c r="P67" s="160"/>
      <c r="Q67" s="161"/>
      <c r="R67" s="161"/>
      <c r="S67" s="162"/>
      <c r="T67" s="162"/>
      <c r="U67" s="162"/>
      <c r="V67" s="112"/>
    </row>
    <row r="68" spans="3:22" ht="15" customHeight="1">
      <c r="C68" s="1064" t="str">
        <f>IF(Indice_index!$Z$1=1,"Despesa  primária","Primary Expenditure")</f>
        <v>Despesa  primária</v>
      </c>
      <c r="D68" s="1249">
        <v>4939.090449549778</v>
      </c>
      <c r="E68" s="1249">
        <v>5196.1259283818436</v>
      </c>
      <c r="F68" s="1263">
        <f>IFERROR(IF(ABS((E68-D68)/D68)*100&gt;500,"n.r.",((E68-D68)/D68)*100),0)</f>
        <v>5.204105522212001</v>
      </c>
      <c r="G68" s="1250">
        <f>IFERROR((E68-D68)/D64*100,"-")</f>
        <v>5.183801495114734</v>
      </c>
      <c r="H68" s="446"/>
      <c r="I68" s="446"/>
      <c r="J68" s="447"/>
      <c r="K68" s="216"/>
      <c r="L68" s="157"/>
      <c r="M68" s="158"/>
      <c r="N68" s="158"/>
      <c r="O68" s="159"/>
      <c r="P68" s="160"/>
      <c r="Q68" s="161"/>
      <c r="R68" s="161"/>
      <c r="S68" s="162"/>
      <c r="T68" s="162"/>
      <c r="U68" s="112"/>
      <c r="V68" s="112"/>
    </row>
    <row r="69" spans="3:22" ht="15" customHeight="1">
      <c r="C69" s="1270" t="str">
        <f>IF(Indice_index!$Z$1=1,"Saldo primário","Primary balance")</f>
        <v>Saldo primário</v>
      </c>
      <c r="D69" s="1249">
        <v>160.35434953459344</v>
      </c>
      <c r="E69" s="1249">
        <v>437.25654909025843</v>
      </c>
      <c r="F69" s="1271"/>
      <c r="G69" s="1259"/>
      <c r="H69" s="446"/>
      <c r="I69" s="446"/>
      <c r="J69" s="447"/>
      <c r="K69" s="211"/>
      <c r="L69" s="157"/>
      <c r="M69" s="158"/>
      <c r="N69" s="158"/>
      <c r="O69" s="159"/>
      <c r="P69" s="160"/>
      <c r="Q69" s="161"/>
      <c r="R69" s="161"/>
      <c r="S69" s="162"/>
      <c r="T69" s="162"/>
      <c r="U69" s="162"/>
      <c r="V69" s="112"/>
    </row>
    <row r="70" spans="3:22" ht="15" customHeight="1">
      <c r="C70" s="1270" t="str">
        <f>IF(Indice_index!$Z$1=1,"Saldo corrente","Current balance")</f>
        <v>Saldo corrente</v>
      </c>
      <c r="D70" s="1249">
        <v>808.03615798774308</v>
      </c>
      <c r="E70" s="1249">
        <v>1148.6965471034382</v>
      </c>
      <c r="F70" s="1259"/>
      <c r="G70" s="1259"/>
      <c r="H70" s="446"/>
      <c r="I70" s="446"/>
      <c r="J70" s="447"/>
      <c r="K70" s="211"/>
      <c r="L70" s="157"/>
      <c r="M70" s="158"/>
      <c r="N70" s="158"/>
      <c r="O70" s="159"/>
      <c r="P70" s="160"/>
      <c r="Q70" s="161"/>
      <c r="R70" s="161"/>
      <c r="S70" s="162"/>
      <c r="T70" s="162"/>
      <c r="U70" s="162"/>
      <c r="V70" s="112"/>
    </row>
    <row r="71" spans="3:22" ht="15" customHeight="1">
      <c r="C71" s="1270" t="str">
        <f>IF(Indice_index!$Z$1=1,"Saldo de capital","Capital balance")</f>
        <v>Saldo de capital</v>
      </c>
      <c r="D71" s="1249">
        <v>-667.02734597383244</v>
      </c>
      <c r="E71" s="1249">
        <v>-727.78465600516745</v>
      </c>
      <c r="F71" s="1259"/>
      <c r="G71" s="1259"/>
      <c r="H71" s="446"/>
      <c r="I71" s="446"/>
      <c r="J71" s="447"/>
      <c r="K71" s="211"/>
      <c r="L71" s="157"/>
      <c r="M71" s="158"/>
      <c r="N71" s="158"/>
      <c r="O71" s="159"/>
      <c r="P71" s="160"/>
      <c r="Q71" s="161"/>
      <c r="R71" s="161"/>
      <c r="S71" s="162"/>
      <c r="T71" s="162"/>
      <c r="U71" s="162"/>
      <c r="V71" s="112"/>
    </row>
    <row r="72" spans="3:22" ht="15" customHeight="1">
      <c r="C72" s="1064" t="str">
        <f>IF(Indice_index!$Z$1=1,"Ativos financeiros líquidos de reembolsos","Financial assets net of reimbursements")</f>
        <v>Ativos financeiros líquidos de reembolsos</v>
      </c>
      <c r="D72" s="1249">
        <v>-26.844784667389796</v>
      </c>
      <c r="E72" s="1249">
        <v>-25.741992357389798</v>
      </c>
      <c r="F72" s="1259"/>
      <c r="G72" s="1259"/>
      <c r="H72" s="446"/>
      <c r="I72" s="446"/>
      <c r="J72" s="447"/>
      <c r="K72" s="211"/>
      <c r="L72" s="157"/>
      <c r="M72" s="158"/>
      <c r="N72" s="158"/>
      <c r="O72" s="159"/>
      <c r="P72" s="160"/>
      <c r="Q72" s="161"/>
      <c r="R72" s="161"/>
      <c r="S72" s="162"/>
      <c r="T72" s="162"/>
      <c r="U72" s="162"/>
      <c r="V72" s="112"/>
    </row>
    <row r="73" spans="3:22" ht="15" customHeight="1">
      <c r="C73" s="1272" t="str">
        <f>IF(Indice_index!$Z$1=1,"dos quais Receitas de:","of which Revenues of")</f>
        <v>dos quais Receitas de:</v>
      </c>
      <c r="D73" s="1249"/>
      <c r="E73" s="1249"/>
      <c r="F73" s="1259"/>
      <c r="G73" s="1259"/>
      <c r="H73" s="446"/>
      <c r="I73" s="446"/>
      <c r="J73" s="447"/>
      <c r="K73" s="211"/>
      <c r="L73" s="157"/>
      <c r="M73" s="158"/>
      <c r="N73" s="158"/>
      <c r="O73" s="159"/>
      <c r="P73" s="160"/>
      <c r="Q73" s="161"/>
      <c r="R73" s="161"/>
      <c r="S73" s="162"/>
      <c r="T73" s="162"/>
      <c r="U73" s="162"/>
      <c r="V73" s="112"/>
    </row>
    <row r="74" spans="3:22" ht="15" customHeight="1">
      <c r="C74" s="1273" t="str">
        <f>IF(Indice_index!$Z$1=1,"Alienação de partes de Capital","Divestment of company shares")</f>
        <v>Alienação de partes de Capital</v>
      </c>
      <c r="D74" s="1249">
        <v>0.24305103999999997</v>
      </c>
      <c r="E74" s="1249">
        <v>8.8675129999999991E-2</v>
      </c>
      <c r="F74" s="1259"/>
      <c r="G74" s="1259"/>
      <c r="H74" s="446"/>
      <c r="I74" s="446"/>
      <c r="J74" s="447"/>
      <c r="K74" s="211"/>
      <c r="L74" s="157"/>
      <c r="M74" s="158"/>
      <c r="N74" s="158"/>
      <c r="O74" s="159"/>
      <c r="P74" s="160"/>
      <c r="Q74" s="161"/>
      <c r="R74" s="161"/>
      <c r="S74" s="162"/>
      <c r="T74" s="162"/>
      <c r="U74" s="162"/>
      <c r="V74" s="112"/>
    </row>
    <row r="75" spans="3:22" ht="15" customHeight="1">
      <c r="C75" s="1274" t="str">
        <f>IF(Indice_index!$Z$1=1,"Outros Ativos","Other Financial assets")</f>
        <v>Outros Ativos</v>
      </c>
      <c r="D75" s="1249">
        <v>2.5606481899999998</v>
      </c>
      <c r="E75" s="1249">
        <v>6.3599180000000005E-2</v>
      </c>
      <c r="F75" s="1259"/>
      <c r="G75" s="1259"/>
      <c r="H75" s="446"/>
      <c r="I75" s="446"/>
      <c r="J75" s="447"/>
      <c r="K75" s="211"/>
      <c r="L75" s="157"/>
      <c r="M75" s="158"/>
      <c r="N75" s="158"/>
      <c r="O75" s="159"/>
      <c r="P75" s="160"/>
      <c r="Q75" s="161"/>
      <c r="R75" s="161"/>
      <c r="S75" s="162"/>
      <c r="T75" s="162"/>
      <c r="U75" s="162"/>
      <c r="V75" s="112"/>
    </row>
    <row r="76" spans="3:22" ht="15" customHeight="1">
      <c r="C76" s="1064" t="str">
        <f>IF(Indice_index!$Z$1=1,"Passivos financeiros líquidos de amortizações","Financial liabilities net of amortizations")</f>
        <v>Passivos financeiros líquidos de amortizações</v>
      </c>
      <c r="D76" s="1249">
        <v>-28.201810251086407</v>
      </c>
      <c r="E76" s="1249">
        <v>-25.41258154108629</v>
      </c>
      <c r="F76" s="1259"/>
      <c r="G76" s="1259"/>
      <c r="H76" s="446"/>
      <c r="I76" s="446"/>
      <c r="J76" s="447"/>
      <c r="K76" s="211"/>
      <c r="L76" s="157"/>
      <c r="M76" s="158"/>
      <c r="N76" s="158"/>
      <c r="O76" s="159"/>
      <c r="P76" s="160"/>
      <c r="Q76" s="161"/>
      <c r="R76" s="161"/>
      <c r="S76" s="162"/>
      <c r="T76" s="162"/>
      <c r="U76" s="162"/>
      <c r="V76" s="112"/>
    </row>
    <row r="77" spans="3:22" ht="15" customHeight="1">
      <c r="C77" s="1064" t="str">
        <f>IF(Indice_index!$Z$1=1,"Poupança (+) / Utilização (-) de saldo da gerência anterior","Saving (+) / Usage (-) of balance from previous management")</f>
        <v>Poupança (+) / Utilização (-) de saldo da gerência anterior</v>
      </c>
      <c r="D77" s="1249">
        <v>139.65178643021414</v>
      </c>
      <c r="E77" s="1249">
        <v>421.24130191457414</v>
      </c>
      <c r="F77" s="1259"/>
      <c r="G77" s="1259"/>
      <c r="H77" s="446"/>
      <c r="I77" s="446"/>
      <c r="J77" s="447"/>
      <c r="K77" s="211"/>
      <c r="L77" s="157"/>
      <c r="M77" s="158"/>
      <c r="N77" s="158"/>
      <c r="O77" s="159"/>
      <c r="P77" s="160"/>
      <c r="Q77" s="161"/>
      <c r="R77" s="161"/>
      <c r="S77" s="162"/>
      <c r="T77" s="162"/>
      <c r="U77" s="162"/>
      <c r="V77" s="112"/>
    </row>
    <row r="78" spans="3:22" ht="15" customHeight="1">
      <c r="C78" s="1275" t="str">
        <f>IF(Indice_index!$Z$1=1,"Taxa de comparticip. financiam. comunitário","Community financing rate")</f>
        <v>Taxa de comparticip. financiam. comunitário</v>
      </c>
      <c r="D78" s="1276">
        <v>0.30845938755977931</v>
      </c>
      <c r="E78" s="1276">
        <v>0.20874895422446951</v>
      </c>
      <c r="F78" s="1277"/>
      <c r="G78" s="1277"/>
      <c r="H78" s="446"/>
      <c r="I78" s="446"/>
      <c r="J78" s="447"/>
      <c r="K78" s="211"/>
      <c r="L78" s="157"/>
      <c r="M78" s="158"/>
      <c r="N78" s="158"/>
      <c r="O78" s="159"/>
      <c r="P78" s="160"/>
      <c r="Q78" s="161"/>
      <c r="R78" s="161"/>
      <c r="S78" s="162"/>
      <c r="T78" s="162"/>
      <c r="U78" s="162"/>
      <c r="V78" s="112"/>
    </row>
    <row r="79" spans="3:22" ht="4.5" customHeight="1">
      <c r="C79" s="1064"/>
      <c r="D79" s="1278"/>
      <c r="E79" s="1278"/>
      <c r="F79" s="1279"/>
      <c r="G79" s="1279"/>
      <c r="H79" s="446"/>
      <c r="I79" s="446"/>
      <c r="J79" s="447"/>
      <c r="K79" s="211"/>
      <c r="L79" s="157"/>
      <c r="M79" s="158"/>
      <c r="N79" s="158"/>
      <c r="O79" s="159"/>
      <c r="P79" s="160"/>
      <c r="Q79" s="161"/>
      <c r="R79" s="161"/>
      <c r="S79" s="162"/>
      <c r="T79" s="162"/>
      <c r="U79" s="162"/>
      <c r="V79" s="112"/>
    </row>
    <row r="80" spans="3:22" ht="15" customHeight="1">
      <c r="C80" s="1280" t="str">
        <f>IF(Indice_index!$Z$1=1,"Notas:","Notes:")</f>
        <v>Notas:</v>
      </c>
      <c r="D80" s="1281"/>
      <c r="E80" s="1281"/>
      <c r="F80" s="1282"/>
      <c r="G80" s="1282"/>
      <c r="H80" s="247"/>
      <c r="I80"/>
      <c r="J80"/>
      <c r="K80" s="211"/>
      <c r="L80" s="157"/>
    </row>
    <row r="81" spans="3:17" ht="24" customHeight="1">
      <c r="C81" s="1746" t="str">
        <f>IF(Indice_index!$Z$1=1,"Os valores de execução orçamental da Administração Local constantes do presente quadro não incluem a execução orçamental das freguesias.","Local Government monthly data does not include parishes financial data.")</f>
        <v>Os valores de execução orçamental da Administração Local constantes do presente quadro não incluem a execução orçamental das freguesias.</v>
      </c>
      <c r="D81" s="1740"/>
      <c r="E81" s="1740"/>
      <c r="F81" s="1740"/>
      <c r="G81" s="1740"/>
      <c r="H81" s="247"/>
      <c r="I81"/>
      <c r="J81"/>
      <c r="K81" s="157"/>
      <c r="L81" s="157"/>
    </row>
    <row r="82" spans="3:17" ht="24" customHeight="1">
      <c r="C82" s="1746" t="str">
        <f>IF(Indice_index!$Z$1=1,"As linhas de receita relativas às transferências no âmbito da Lei de Finanças Locais excluem as transferências com origem no Fundo de Financiamento das Freguesias.","Revenues derived from the Local Government Financing Law do not include transfers from the Parishes Financing Fund." )</f>
        <v>As linhas de receita relativas às transferências no âmbito da Lei de Finanças Locais excluem as transferências com origem no Fundo de Financiamento das Freguesias.</v>
      </c>
      <c r="D82" s="1746"/>
      <c r="E82" s="1746"/>
      <c r="F82" s="1746"/>
      <c r="G82" s="1746"/>
      <c r="H82" s="247"/>
      <c r="I82"/>
      <c r="J82"/>
      <c r="K82" s="157"/>
      <c r="L82" s="157"/>
    </row>
    <row r="83" spans="3:17" ht="15" customHeight="1">
      <c r="C83" s="1283">
        <v>2021</v>
      </c>
      <c r="D83" s="1284"/>
      <c r="E83" s="1284"/>
      <c r="F83" s="1284"/>
      <c r="G83" s="1284"/>
      <c r="H83" s="247"/>
      <c r="I83" s="247"/>
      <c r="J83"/>
      <c r="K83" s="157"/>
      <c r="L83" s="157"/>
    </row>
    <row r="84" spans="3:17" ht="15" customHeight="1">
      <c r="C84" s="1733" t="str">
        <f>IF(Indice_index!$Z$1=1,"Dados reportados de 2021: 299 municipios; Em falta: 9.","Entities in default (9 municipalities) in the reporting of budget execution, in the month under review:")</f>
        <v>Dados reportados de 2021: 299 municipios; Em falta: 9.</v>
      </c>
      <c r="D84" s="1733"/>
      <c r="E84" s="1733"/>
      <c r="F84" s="1733"/>
      <c r="G84" s="1733"/>
      <c r="H84" s="247"/>
      <c r="I84" s="247"/>
      <c r="J84"/>
      <c r="K84" s="157"/>
      <c r="L84" s="157"/>
    </row>
    <row r="85" spans="3:17" ht="4.5" customHeight="1">
      <c r="C85" s="1730"/>
      <c r="D85" s="1730"/>
      <c r="E85" s="1730"/>
      <c r="F85" s="1730"/>
      <c r="G85" s="1730"/>
      <c r="H85" s="247"/>
      <c r="I85" s="247"/>
      <c r="J85"/>
      <c r="K85" s="157"/>
      <c r="L85" s="157"/>
    </row>
    <row r="86" spans="3:17" ht="11.25" customHeight="1">
      <c r="C86" s="1731">
        <v>2022</v>
      </c>
      <c r="D86" s="1731"/>
      <c r="E86" s="1731"/>
      <c r="F86" s="1285"/>
      <c r="G86" s="1285"/>
      <c r="H86" s="247"/>
      <c r="I86" s="247"/>
      <c r="J86"/>
    </row>
    <row r="87" spans="3:17" ht="15" customHeight="1">
      <c r="C87" s="1733" t="str">
        <f>IF(Indice_index!$Z$1=1,"Dados reportados de 2022: 239 municipios; Em falta: 69.","Entities in default (69 municipalities) in the reporting of budget execution, in the month under review:")</f>
        <v>Dados reportados de 2022: 239 municipios; Em falta: 69.</v>
      </c>
      <c r="D87" s="1733"/>
      <c r="E87" s="1733"/>
      <c r="F87" s="1733"/>
      <c r="G87" s="1733"/>
      <c r="H87" s="247"/>
      <c r="I87" s="247"/>
    </row>
    <row r="88" spans="3:17" ht="4.5" customHeight="1">
      <c r="C88" s="1285"/>
      <c r="D88" s="1285"/>
      <c r="E88" s="1285"/>
      <c r="F88" s="1285"/>
      <c r="G88" s="1285"/>
      <c r="H88" s="247"/>
      <c r="I88" s="247"/>
    </row>
    <row r="89" spans="3:17" ht="26.25" customHeight="1">
      <c r="C89" s="1739" t="str">
        <f>IF(Indice_index!$Z$1=1,"O reduzido universo de reportes resulta de constrangimentos decorrentes da implementação do SNC-AP na administração local em 2020. Para os municipios sem reporte foi usada a execução homóloga corrigida.","The reduced universe of reports results from constraints resulting from the implementation of the SNC-AP in the Local Government in 2020. For municipalities without reporting, corrected homologous execution was used.")</f>
        <v>O reduzido universo de reportes resulta de constrangimentos decorrentes da implementação do SNC-AP na administração local em 2020. Para os municipios sem reporte foi usada a execução homóloga corrigida.</v>
      </c>
      <c r="D89" s="1740"/>
      <c r="E89" s="1740"/>
      <c r="F89" s="1740"/>
      <c r="G89" s="1740"/>
      <c r="H89" s="247"/>
      <c r="I89" s="1732"/>
      <c r="J89" s="1733"/>
      <c r="K89" s="1733"/>
      <c r="L89" s="1733"/>
      <c r="M89" s="1733"/>
    </row>
    <row r="90" spans="3:17" ht="4.5" customHeight="1">
      <c r="C90" s="699"/>
      <c r="D90" s="1286"/>
      <c r="E90" s="1286"/>
      <c r="F90" s="1286"/>
      <c r="G90" s="1286"/>
      <c r="H90" s="247"/>
      <c r="I90" s="473"/>
      <c r="J90" s="474"/>
      <c r="K90" s="474"/>
      <c r="L90" s="474"/>
      <c r="M90" s="474"/>
    </row>
    <row r="91" spans="3:17" ht="24" customHeight="1">
      <c r="C91" s="1739" t="str">
        <f>IF(Indice_index!$Z$1=1,"Fonte: BIORC - DGO com base nos dados da execução orçamental dos municípios reportada na DGAL/SIIAL/SISAL e Reporte alternativo provisório","Source: BIORC - DGO based on the data of budget execution of municipalities reported in DGAL / SIIAL/SISAL and provisional alternative report")</f>
        <v>Fonte: BIORC - DGO com base nos dados da execução orçamental dos municípios reportada na DGAL/SIIAL/SISAL e Reporte alternativo provisório</v>
      </c>
      <c r="D91" s="1740"/>
      <c r="E91" s="1740"/>
      <c r="F91" s="1740"/>
      <c r="G91" s="1740"/>
      <c r="H91" s="699"/>
      <c r="I91" s="247"/>
    </row>
    <row r="92" spans="3:17">
      <c r="D92" s="652"/>
      <c r="E92" s="652"/>
      <c r="F92" s="652"/>
      <c r="G92" s="652"/>
      <c r="H92" s="165"/>
    </row>
    <row r="93" spans="3:17" ht="26.25" customHeight="1">
      <c r="C93" s="1734"/>
      <c r="D93" s="1735"/>
      <c r="E93" s="1735"/>
      <c r="F93" s="1735"/>
      <c r="G93" s="1735"/>
      <c r="H93" s="165"/>
    </row>
    <row r="94" spans="3:17" ht="6.75" customHeight="1">
      <c r="C94" s="1239"/>
      <c r="D94" s="1240"/>
      <c r="E94" s="1240"/>
      <c r="F94" s="1240"/>
      <c r="G94" s="1240"/>
      <c r="H94" s="165"/>
    </row>
    <row r="95" spans="3:17" ht="13.5" customHeight="1">
      <c r="D95" s="213"/>
      <c r="E95" s="213"/>
      <c r="F95" s="213"/>
      <c r="G95" s="213"/>
      <c r="H95" s="164"/>
    </row>
    <row r="96" spans="3:17" ht="12.75" customHeight="1">
      <c r="C96" s="214"/>
      <c r="D96" s="214"/>
      <c r="E96" s="214"/>
      <c r="F96" s="214"/>
      <c r="G96" s="214"/>
      <c r="H96" s="164"/>
      <c r="I96" s="166"/>
      <c r="J96" s="166"/>
      <c r="K96" s="166"/>
      <c r="L96" s="166"/>
      <c r="M96" s="166"/>
      <c r="N96" s="166"/>
      <c r="O96" s="164"/>
      <c r="P96" s="164"/>
      <c r="Q96" s="164"/>
    </row>
    <row r="97" spans="3:8" ht="27" customHeight="1">
      <c r="C97" s="1736"/>
      <c r="D97" s="1736"/>
      <c r="E97" s="1736"/>
      <c r="F97" s="1736"/>
      <c r="G97" s="1736"/>
      <c r="H97" s="166"/>
    </row>
    <row r="99" spans="3:8" ht="12.75" customHeight="1">
      <c r="C99" s="215"/>
      <c r="D99" s="248"/>
      <c r="E99" s="248"/>
      <c r="F99" s="248"/>
      <c r="G99" s="248"/>
      <c r="H99" s="248"/>
    </row>
    <row r="100" spans="3:8" ht="12.75" customHeight="1">
      <c r="C100" s="1737"/>
      <c r="D100" s="1738"/>
      <c r="E100" s="1738"/>
      <c r="F100" s="1738"/>
      <c r="G100" s="1738"/>
      <c r="H100" s="1738"/>
    </row>
    <row r="101" spans="3:8" ht="12.75" customHeight="1"/>
    <row r="102" spans="3:8">
      <c r="C102" s="1729"/>
      <c r="D102" s="1729"/>
      <c r="E102" s="1729"/>
      <c r="F102" s="1729"/>
      <c r="G102" s="1729"/>
    </row>
    <row r="103" spans="3:8">
      <c r="C103" s="167"/>
      <c r="D103" s="167"/>
      <c r="E103" s="167"/>
      <c r="F103" s="167"/>
      <c r="G103" s="167"/>
    </row>
    <row r="104" spans="3:8">
      <c r="C104" s="167"/>
      <c r="D104" s="167"/>
      <c r="E104" s="167"/>
      <c r="F104" s="167"/>
      <c r="G104" s="167"/>
    </row>
    <row r="105" spans="3:8">
      <c r="C105" s="167"/>
      <c r="D105" s="167"/>
      <c r="E105" s="167"/>
      <c r="F105" s="167"/>
      <c r="G105" s="167"/>
    </row>
    <row r="106" spans="3:8">
      <c r="C106" s="167"/>
      <c r="D106" s="167"/>
      <c r="E106" s="167"/>
      <c r="F106" s="167"/>
      <c r="G106" s="167"/>
    </row>
    <row r="107" spans="3:8">
      <c r="C107" s="167"/>
      <c r="D107" s="167"/>
      <c r="E107" s="167"/>
      <c r="F107" s="167"/>
      <c r="G107" s="167"/>
    </row>
    <row r="108" spans="3:8">
      <c r="C108" s="167"/>
      <c r="D108" s="167"/>
      <c r="E108" s="167"/>
      <c r="F108" s="167"/>
      <c r="G108" s="167"/>
    </row>
    <row r="109" spans="3:8">
      <c r="C109" s="167"/>
      <c r="D109" s="167"/>
      <c r="E109" s="167"/>
      <c r="F109" s="167"/>
      <c r="G109" s="167"/>
    </row>
    <row r="110" spans="3:8">
      <c r="C110" s="167"/>
      <c r="D110" s="167"/>
      <c r="E110" s="167"/>
      <c r="F110" s="167"/>
      <c r="G110" s="167"/>
    </row>
    <row r="111" spans="3:8">
      <c r="C111" s="167"/>
      <c r="D111" s="167"/>
      <c r="E111" s="167"/>
      <c r="F111" s="167"/>
      <c r="G111" s="167"/>
    </row>
    <row r="112" spans="3:8">
      <c r="C112" s="167"/>
      <c r="D112" s="167"/>
      <c r="E112" s="167"/>
      <c r="F112" s="167"/>
      <c r="G112" s="167"/>
    </row>
    <row r="113" spans="3:7">
      <c r="C113" s="167"/>
      <c r="D113" s="167"/>
      <c r="E113" s="167"/>
      <c r="F113" s="167"/>
      <c r="G113" s="167"/>
    </row>
    <row r="114" spans="3:7">
      <c r="C114" s="167"/>
      <c r="D114" s="167"/>
      <c r="E114" s="167"/>
      <c r="F114" s="167"/>
      <c r="G114" s="167"/>
    </row>
    <row r="115" spans="3:7">
      <c r="C115" s="167"/>
      <c r="D115" s="167"/>
      <c r="E115" s="167"/>
      <c r="F115" s="167"/>
      <c r="G115" s="167"/>
    </row>
    <row r="116" spans="3:7">
      <c r="C116" s="167"/>
      <c r="D116" s="167"/>
      <c r="E116" s="167"/>
      <c r="F116" s="167"/>
      <c r="G116" s="167"/>
    </row>
    <row r="117" spans="3:7">
      <c r="C117" s="167"/>
      <c r="D117" s="167"/>
      <c r="E117" s="167"/>
      <c r="F117" s="167"/>
      <c r="G117" s="167"/>
    </row>
    <row r="118" spans="3:7">
      <c r="C118" s="167"/>
      <c r="D118" s="167"/>
      <c r="E118" s="167"/>
      <c r="F118" s="167"/>
      <c r="G118" s="167"/>
    </row>
    <row r="119" spans="3:7">
      <c r="C119" s="167"/>
      <c r="D119" s="167"/>
      <c r="E119" s="167"/>
      <c r="F119" s="167"/>
      <c r="G119" s="167"/>
    </row>
    <row r="120" spans="3:7">
      <c r="C120" s="167"/>
      <c r="D120" s="167"/>
      <c r="E120" s="167"/>
      <c r="F120" s="167"/>
      <c r="G120" s="167"/>
    </row>
    <row r="121" spans="3:7">
      <c r="C121" s="167"/>
      <c r="D121" s="167"/>
      <c r="E121" s="167"/>
      <c r="F121" s="167"/>
      <c r="G121" s="167"/>
    </row>
    <row r="122" spans="3:7">
      <c r="C122" s="167"/>
      <c r="D122" s="167"/>
      <c r="E122" s="167"/>
      <c r="F122" s="167"/>
      <c r="G122" s="167"/>
    </row>
    <row r="123" spans="3:7">
      <c r="C123" s="167"/>
      <c r="D123" s="167"/>
      <c r="E123" s="167"/>
      <c r="F123" s="167"/>
      <c r="G123" s="167"/>
    </row>
    <row r="124" spans="3:7">
      <c r="C124" s="167"/>
      <c r="D124" s="167"/>
      <c r="E124" s="167"/>
      <c r="F124" s="167"/>
      <c r="G124" s="167"/>
    </row>
    <row r="125" spans="3:7">
      <c r="C125" s="167"/>
      <c r="D125" s="167"/>
      <c r="E125" s="167"/>
      <c r="F125" s="167"/>
      <c r="G125" s="167"/>
    </row>
    <row r="126" spans="3:7">
      <c r="C126" s="167"/>
      <c r="D126" s="167"/>
      <c r="E126" s="167"/>
      <c r="F126" s="167"/>
      <c r="G126" s="167"/>
    </row>
    <row r="127" spans="3:7">
      <c r="C127" s="167"/>
      <c r="D127" s="167"/>
      <c r="E127" s="167"/>
      <c r="F127" s="167"/>
      <c r="G127" s="167"/>
    </row>
    <row r="128" spans="3:7">
      <c r="C128" s="167"/>
      <c r="D128" s="167"/>
      <c r="E128" s="167"/>
      <c r="F128" s="167"/>
      <c r="G128" s="167"/>
    </row>
    <row r="129" spans="3:7">
      <c r="C129" s="167"/>
      <c r="D129" s="167"/>
      <c r="E129" s="167"/>
      <c r="F129" s="167"/>
      <c r="G129" s="167"/>
    </row>
    <row r="130" spans="3:7">
      <c r="C130" s="167"/>
      <c r="D130" s="167"/>
      <c r="E130" s="167"/>
      <c r="F130" s="167"/>
      <c r="G130" s="167"/>
    </row>
    <row r="131" spans="3:7">
      <c r="C131" s="167"/>
      <c r="D131" s="167"/>
      <c r="E131" s="167"/>
      <c r="F131" s="167"/>
      <c r="G131" s="167"/>
    </row>
    <row r="132" spans="3:7">
      <c r="C132" s="167"/>
      <c r="D132" s="167"/>
      <c r="E132" s="167"/>
      <c r="F132" s="167"/>
      <c r="G132" s="167"/>
    </row>
    <row r="133" spans="3:7">
      <c r="C133" s="167"/>
      <c r="D133" s="167"/>
      <c r="E133" s="167"/>
      <c r="F133" s="167"/>
      <c r="G133" s="167"/>
    </row>
    <row r="134" spans="3:7">
      <c r="C134" s="167"/>
      <c r="D134" s="167"/>
      <c r="E134" s="167"/>
      <c r="F134" s="167"/>
      <c r="G134" s="167"/>
    </row>
    <row r="135" spans="3:7">
      <c r="C135" s="167"/>
      <c r="D135" s="167"/>
      <c r="E135" s="167"/>
      <c r="F135" s="167"/>
      <c r="G135" s="167"/>
    </row>
    <row r="136" spans="3:7">
      <c r="C136" s="167"/>
      <c r="D136" s="167"/>
      <c r="E136" s="167"/>
      <c r="F136" s="167"/>
      <c r="G136" s="167"/>
    </row>
    <row r="137" spans="3:7">
      <c r="C137" s="167"/>
      <c r="D137" s="167"/>
      <c r="E137" s="167"/>
      <c r="F137" s="167"/>
      <c r="G137" s="167"/>
    </row>
    <row r="138" spans="3:7">
      <c r="C138" s="167"/>
      <c r="D138" s="167"/>
      <c r="E138" s="167"/>
      <c r="F138" s="167"/>
      <c r="G138" s="167"/>
    </row>
    <row r="139" spans="3:7">
      <c r="C139" s="167"/>
      <c r="D139" s="167"/>
      <c r="E139" s="167"/>
      <c r="F139" s="167"/>
      <c r="G139" s="167"/>
    </row>
    <row r="140" spans="3:7">
      <c r="C140" s="167"/>
      <c r="D140" s="167"/>
      <c r="E140" s="167"/>
      <c r="F140" s="167"/>
      <c r="G140" s="167"/>
    </row>
    <row r="141" spans="3:7">
      <c r="C141" s="167"/>
      <c r="D141" s="167"/>
      <c r="E141" s="167"/>
      <c r="F141" s="167"/>
      <c r="G141" s="167"/>
    </row>
    <row r="142" spans="3:7">
      <c r="C142" s="167"/>
      <c r="D142" s="167"/>
      <c r="E142" s="167"/>
      <c r="F142" s="167"/>
      <c r="G142" s="167"/>
    </row>
    <row r="143" spans="3:7">
      <c r="C143" s="167"/>
      <c r="D143" s="167"/>
      <c r="E143" s="167"/>
      <c r="F143" s="167"/>
      <c r="G143" s="167"/>
    </row>
    <row r="144" spans="3:7">
      <c r="C144" s="167"/>
      <c r="D144" s="167"/>
      <c r="E144" s="167"/>
      <c r="F144" s="167"/>
      <c r="G144" s="167"/>
    </row>
    <row r="145" spans="3:7">
      <c r="C145" s="167"/>
      <c r="D145" s="167"/>
      <c r="E145" s="167"/>
      <c r="F145" s="167"/>
      <c r="G145" s="167"/>
    </row>
    <row r="146" spans="3:7">
      <c r="C146" s="167"/>
      <c r="D146" s="167"/>
      <c r="E146" s="167"/>
      <c r="F146" s="167"/>
      <c r="G146" s="167"/>
    </row>
    <row r="147" spans="3:7">
      <c r="C147" s="167"/>
      <c r="D147" s="167"/>
      <c r="E147" s="167"/>
      <c r="F147" s="167"/>
      <c r="G147" s="167"/>
    </row>
    <row r="148" spans="3:7">
      <c r="C148" s="167"/>
      <c r="D148" s="167"/>
      <c r="E148" s="167"/>
      <c r="F148" s="167"/>
      <c r="G148" s="167"/>
    </row>
    <row r="149" spans="3:7">
      <c r="C149" s="167"/>
      <c r="D149" s="167"/>
      <c r="E149" s="167"/>
      <c r="F149" s="167"/>
      <c r="G149" s="167"/>
    </row>
    <row r="150" spans="3:7">
      <c r="C150" s="167"/>
      <c r="D150" s="167"/>
      <c r="E150" s="167"/>
      <c r="F150" s="167"/>
      <c r="G150" s="167"/>
    </row>
    <row r="151" spans="3:7">
      <c r="C151" s="167"/>
      <c r="D151" s="167"/>
      <c r="E151" s="167"/>
      <c r="F151" s="167"/>
      <c r="G151" s="167"/>
    </row>
    <row r="152" spans="3:7">
      <c r="C152" s="167"/>
      <c r="D152" s="167"/>
      <c r="E152" s="167"/>
      <c r="F152" s="167"/>
      <c r="G152" s="167"/>
    </row>
    <row r="153" spans="3:7">
      <c r="C153" s="167"/>
      <c r="D153" s="167"/>
      <c r="E153" s="167"/>
      <c r="F153" s="167"/>
      <c r="G153" s="167"/>
    </row>
    <row r="154" spans="3:7">
      <c r="C154" s="167"/>
      <c r="D154" s="167"/>
      <c r="E154" s="167"/>
      <c r="F154" s="167"/>
      <c r="G154" s="167"/>
    </row>
    <row r="155" spans="3:7">
      <c r="C155" s="167"/>
      <c r="D155" s="167"/>
      <c r="E155" s="167"/>
      <c r="F155" s="167"/>
      <c r="G155" s="167"/>
    </row>
    <row r="156" spans="3:7">
      <c r="C156" s="167"/>
      <c r="D156" s="167"/>
      <c r="E156" s="167"/>
      <c r="F156" s="167"/>
      <c r="G156" s="167"/>
    </row>
    <row r="157" spans="3:7">
      <c r="C157" s="167"/>
      <c r="D157" s="167"/>
      <c r="E157" s="167"/>
      <c r="F157" s="167"/>
      <c r="G157" s="167"/>
    </row>
    <row r="158" spans="3:7">
      <c r="C158" s="167"/>
      <c r="D158" s="167"/>
      <c r="E158" s="167"/>
      <c r="F158" s="167"/>
      <c r="G158" s="167"/>
    </row>
    <row r="159" spans="3:7">
      <c r="C159" s="167"/>
      <c r="D159" s="167"/>
      <c r="E159" s="167"/>
      <c r="F159" s="167"/>
      <c r="G159" s="167"/>
    </row>
    <row r="160" spans="3:7">
      <c r="C160" s="167"/>
      <c r="D160" s="167"/>
      <c r="E160" s="167"/>
      <c r="F160" s="167"/>
      <c r="G160" s="167"/>
    </row>
    <row r="161" spans="3:7">
      <c r="C161" s="167"/>
      <c r="D161" s="167"/>
      <c r="E161" s="167"/>
      <c r="F161" s="167"/>
      <c r="G161" s="167"/>
    </row>
    <row r="162" spans="3:7">
      <c r="C162" s="167"/>
      <c r="D162" s="167"/>
      <c r="E162" s="167"/>
      <c r="F162" s="167"/>
      <c r="G162" s="167"/>
    </row>
    <row r="163" spans="3:7">
      <c r="C163" s="167"/>
      <c r="D163" s="167"/>
      <c r="E163" s="167"/>
      <c r="F163" s="167"/>
      <c r="G163" s="167"/>
    </row>
    <row r="164" spans="3:7">
      <c r="C164" s="167"/>
      <c r="D164" s="167"/>
      <c r="E164" s="167"/>
      <c r="F164" s="167"/>
      <c r="G164" s="167"/>
    </row>
    <row r="165" spans="3:7">
      <c r="C165" s="167"/>
      <c r="D165" s="167"/>
      <c r="E165" s="167"/>
      <c r="F165" s="167"/>
      <c r="G165" s="167"/>
    </row>
    <row r="166" spans="3:7">
      <c r="C166" s="167"/>
      <c r="D166" s="167"/>
      <c r="E166" s="167"/>
      <c r="F166" s="167"/>
      <c r="G166" s="167"/>
    </row>
    <row r="167" spans="3:7">
      <c r="C167" s="167"/>
      <c r="D167" s="167"/>
      <c r="E167" s="167"/>
      <c r="F167" s="167"/>
      <c r="G167" s="167"/>
    </row>
    <row r="168" spans="3:7">
      <c r="C168" s="167"/>
      <c r="D168" s="167"/>
      <c r="E168" s="167"/>
      <c r="F168" s="167"/>
      <c r="G168" s="167"/>
    </row>
    <row r="169" spans="3:7">
      <c r="C169" s="167"/>
      <c r="D169" s="167"/>
      <c r="E169" s="167"/>
      <c r="F169" s="167"/>
      <c r="G169" s="167"/>
    </row>
    <row r="170" spans="3:7">
      <c r="C170" s="167"/>
      <c r="D170" s="167"/>
      <c r="E170" s="167"/>
      <c r="F170" s="167"/>
      <c r="G170" s="167"/>
    </row>
    <row r="171" spans="3:7">
      <c r="C171" s="167"/>
      <c r="D171" s="167"/>
      <c r="E171" s="167"/>
      <c r="F171" s="167"/>
      <c r="G171" s="167"/>
    </row>
    <row r="172" spans="3:7">
      <c r="C172" s="167"/>
      <c r="D172" s="167"/>
      <c r="E172" s="167"/>
      <c r="F172" s="167"/>
      <c r="G172" s="167"/>
    </row>
    <row r="173" spans="3:7">
      <c r="C173" s="167"/>
      <c r="D173" s="167"/>
      <c r="E173" s="167"/>
      <c r="F173" s="167"/>
      <c r="G173" s="167"/>
    </row>
    <row r="174" spans="3:7">
      <c r="C174" s="167"/>
      <c r="D174" s="167"/>
      <c r="E174" s="167"/>
      <c r="F174" s="167"/>
      <c r="G174" s="167"/>
    </row>
    <row r="175" spans="3:7">
      <c r="C175" s="167"/>
      <c r="D175" s="167"/>
      <c r="E175" s="167"/>
      <c r="F175" s="167"/>
      <c r="G175" s="167"/>
    </row>
    <row r="176" spans="3:7">
      <c r="C176" s="167"/>
      <c r="D176" s="167"/>
      <c r="E176" s="167"/>
      <c r="F176" s="167"/>
      <c r="G176" s="167"/>
    </row>
    <row r="177" spans="3:7">
      <c r="C177" s="167"/>
      <c r="D177" s="167"/>
      <c r="E177" s="167"/>
      <c r="F177" s="167"/>
      <c r="G177" s="167"/>
    </row>
    <row r="178" spans="3:7">
      <c r="C178" s="167"/>
      <c r="D178" s="167"/>
      <c r="E178" s="167"/>
      <c r="F178" s="167"/>
      <c r="G178" s="167"/>
    </row>
    <row r="179" spans="3:7">
      <c r="C179" s="167"/>
      <c r="D179" s="167"/>
      <c r="E179" s="167"/>
      <c r="F179" s="167"/>
      <c r="G179" s="167"/>
    </row>
    <row r="180" spans="3:7">
      <c r="C180" s="167"/>
      <c r="D180" s="167"/>
      <c r="E180" s="167"/>
      <c r="F180" s="167"/>
      <c r="G180" s="167"/>
    </row>
  </sheetData>
  <mergeCells count="16">
    <mergeCell ref="C84:G84"/>
    <mergeCell ref="C6:C7"/>
    <mergeCell ref="D6:E6"/>
    <mergeCell ref="F6:G6"/>
    <mergeCell ref="C81:G81"/>
    <mergeCell ref="C82:G82"/>
    <mergeCell ref="C102:G102"/>
    <mergeCell ref="C85:G85"/>
    <mergeCell ref="C86:E86"/>
    <mergeCell ref="I89:M89"/>
    <mergeCell ref="C93:G93"/>
    <mergeCell ref="C97:G97"/>
    <mergeCell ref="C100:H100"/>
    <mergeCell ref="C89:G89"/>
    <mergeCell ref="C87:G87"/>
    <mergeCell ref="C91:G91"/>
  </mergeCells>
  <printOptions horizontalCentered="1"/>
  <pageMargins left="0.70866141732283472" right="0.70866141732283472" top="0.74803149606299213" bottom="0.74803149606299213" header="0.74803149606299213" footer="0.35433070866141736"/>
  <pageSetup paperSize="9" scale="54" orientation="portrait" r:id="rId1"/>
  <headerFooter differentOddEven="1">
    <oddFooter>&amp;R&amp;G</oddFooter>
    <evenFooter>&amp;L&amp;G</evenFooter>
  </headerFooter>
  <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olha3">
    <pageSetUpPr fitToPage="1"/>
  </sheetPr>
  <dimension ref="B1:Z45"/>
  <sheetViews>
    <sheetView showGridLines="0" zoomScaleNormal="100" workbookViewId="0"/>
  </sheetViews>
  <sheetFormatPr defaultColWidth="9.140625" defaultRowHeight="12.75"/>
  <cols>
    <col min="1" max="1" width="1.42578125" style="7" customWidth="1"/>
    <col min="2" max="2" width="3.85546875" style="7" customWidth="1"/>
    <col min="3" max="3" width="125.7109375" style="7" customWidth="1"/>
    <col min="4" max="4" width="1" style="7" customWidth="1"/>
    <col min="5" max="7" width="15.7109375" style="7" customWidth="1"/>
    <col min="8" max="21" width="9.140625" style="7"/>
    <col min="22" max="26" width="9.140625" style="7" customWidth="1"/>
    <col min="27" max="16384" width="9.140625" style="7"/>
  </cols>
  <sheetData>
    <row r="1" spans="2:26" s="3" customFormat="1" ht="39.75" customHeight="1">
      <c r="B1" s="1642" t="s">
        <v>598</v>
      </c>
      <c r="C1" s="1642"/>
      <c r="D1" s="2"/>
      <c r="E1" s="2"/>
      <c r="I1" s="4"/>
      <c r="J1" s="4"/>
      <c r="X1" s="5">
        <v>1</v>
      </c>
      <c r="Y1" s="3" t="s">
        <v>0</v>
      </c>
      <c r="Z1" s="5">
        <v>1</v>
      </c>
    </row>
    <row r="2" spans="2:26" s="3" customFormat="1" ht="15" customHeight="1">
      <c r="B2" s="6"/>
      <c r="C2" s="6"/>
      <c r="D2" s="2"/>
      <c r="E2" s="2"/>
      <c r="X2" s="5">
        <v>2</v>
      </c>
      <c r="Y2" s="3" t="s">
        <v>1</v>
      </c>
      <c r="Z2" s="5"/>
    </row>
    <row r="3" spans="2:26" ht="6.75" customHeight="1"/>
    <row r="4" spans="2:26" ht="36" customHeight="1">
      <c r="B4" s="8"/>
      <c r="C4" s="9" t="str">
        <f>IF(Indice_index!$Z$1=1,"Índice","Index")</f>
        <v>Índice</v>
      </c>
      <c r="D4" s="10"/>
      <c r="E4" s="11" t="str">
        <f>IF(Indice_index!$Z$1=1,"Última actualização","Last updated on")</f>
        <v>Última actualização</v>
      </c>
      <c r="F4" s="11" t="str">
        <f>IF(Indice_index!$Z$1=1,"Próxima actualização","Next update")</f>
        <v>Próxima actualização</v>
      </c>
      <c r="G4" s="11" t="str">
        <f>IF(Indice_index!$Z$1=1,"Último valor disponível","Last available figures")</f>
        <v>Último valor disponível</v>
      </c>
    </row>
    <row r="5" spans="2:26" ht="4.5" customHeight="1">
      <c r="C5" s="12"/>
    </row>
    <row r="6" spans="2:26" ht="20.25" customHeight="1">
      <c r="C6" s="369" t="str">
        <f>IF(Indice_index!$Z$1=1,"1 - Receita, despesa e saldo das Administrações Públicas","1 - General Government revenue, expenditure and balance")</f>
        <v>1 - Receita, despesa e saldo das Administrações Públicas</v>
      </c>
      <c r="E6" s="1643" t="str">
        <f>IF(Indice_index!$Z$1=1,"26-agosto-22","26-August-22")</f>
        <v>26-agosto-22</v>
      </c>
      <c r="F6" s="1644" t="str">
        <f>IF(Indice_index!$Z$1=1,"26-setembro-22","26-September-22")</f>
        <v>26-setembro-22</v>
      </c>
      <c r="G6" s="1644" t="str">
        <f>IF(Indice_index!$Z$1=1,"julho 2022","July 2022")</f>
        <v>julho 2022</v>
      </c>
    </row>
    <row r="7" spans="2:26" ht="20.25" customHeight="1">
      <c r="C7" s="369" t="str">
        <f>IF(Indice_index!$Z$1=1,"2 - Conta Consolidada das Administrações Públicas","2 - General Government Consolidated Account")</f>
        <v>2 - Conta Consolidada das Administrações Públicas</v>
      </c>
      <c r="E7" s="1643"/>
      <c r="F7" s="1644"/>
      <c r="G7" s="1644"/>
    </row>
    <row r="8" spans="2:26" ht="20.25" customHeight="1">
      <c r="C8" s="619" t="str">
        <f>IF(Indice_index!$Z$1=1,"3 - Impacto orçamental das medidas adotadas no âmbito da COVID-19 pelas Administrações Públicas","3 - Budgetary impact of COVID-19 policy measures by the General Government")</f>
        <v>3 - Impacto orçamental das medidas adotadas no âmbito da COVID-19 pelas Administrações Públicas</v>
      </c>
      <c r="E8" s="1643"/>
      <c r="F8" s="1644"/>
      <c r="G8" s="1644"/>
    </row>
    <row r="9" spans="2:26" ht="20.25" customHeight="1">
      <c r="C9" s="619" t="str">
        <f>IF(Indice_index!$Z$1=1,"4 - Impacto orçamental das medidas adotadas no âmbito da COVID-19 por subsetor das Administrações Públicas","4 - Budgetary impact of COVID-19 policy measures by General Government subsector")</f>
        <v>4 - Impacto orçamental das medidas adotadas no âmbito da COVID-19 por subsetor das Administrações Públicas</v>
      </c>
      <c r="E9" s="1643"/>
      <c r="F9" s="1644"/>
      <c r="G9" s="1644"/>
    </row>
    <row r="10" spans="2:26" ht="20.25" customHeight="1">
      <c r="C10" s="369" t="str">
        <f>IF(Indice_index!$Z$1=1,"5 - Execução Orçamental consolidada da Administração Central e Segurança Social","5 - Central Government and Social Security Consolidated Budget Execution")</f>
        <v>5 - Execução Orçamental consolidada da Administração Central e Segurança Social</v>
      </c>
      <c r="E10" s="1643"/>
      <c r="F10" s="1644"/>
      <c r="G10" s="1644"/>
    </row>
    <row r="11" spans="2:26" ht="20.25" customHeight="1">
      <c r="C11" s="369" t="str">
        <f>IF(Indice_index!$Z$1=1,"6 - Conta consolidada da Administração Central","6 - Central Government consolidated execution")</f>
        <v>6 - Conta consolidada da Administração Central</v>
      </c>
      <c r="E11" s="1643"/>
      <c r="F11" s="1644"/>
      <c r="G11" s="1644"/>
    </row>
    <row r="12" spans="2:26" ht="20.25" customHeight="1">
      <c r="C12" s="369" t="str">
        <f>IF(Indice_index!$Z$1=1,"7 - Execução Orçamental do Estado","7 - State Budget Execution")</f>
        <v>7 - Execução Orçamental do Estado</v>
      </c>
      <c r="E12" s="1643"/>
      <c r="F12" s="1644"/>
      <c r="G12" s="1644"/>
      <c r="L12" s="13"/>
    </row>
    <row r="13" spans="2:26" ht="20.25" customHeight="1">
      <c r="C13" s="369" t="str">
        <f>IF(Indice_index!$Z$1=1,"8 - Execução da Receita do Estado","8 - State revenue implementation")</f>
        <v>8 - Execução da Receita do Estado</v>
      </c>
      <c r="E13" s="1643"/>
      <c r="F13" s="1644"/>
      <c r="G13" s="1644"/>
    </row>
    <row r="14" spans="2:26" ht="20.25" customHeight="1">
      <c r="C14" s="369" t="str">
        <f>IF(Indice_index!$Z$1=1,"9 - Execução Orçamental dos Serviços e Fundos Autónomos","9 - Autonomous Services and Funds Budget Execution")</f>
        <v>9 - Execução Orçamental dos Serviços e Fundos Autónomos</v>
      </c>
      <c r="E14" s="1643"/>
      <c r="F14" s="1644"/>
      <c r="G14" s="1644"/>
    </row>
    <row r="15" spans="2:26" ht="20.25" customHeight="1">
      <c r="C15" s="369" t="str">
        <f>IF(Indice_index!$Z$1=1,"10 - Execução Orçamental das Entidades Públicas Reclassificadas","10 - Reclassified State Owned Enterprises Execution")</f>
        <v>10 - Execução Orçamental das Entidades Públicas Reclassificadas</v>
      </c>
      <c r="E15" s="1643"/>
      <c r="F15" s="1644"/>
      <c r="G15" s="1644"/>
    </row>
    <row r="16" spans="2:26" ht="20.25" customHeight="1">
      <c r="C16" s="369" t="str">
        <f>IF(Indice_index!$Z$1=1,"11 - Execução Orçamental da Caixa Geral de Aposentações","11 - Public Servants Social Scheme Budget Execution")</f>
        <v>11 - Execução Orçamental da Caixa Geral de Aposentações</v>
      </c>
      <c r="E16" s="1643"/>
      <c r="F16" s="1644"/>
      <c r="G16" s="1644"/>
    </row>
    <row r="17" spans="2:7" ht="20.25" customHeight="1">
      <c r="C17" s="369" t="str">
        <f>IF(Indice_index!$Z$1=1,"12 - Execução Orçamental da Segurança Social, por natureza","12 - Social Security Budget Execution by nature")</f>
        <v>12 - Execução Orçamental da Segurança Social, por natureza</v>
      </c>
      <c r="E17" s="1643"/>
      <c r="F17" s="1644"/>
      <c r="G17" s="1644"/>
    </row>
    <row r="18" spans="2:7" ht="20.25" customHeight="1">
      <c r="C18" s="369" t="str">
        <f>IF(Indice_index!$Z$1=1,"13 - Execução Orçamental da Segurança Social por classificação económica","13 - Social Security Budget Execution by economic categories")</f>
        <v>13 - Execução Orçamental da Segurança Social por classificação económica</v>
      </c>
      <c r="E18" s="1643"/>
      <c r="F18" s="1644"/>
      <c r="G18" s="1644"/>
    </row>
    <row r="19" spans="2:7" s="15" customFormat="1" ht="20.25" customHeight="1">
      <c r="B19" s="7"/>
      <c r="C19" s="369" t="str">
        <f>IF(Indice_index!$Z$1=1,"14 - Execução Orçamental da Administração Regional","14 - Regional Government")</f>
        <v>14 - Execução Orçamental da Administração Regional</v>
      </c>
      <c r="D19" s="14"/>
      <c r="E19" s="1643"/>
      <c r="F19" s="1644"/>
      <c r="G19" s="1644"/>
    </row>
    <row r="20" spans="2:7" ht="20.25" customHeight="1">
      <c r="C20" s="369" t="str">
        <f>IF(Indice_index!$Z$1=1,"15 - Execução Orçamental da Administração Local","15 - Local Government")</f>
        <v>15 - Execução Orçamental da Administração Local</v>
      </c>
      <c r="E20" s="1643"/>
      <c r="F20" s="1644"/>
      <c r="G20" s="1644"/>
    </row>
    <row r="21" spans="2:7" ht="20.25" customHeight="1">
      <c r="C21" s="369" t="str">
        <f>IF(Indice_index!$Z$1=1,"16 - Despesa com Ativos Financeiros do Estado","16 - State Financial assets expenditure")</f>
        <v>16 - Despesa com Ativos Financeiros do Estado</v>
      </c>
      <c r="E21" s="1643"/>
      <c r="F21" s="1644"/>
      <c r="G21" s="1644"/>
    </row>
    <row r="22" spans="2:7" ht="20.25" customHeight="1">
      <c r="C22" s="369" t="str">
        <f>IF(Indice_index!$Z$1=1,"17 - Execução financeira consolidada do Serviço Nacional de Saúde","17 - National Health Service finantial implementation")</f>
        <v>17 - Execução financeira consolidada do Serviço Nacional de Saúde</v>
      </c>
      <c r="E22" s="1643"/>
      <c r="F22" s="1644"/>
      <c r="G22" s="1644"/>
    </row>
    <row r="23" spans="2:7" ht="20.25" customHeight="1">
      <c r="B23" s="15"/>
      <c r="C23" s="369" t="str">
        <f>IF(Indice_index!$Z$1=1,"18 - Dívida não Financeira da Administração Pública","18 - General Government non-Financial Debt")</f>
        <v>18 - Dívida não Financeira da Administração Pública</v>
      </c>
      <c r="E23" s="1643"/>
      <c r="F23" s="1644"/>
      <c r="G23" s="1644"/>
    </row>
    <row r="24" spans="2:7" ht="20.25" customHeight="1">
      <c r="C24" s="369" t="str">
        <f>IF(Indice_index!$Z$1=1,"19 - Indicadores Físicos e Financeiros do Sistema de Proteção Social da Função Pública","19 - Public Servants Social Scheme - Flows")</f>
        <v>19 - Indicadores Físicos e Financeiros do Sistema de Proteção Social da Função Pública</v>
      </c>
      <c r="E24" s="1643"/>
      <c r="F24" s="1644"/>
      <c r="G24" s="1644"/>
    </row>
    <row r="25" spans="2:7" ht="20.25" customHeight="1">
      <c r="C25" s="369" t="str">
        <f>IF(Indice_index!$Z$1=1,"20 - Efeitos temporários/especiais na conta da Administração Central e Segurança Social","20 - Temporary/special effects on the Central Government and Social Security Account")</f>
        <v>20 - Efeitos temporários/especiais na conta da Administração Central e Segurança Social</v>
      </c>
      <c r="E25" s="1643"/>
      <c r="F25" s="1644"/>
      <c r="G25" s="1644"/>
    </row>
    <row r="26" spans="2:7" ht="20.25" customHeight="1">
      <c r="C26" s="369" t="str">
        <f>IF(Indice_index!$Z$1=1,"21 - Estimativas de execução consideradas na conta da Administração Central","21 - Estimated amounts in Central Government Account")</f>
        <v>21 - Estimativas de execução consideradas na conta da Administração Central</v>
      </c>
      <c r="E26" s="1643"/>
      <c r="F26" s="1644"/>
      <c r="G26" s="1644"/>
    </row>
    <row r="27" spans="2:7" s="416" customFormat="1" ht="20.25" customHeight="1">
      <c r="C27" s="369" t="str">
        <f>IF(Indice_index!$Z$1=1,"22 - Utilização condicionada das dotações orçamentais do OT 2022","22 - Frozen allocations from the 2022 Transitional Budget")</f>
        <v>22 - Utilização condicionada das dotações orçamentais do OT 2022</v>
      </c>
      <c r="D27" s="417"/>
      <c r="E27" s="1643"/>
      <c r="F27" s="1644"/>
      <c r="G27" s="1644"/>
    </row>
    <row r="28" spans="2:7" s="416" customFormat="1" ht="20.25" customHeight="1">
      <c r="C28" s="1641" t="str">
        <f>IF(Indice_index!$Z$1=1,"23 - Utilização condicionada das dotações orçamentais do OE 2022","23 - Frozen allocations from the 2022 State Budget")</f>
        <v>23 - Utilização condicionada das dotações orçamentais do OE 2022</v>
      </c>
      <c r="D28" s="417"/>
      <c r="E28" s="1643"/>
      <c r="F28" s="1644"/>
      <c r="G28" s="1644"/>
    </row>
    <row r="29" spans="2:7" s="416" customFormat="1" ht="20.25" customHeight="1">
      <c r="C29" s="369" t="str">
        <f>IF(Indice_index!$Z$1=1,"24 - Lista de entidades da Administração Central em 2022","24 - Central Administration's list of entities in 2022")</f>
        <v>24 - Lista de entidades da Administração Central em 2022</v>
      </c>
      <c r="D29" s="417"/>
      <c r="E29" s="1643"/>
      <c r="F29" s="1644"/>
      <c r="G29" s="1644"/>
    </row>
    <row r="31" spans="2:7">
      <c r="C31" s="16"/>
    </row>
    <row r="44" spans="3:3" s="379" customFormat="1">
      <c r="C44" s="327"/>
    </row>
    <row r="45" spans="3:3" s="379" customFormat="1">
      <c r="C45" s="327"/>
    </row>
  </sheetData>
  <mergeCells count="4">
    <mergeCell ref="B1:C1"/>
    <mergeCell ref="E6:E29"/>
    <mergeCell ref="F6:F29"/>
    <mergeCell ref="G6:G29"/>
  </mergeCells>
  <hyperlinks>
    <hyperlink ref="C6" location="'1 - Saldo Global Rec Desp'!B2" display="'1 - Saldo Global Rec Desp'!B2" xr:uid="{00000000-0004-0000-0200-000000000000}"/>
    <hyperlink ref="C7" location="'2 - Conta Consol AP'!B2" display="'2 - Conta Consol AP'!B2" xr:uid="{00000000-0004-0000-0200-000001000000}"/>
    <hyperlink ref="C10" location="'5 - Conta AC + SS'!A1" display="'5 - Conta AC + SS'!A1" xr:uid="{00000000-0004-0000-0200-000002000000}"/>
    <hyperlink ref="C11" location="'6 - Conta AC'!A1" display="'6 - Conta AC'!A1" xr:uid="{00000000-0004-0000-0200-000003000000}"/>
    <hyperlink ref="C12" location="'7 - Estado'!A1" display="'7 - Estado'!A1" xr:uid="{00000000-0004-0000-0200-000004000000}"/>
    <hyperlink ref="C13" location="'8 - R_Est'!A1" display="'8 - R_Est'!A1" xr:uid="{00000000-0004-0000-0200-000005000000}"/>
    <hyperlink ref="C14" location="'9 - SFA'!A1" display="'9 - SFA'!A1" xr:uid="{00000000-0004-0000-0200-000006000000}"/>
    <hyperlink ref="C15" location="'10 - EPR'!A1" display="'10 - EPR'!A1" xr:uid="{00000000-0004-0000-0200-000007000000}"/>
    <hyperlink ref="C16" location="'11 - CGA'!A1" display="'11 - CGA'!A1" xr:uid="{00000000-0004-0000-0200-000008000000}"/>
    <hyperlink ref="C17" location="'12 - SS'!A1" display="'12 - SS'!A1" xr:uid="{00000000-0004-0000-0200-000009000000}"/>
    <hyperlink ref="C18" location="'13 - SS Eco'!A1" display="'13 - SS Eco'!A1" xr:uid="{00000000-0004-0000-0200-00000A000000}"/>
    <hyperlink ref="C19" location="'14 - Adm R'!A1" display="'14 - Adm R'!A1" xr:uid="{00000000-0004-0000-0200-00000B000000}"/>
    <hyperlink ref="C20" location="'15 - Adm Loc'!A1" display="'15 - Adm Loc'!A1" xr:uid="{00000000-0004-0000-0200-00000C000000}"/>
    <hyperlink ref="C21" location="'16 - Despesa Ativos '!A1" display="'16 - Despesa Ativos '!A1" xr:uid="{00000000-0004-0000-0200-00000D000000}"/>
    <hyperlink ref="C22" location="'17 - SNS exec fin'!A1" display="'17 - SNS exec fin'!A1" xr:uid="{00000000-0004-0000-0200-00000E000000}"/>
    <hyperlink ref="C23" location="'18 - Dív não Fin'!A1" display="'18 - Dív não Fin'!A1" xr:uid="{00000000-0004-0000-0200-00000F000000}"/>
    <hyperlink ref="C24" location="'19 - CGA Ind'!A1" display="'19 - CGA Ind'!A1" xr:uid="{00000000-0004-0000-0200-000010000000}"/>
    <hyperlink ref="C25" location="'20 - Ef Temp AC+SS'!A1" display="'20 - Ef Temp AC+SS'!A1" xr:uid="{00000000-0004-0000-0200-000011000000}"/>
    <hyperlink ref="C26" location="'21 - Estimativas'!A1" display="'21 - Estimativas'!A1" xr:uid="{00000000-0004-0000-0200-000012000000}"/>
    <hyperlink ref="C27" location="'23 - Util. Cond. Dot. Orç'!A1" display="'23 - Util. Cond. Dot. Orç'!A1" xr:uid="{00000000-0004-0000-0200-000013000000}"/>
    <hyperlink ref="C9" location="'4 - Medidas Covid-19 Subsetores'!A1" display="'4 - Medidas Covid-19 Subsetores'!A1" xr:uid="{00000000-0004-0000-0200-000014000000}"/>
    <hyperlink ref="C8" location="'3 - Medidas Covid-19 AP'!A1" display="'3 - Medidas Covid-19 AP'!A1" xr:uid="{00000000-0004-0000-0200-000015000000}"/>
    <hyperlink ref="C29" location="'23 - Lista Entidades AC 2022'!A1" display="'23 - Lista Entidades AC 2022'!A1" xr:uid="{0D49A08C-90F1-46DE-B02C-DCCDCE71443B}"/>
    <hyperlink ref="C28" location="'23 - Util. Cond. Dot. Orç'!A1" display="'23 - Util. Cond. Dot. Orç'!A1" xr:uid="{CED17D24-1765-4F1C-8A64-122F0BAA6A74}"/>
  </hyperlinks>
  <printOptions horizontalCentered="1"/>
  <pageMargins left="0.70866141732283472" right="0.70866141732283472" top="0.74803149606299213" bottom="0.74803149606299213" header="0.74803149606299213" footer="0.35433070866141736"/>
  <pageSetup paperSize="9" scale="48" orientation="portrait" r:id="rId1"/>
  <headerFooter differentOddEven="1">
    <oddFooter>&amp;R&amp;G</oddFooter>
    <evenFooter>&amp;L&amp;G</evenFooter>
  </headerFooter>
  <rowBreaks count="1" manualBreakCount="1">
    <brk id="61" min="1" max="6" man="1"/>
  </rowBreaks>
  <ignoredErrors>
    <ignoredError sqref="E5:F5 E29:F29 E6:F27" twoDigitTextYear="1"/>
  </ignoredErrors>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3073" r:id="rId5" name="Drop Down 1">
              <controlPr defaultSize="0" autoLine="0" autoPict="0">
                <anchor moveWithCells="1">
                  <from>
                    <xdr:col>2</xdr:col>
                    <xdr:colOff>2809875</xdr:colOff>
                    <xdr:row>0</xdr:row>
                    <xdr:rowOff>295275</xdr:rowOff>
                  </from>
                  <to>
                    <xdr:col>2</xdr:col>
                    <xdr:colOff>5410200</xdr:colOff>
                    <xdr:row>1</xdr:row>
                    <xdr:rowOff>28575</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Folha20"/>
  <dimension ref="A1:S74"/>
  <sheetViews>
    <sheetView showGridLines="0" zoomScaleNormal="100" zoomScaleSheetLayoutView="100" workbookViewId="0">
      <selection activeCell="B2" sqref="B2"/>
    </sheetView>
  </sheetViews>
  <sheetFormatPr defaultColWidth="9.140625" defaultRowHeight="12.75"/>
  <cols>
    <col min="1" max="1" width="1.5703125" style="392" customWidth="1"/>
    <col min="2" max="2" width="4.42578125" style="392" customWidth="1"/>
    <col min="3" max="3" width="44.5703125" style="392" customWidth="1"/>
    <col min="4" max="5" width="9.42578125" style="392" customWidth="1"/>
    <col min="6" max="6" width="1.140625" style="392" customWidth="1"/>
    <col min="7" max="8" width="9.42578125" style="392" customWidth="1"/>
    <col min="9" max="9" width="1.140625" style="392" customWidth="1"/>
    <col min="10" max="11" width="9.42578125" style="392" customWidth="1"/>
    <col min="12" max="17" width="8.5703125" style="392" customWidth="1"/>
    <col min="18" max="16384" width="9.140625" style="392"/>
  </cols>
  <sheetData>
    <row r="1" spans="1:19" ht="15" customHeight="1"/>
    <row r="2" spans="1:19" ht="24" customHeight="1">
      <c r="B2" s="8"/>
      <c r="C2" s="335" t="str">
        <f>IF(Indice_index!$Z$1=1,"16 - Despesa com Ativos Financeiros do Estado","16 - State Financial assets expenditure")</f>
        <v>16 - Despesa com Ativos Financeiros do Estado</v>
      </c>
      <c r="D2" s="335"/>
      <c r="E2" s="335"/>
      <c r="F2" s="335"/>
      <c r="G2" s="335"/>
      <c r="H2" s="335"/>
      <c r="I2" s="335"/>
      <c r="J2" s="335"/>
      <c r="K2" s="335"/>
    </row>
    <row r="3" spans="1:19" ht="15" customHeight="1"/>
    <row r="4" spans="1:19" ht="15" customHeight="1"/>
    <row r="5" spans="1:19" s="393" customFormat="1" ht="15" customHeight="1">
      <c r="C5" s="1397" t="str">
        <f>+'5 - Conta AC + SS'!C5</f>
        <v>Período: janeiro a julho</v>
      </c>
      <c r="D5" s="1397"/>
      <c r="E5" s="1397"/>
      <c r="F5" s="392"/>
      <c r="G5" s="1397"/>
      <c r="I5" s="392"/>
      <c r="J5" s="963"/>
      <c r="K5" s="963" t="str">
        <f>IF(Indice_index!$Z$1=1,"€ Milhões","€ Millions")</f>
        <v>€ Milhões</v>
      </c>
    </row>
    <row r="6" spans="1:19" ht="22.5">
      <c r="C6" s="1398"/>
      <c r="D6" s="1409" t="str">
        <f>IF(Indice_index!$Z$1=1,"CGE","Final execution")</f>
        <v>CGE</v>
      </c>
      <c r="E6" s="1409" t="str">
        <f>IF(Indice_index!$Z$1=1,"Orçamento Inicial","Budget")</f>
        <v>Orçamento Inicial</v>
      </c>
      <c r="G6" s="1747" t="str">
        <f>IF(Indice_index!$Z$1=1,"Execução","Execution")</f>
        <v>Execução</v>
      </c>
      <c r="H6" s="1747"/>
      <c r="J6" s="1414" t="str">
        <f>IF(Indice_index!$Z$1=1,"Execução Acumulada","Accumulated Execution")</f>
        <v>Execução Acumulada</v>
      </c>
      <c r="K6" s="1748" t="str">
        <f>IF(Indice_index!$Z$1=1,"Grau de Execução (%)","Execution Dregree (%)")</f>
        <v>Grau de Execução (%)</v>
      </c>
      <c r="L6" s="394"/>
      <c r="M6" s="394"/>
      <c r="N6" s="394"/>
      <c r="O6" s="394"/>
      <c r="P6" s="394"/>
      <c r="Q6" s="394"/>
      <c r="R6" s="395"/>
      <c r="S6" s="395"/>
    </row>
    <row r="7" spans="1:19" ht="21.75" customHeight="1">
      <c r="C7" s="1399"/>
      <c r="D7" s="1410" t="s">
        <v>67</v>
      </c>
      <c r="E7" s="1411" t="s">
        <v>74</v>
      </c>
      <c r="G7" s="1415" t="str">
        <f>IF(Indice_index!$Z$1=1,"jun-22","Jun-22")</f>
        <v>jun-22</v>
      </c>
      <c r="H7" s="1415" t="str">
        <f>IF(Indice_index!$Z$1=1,"jul-22","Jul-22")</f>
        <v>jul-22</v>
      </c>
      <c r="J7" s="1410" t="s">
        <v>74</v>
      </c>
      <c r="K7" s="1749"/>
      <c r="L7" s="396"/>
      <c r="M7" s="397"/>
      <c r="N7" s="391"/>
      <c r="O7" s="391"/>
      <c r="P7" s="398"/>
      <c r="Q7" s="399"/>
      <c r="R7" s="395"/>
      <c r="S7" s="395"/>
    </row>
    <row r="8" spans="1:19" s="400" customFormat="1" ht="4.5" customHeight="1">
      <c r="A8" s="392"/>
      <c r="C8" s="1400"/>
      <c r="D8" s="1400"/>
      <c r="E8" s="1400"/>
      <c r="F8" s="392"/>
      <c r="G8" s="401"/>
      <c r="H8" s="401"/>
      <c r="I8" s="392"/>
      <c r="J8" s="401"/>
      <c r="K8" s="401"/>
      <c r="L8" s="401"/>
      <c r="N8" s="401"/>
      <c r="P8" s="372"/>
    </row>
    <row r="9" spans="1:19" s="393" customFormat="1" ht="15" customHeight="1">
      <c r="C9" s="1401" t="str">
        <f>IF(Indice_index!$Z$1=1,"Empréstimos a curto prazo","Short term loans")</f>
        <v>Empréstimos a curto prazo</v>
      </c>
      <c r="D9" s="1407">
        <v>19.559999999999999</v>
      </c>
      <c r="E9" s="1407">
        <v>10</v>
      </c>
      <c r="F9" s="392"/>
      <c r="G9" s="1407">
        <v>0</v>
      </c>
      <c r="H9" s="1407">
        <v>0</v>
      </c>
      <c r="I9" s="392"/>
      <c r="J9" s="1407">
        <v>64.961746000000005</v>
      </c>
      <c r="K9" s="1412" t="s">
        <v>2</v>
      </c>
      <c r="L9" s="403"/>
      <c r="M9" s="404"/>
      <c r="N9" s="403"/>
      <c r="O9" s="403"/>
      <c r="P9" s="403"/>
      <c r="Q9" s="405"/>
      <c r="R9" s="405"/>
    </row>
    <row r="10" spans="1:19" s="393" customFormat="1" ht="15" customHeight="1">
      <c r="C10" s="1401" t="str">
        <f>IF(Indice_index!$Z$1=1,"Empréstimos a médio e longo prazo","Medium-long term loans")</f>
        <v>Empréstimos a médio e longo prazo</v>
      </c>
      <c r="D10" s="1407">
        <v>911.41391612999985</v>
      </c>
      <c r="E10" s="1407">
        <v>7018.2399129999994</v>
      </c>
      <c r="F10" s="392"/>
      <c r="G10" s="1407">
        <v>10.550477999999998</v>
      </c>
      <c r="H10" s="1407">
        <v>29.413500999999997</v>
      </c>
      <c r="I10" s="392"/>
      <c r="J10" s="1407">
        <v>219.19825095000002</v>
      </c>
      <c r="K10" s="1412">
        <v>3.1232652868417272</v>
      </c>
      <c r="L10" s="403"/>
      <c r="M10" s="404"/>
      <c r="N10" s="403"/>
      <c r="O10" s="403"/>
      <c r="P10" s="403"/>
      <c r="Q10" s="405"/>
      <c r="R10" s="405"/>
    </row>
    <row r="11" spans="1:19" ht="15" customHeight="1">
      <c r="C11" s="1402" t="str">
        <f>IF(Indice_index!$Z$1=1,"Entidades públicas","Public entities")</f>
        <v>Entidades públicas</v>
      </c>
      <c r="D11" s="391">
        <v>0.85635249000000002</v>
      </c>
      <c r="E11" s="391">
        <v>2650</v>
      </c>
      <c r="G11" s="391">
        <v>0</v>
      </c>
      <c r="H11" s="391">
        <v>0</v>
      </c>
      <c r="J11" s="391">
        <v>0</v>
      </c>
      <c r="K11" s="1413">
        <v>0</v>
      </c>
      <c r="L11" s="406"/>
      <c r="M11" s="407"/>
      <c r="N11" s="406"/>
      <c r="O11" s="406"/>
      <c r="P11" s="406"/>
      <c r="Q11" s="391"/>
      <c r="R11" s="391"/>
    </row>
    <row r="12" spans="1:19" ht="15" customHeight="1">
      <c r="C12" s="1402" t="str">
        <f>IF(Indice_index!$Z$1=1,"Serviços e Fundos Autónomos","Autonomous Services and Funds ")</f>
        <v>Serviços e Fundos Autónomos</v>
      </c>
      <c r="D12" s="391">
        <v>0</v>
      </c>
      <c r="E12" s="391">
        <v>1058</v>
      </c>
      <c r="G12" s="391">
        <v>0</v>
      </c>
      <c r="H12" s="391">
        <v>0</v>
      </c>
      <c r="J12" s="391">
        <v>0</v>
      </c>
      <c r="K12" s="1413">
        <v>0</v>
      </c>
      <c r="L12" s="406"/>
      <c r="M12" s="407"/>
      <c r="N12" s="406"/>
      <c r="O12" s="406"/>
      <c r="P12" s="406"/>
      <c r="Q12" s="391"/>
      <c r="R12" s="391"/>
    </row>
    <row r="13" spans="1:19" ht="15" customHeight="1">
      <c r="C13" s="1402" t="str">
        <f>IF(Indice_index!$Z$1=1,"Entidades públicas reclassificadas","Reclassified public entities")</f>
        <v>Entidades públicas reclassificadas</v>
      </c>
      <c r="D13" s="391">
        <v>823.68396933999986</v>
      </c>
      <c r="E13" s="391">
        <v>1996.7760220000002</v>
      </c>
      <c r="G13" s="391">
        <v>10.550477999999998</v>
      </c>
      <c r="H13" s="391">
        <v>29.413500999999997</v>
      </c>
      <c r="J13" s="391">
        <v>181.45668000000001</v>
      </c>
      <c r="K13" s="1413">
        <v>9.0874829225087712</v>
      </c>
      <c r="L13" s="406"/>
      <c r="M13" s="407"/>
      <c r="N13" s="406"/>
      <c r="O13" s="406"/>
      <c r="P13" s="406"/>
      <c r="Q13" s="391"/>
      <c r="R13" s="391"/>
    </row>
    <row r="14" spans="1:19" ht="15" customHeight="1">
      <c r="C14" s="1403" t="str">
        <f>IF(Indice_index!$Z$1=1,"Países terceiros","Other countries")</f>
        <v>Países terceiros</v>
      </c>
      <c r="D14" s="391">
        <v>0</v>
      </c>
      <c r="E14" s="391">
        <v>5</v>
      </c>
      <c r="G14" s="391">
        <v>0</v>
      </c>
      <c r="H14" s="391">
        <v>0</v>
      </c>
      <c r="J14" s="391">
        <v>0</v>
      </c>
      <c r="K14" s="1413">
        <v>0</v>
      </c>
      <c r="L14" s="406"/>
      <c r="M14" s="407"/>
      <c r="N14" s="406"/>
      <c r="O14" s="406"/>
      <c r="P14" s="406"/>
      <c r="Q14" s="391"/>
      <c r="R14" s="391"/>
    </row>
    <row r="15" spans="1:19" ht="15" customHeight="1">
      <c r="C15" s="1402" t="str">
        <f>IF(Indice_index!$Z$1=1,"Fundo de Resolução Europeu","European Resolution Fund")</f>
        <v>Fundo de Resolução Europeu</v>
      </c>
      <c r="D15" s="391">
        <v>0</v>
      </c>
      <c r="E15" s="391">
        <v>852.5</v>
      </c>
      <c r="G15" s="391">
        <v>0</v>
      </c>
      <c r="H15" s="391">
        <v>0</v>
      </c>
      <c r="J15" s="391">
        <v>0</v>
      </c>
      <c r="K15" s="1413">
        <v>0</v>
      </c>
      <c r="L15" s="406"/>
      <c r="M15" s="407"/>
      <c r="N15" s="406"/>
      <c r="O15" s="406"/>
      <c r="P15" s="406"/>
      <c r="Q15" s="391"/>
      <c r="R15" s="391"/>
    </row>
    <row r="16" spans="1:19" ht="15" customHeight="1">
      <c r="C16" s="1402" t="str">
        <f>IF(Indice_index!$Z$1=1,"Portugal 2020","Portugal 2020")</f>
        <v>Portugal 2020</v>
      </c>
      <c r="D16" s="391">
        <v>50.279335079999996</v>
      </c>
      <c r="E16" s="391">
        <v>90</v>
      </c>
      <c r="G16" s="391">
        <v>0</v>
      </c>
      <c r="H16" s="391">
        <v>0</v>
      </c>
      <c r="J16" s="391">
        <v>0</v>
      </c>
      <c r="K16" s="1413">
        <v>0</v>
      </c>
      <c r="L16" s="406"/>
      <c r="M16" s="407"/>
      <c r="N16" s="406"/>
      <c r="O16" s="406"/>
      <c r="P16" s="406"/>
      <c r="Q16" s="391"/>
      <c r="R16" s="391"/>
    </row>
    <row r="17" spans="3:19" ht="15" customHeight="1">
      <c r="C17" s="1402" t="str">
        <f>IF(Indice_index!$Z$1=1,"Fundos públicos","Public Funds")</f>
        <v>Fundos públicos</v>
      </c>
      <c r="D17" s="391">
        <v>36.31072322</v>
      </c>
      <c r="E17" s="391">
        <v>365.96389099999993</v>
      </c>
      <c r="G17" s="391">
        <v>0</v>
      </c>
      <c r="H17" s="391">
        <v>0</v>
      </c>
      <c r="J17" s="391">
        <v>37.741570950000003</v>
      </c>
      <c r="K17" s="1413">
        <v>10.312922088261438</v>
      </c>
      <c r="L17" s="406"/>
      <c r="M17" s="407"/>
      <c r="N17" s="406"/>
      <c r="O17" s="406"/>
      <c r="P17" s="406"/>
      <c r="Q17" s="391"/>
      <c r="R17" s="391"/>
    </row>
    <row r="18" spans="3:19" s="393" customFormat="1" ht="15" customHeight="1">
      <c r="C18" s="1401" t="str">
        <f>IF(Indice_index!$Z$1=1,"Dotações de capital","Capital injections")</f>
        <v>Dotações de capital</v>
      </c>
      <c r="D18" s="1407">
        <v>3997.8044726200001</v>
      </c>
      <c r="E18" s="1407">
        <v>4109.166639</v>
      </c>
      <c r="F18" s="392"/>
      <c r="G18" s="1407">
        <v>131.66263300000003</v>
      </c>
      <c r="H18" s="1407">
        <v>66.963730920000089</v>
      </c>
      <c r="I18" s="392"/>
      <c r="J18" s="1407">
        <v>827.72847392000006</v>
      </c>
      <c r="K18" s="1412">
        <v>20.143463301391805</v>
      </c>
      <c r="L18" s="403"/>
      <c r="M18" s="404"/>
      <c r="N18" s="403"/>
      <c r="O18" s="403"/>
      <c r="P18" s="403"/>
      <c r="Q18" s="405"/>
      <c r="R18" s="405"/>
    </row>
    <row r="19" spans="3:19" ht="15" customHeight="1">
      <c r="C19" s="1402" t="str">
        <f>IF(Indice_index!$Z$1=1,"Empresas públicas não financeiras","Non financial public enterprises")</f>
        <v>Empresas públicas não financeiras</v>
      </c>
      <c r="D19" s="391">
        <v>998.5</v>
      </c>
      <c r="E19" s="391">
        <v>991.68418299999996</v>
      </c>
      <c r="G19" s="391">
        <v>0</v>
      </c>
      <c r="H19" s="391">
        <v>0</v>
      </c>
      <c r="J19" s="391">
        <v>0</v>
      </c>
      <c r="K19" s="1413">
        <v>0</v>
      </c>
      <c r="L19" s="406"/>
      <c r="M19" s="407"/>
      <c r="N19" s="406"/>
      <c r="O19" s="406"/>
      <c r="P19" s="406"/>
      <c r="Q19" s="391"/>
      <c r="R19" s="391"/>
    </row>
    <row r="20" spans="3:19" ht="15" customHeight="1">
      <c r="C20" s="1402" t="str">
        <f>IF(Indice_index!$Z$1=1,"Empresas públicas reclassificadas","Reclassified public entities")</f>
        <v>Empresas públicas reclassificadas</v>
      </c>
      <c r="D20" s="391">
        <v>2999.1892240000002</v>
      </c>
      <c r="E20" s="391">
        <v>3110.9284349999998</v>
      </c>
      <c r="G20" s="391">
        <v>131.66263300000003</v>
      </c>
      <c r="H20" s="391">
        <v>66.910988000000089</v>
      </c>
      <c r="J20" s="391">
        <v>827.67573100000004</v>
      </c>
      <c r="K20" s="1413">
        <v>26.605424981433242</v>
      </c>
      <c r="L20" s="406"/>
      <c r="M20" s="407"/>
      <c r="N20" s="406"/>
      <c r="O20" s="406"/>
      <c r="P20" s="406"/>
      <c r="Q20" s="391"/>
      <c r="R20" s="391"/>
    </row>
    <row r="21" spans="3:19" ht="15" customHeight="1">
      <c r="C21" s="1402" t="str">
        <f>IF(Indice_index!$Z$1=1,"Fundos Públicos","Public Funds")</f>
        <v>Fundos Públicos</v>
      </c>
      <c r="D21" s="391">
        <v>0.11524862</v>
      </c>
      <c r="E21" s="391">
        <v>6.5540209999999997</v>
      </c>
      <c r="G21" s="391">
        <v>0</v>
      </c>
      <c r="H21" s="391">
        <v>5.2742919999999999E-2</v>
      </c>
      <c r="J21" s="391">
        <v>5.2742919999999999E-2</v>
      </c>
      <c r="K21" s="1413">
        <v>0.80474139463392014</v>
      </c>
      <c r="L21" s="406"/>
      <c r="M21" s="407"/>
      <c r="N21" s="406"/>
      <c r="O21" s="406"/>
      <c r="P21" s="406"/>
      <c r="Q21" s="391"/>
      <c r="R21" s="391"/>
    </row>
    <row r="22" spans="3:19" s="393" customFormat="1" ht="15" customHeight="1">
      <c r="C22" s="1401" t="str">
        <f>IF(Indice_index!$Z$1=1,"Aquisição de Participações","Acquisition of Shares")</f>
        <v>Aquisição de Participações</v>
      </c>
      <c r="D22" s="1407">
        <v>9.9999999999999995E-7</v>
      </c>
      <c r="E22" s="1407">
        <v>0</v>
      </c>
      <c r="F22" s="392"/>
      <c r="G22" s="1407">
        <v>0</v>
      </c>
      <c r="H22" s="1407">
        <v>0</v>
      </c>
      <c r="I22" s="392"/>
      <c r="J22" s="1407">
        <v>0</v>
      </c>
      <c r="K22" s="1412">
        <v>0</v>
      </c>
      <c r="L22" s="403"/>
      <c r="M22" s="404"/>
      <c r="N22" s="403"/>
      <c r="O22" s="403"/>
      <c r="P22" s="403"/>
      <c r="Q22" s="405"/>
      <c r="R22" s="405"/>
    </row>
    <row r="23" spans="3:19" s="393" customFormat="1" ht="15" customHeight="1">
      <c r="C23" s="1401" t="str">
        <f>IF(Indice_index!$Z$1=1,"Aquisição de Créditos","Credit acquisition")</f>
        <v>Aquisição de Créditos</v>
      </c>
      <c r="D23" s="1407">
        <v>0</v>
      </c>
      <c r="E23" s="1407">
        <v>0</v>
      </c>
      <c r="F23" s="392"/>
      <c r="G23" s="1407">
        <v>0</v>
      </c>
      <c r="H23" s="1407">
        <v>0</v>
      </c>
      <c r="I23" s="392"/>
      <c r="J23" s="1407">
        <v>0</v>
      </c>
      <c r="K23" s="1412">
        <v>0</v>
      </c>
      <c r="L23" s="403"/>
      <c r="M23" s="404"/>
      <c r="N23" s="403"/>
      <c r="O23" s="403"/>
      <c r="P23" s="403"/>
      <c r="Q23" s="405"/>
      <c r="R23" s="405"/>
    </row>
    <row r="24" spans="3:19" s="393" customFormat="1" ht="15" customHeight="1">
      <c r="C24" s="1401" t="str">
        <f>IF(Indice_index!$Z$1=1,"Títulos de Curto Prazo","Short Term Bonds")</f>
        <v>Títulos de Curto Prazo</v>
      </c>
      <c r="D24" s="1407">
        <v>0</v>
      </c>
      <c r="E24" s="1407">
        <v>0</v>
      </c>
      <c r="F24" s="392"/>
      <c r="G24" s="1407">
        <v>0</v>
      </c>
      <c r="H24" s="1407">
        <v>0</v>
      </c>
      <c r="I24" s="392"/>
      <c r="J24" s="1407">
        <v>0</v>
      </c>
      <c r="K24" s="1412">
        <v>0</v>
      </c>
      <c r="L24" s="403"/>
      <c r="M24" s="404"/>
      <c r="N24" s="403"/>
      <c r="O24" s="403"/>
      <c r="P24" s="403"/>
      <c r="Q24" s="405"/>
      <c r="R24" s="405"/>
    </row>
    <row r="25" spans="3:19" s="393" customFormat="1" ht="15" customHeight="1">
      <c r="C25" s="1401" t="str">
        <f>IF(Indice_index!$Z$1=1,"Execução de garantias","Guarantees executions")</f>
        <v>Execução de garantias</v>
      </c>
      <c r="D25" s="1407">
        <v>14.31235051</v>
      </c>
      <c r="E25" s="1407">
        <v>127.97064899999999</v>
      </c>
      <c r="F25" s="392"/>
      <c r="G25" s="1407">
        <v>4.4099999999999973E-2</v>
      </c>
      <c r="H25" s="1407">
        <v>0.16889367999999999</v>
      </c>
      <c r="I25" s="392"/>
      <c r="J25" s="1407">
        <v>0.5176030399999999</v>
      </c>
      <c r="K25" s="1412">
        <v>0.40447012189490417</v>
      </c>
      <c r="L25" s="403"/>
      <c r="M25" s="404"/>
      <c r="N25" s="403"/>
      <c r="O25" s="403"/>
      <c r="P25" s="403"/>
      <c r="Q25" s="405"/>
      <c r="R25" s="405"/>
    </row>
    <row r="26" spans="3:19" s="393" customFormat="1" ht="15" customHeight="1">
      <c r="C26" s="1401" t="str">
        <f>IF(Indice_index!$Z$1=1,"Expropriações","Expropriations")</f>
        <v>Expropriações</v>
      </c>
      <c r="D26" s="1407">
        <v>0</v>
      </c>
      <c r="E26" s="1407">
        <v>1</v>
      </c>
      <c r="F26" s="392"/>
      <c r="G26" s="1407">
        <v>0</v>
      </c>
      <c r="H26" s="1407">
        <v>0</v>
      </c>
      <c r="I26" s="392"/>
      <c r="J26" s="1407">
        <v>0</v>
      </c>
      <c r="K26" s="1412">
        <v>0</v>
      </c>
      <c r="L26" s="403"/>
      <c r="M26" s="404"/>
      <c r="N26" s="403"/>
      <c r="O26" s="403"/>
      <c r="P26" s="403"/>
      <c r="Q26" s="405"/>
      <c r="R26" s="405"/>
    </row>
    <row r="27" spans="3:19" s="393" customFormat="1" ht="15" customHeight="1">
      <c r="C27" s="1401" t="str">
        <f>IF(Indice_index!$Z$1=1,"Participações em organizações internacionais","International Organizations membership")</f>
        <v>Participações em organizações internacionais</v>
      </c>
      <c r="D27" s="1407">
        <v>1.8977506899999999</v>
      </c>
      <c r="E27" s="1407">
        <v>14.185141</v>
      </c>
      <c r="F27" s="392"/>
      <c r="G27" s="1407">
        <v>0</v>
      </c>
      <c r="H27" s="1407">
        <v>0</v>
      </c>
      <c r="I27" s="392"/>
      <c r="J27" s="1407">
        <v>1.8009701</v>
      </c>
      <c r="K27" s="1412">
        <v>12.696173411318224</v>
      </c>
      <c r="L27" s="403"/>
      <c r="M27" s="404"/>
      <c r="N27" s="403"/>
      <c r="O27" s="403"/>
      <c r="P27" s="403"/>
      <c r="Q27" s="405"/>
      <c r="R27" s="405"/>
    </row>
    <row r="28" spans="3:19" s="393" customFormat="1" ht="15" customHeight="1">
      <c r="C28" s="1401" t="str">
        <f>IF(Indice_index!$Z$1=1,"Outros ativos","Others")</f>
        <v>Outros ativos</v>
      </c>
      <c r="D28" s="1407">
        <v>0</v>
      </c>
      <c r="E28" s="1407">
        <v>37.676518000000002</v>
      </c>
      <c r="F28" s="392"/>
      <c r="G28" s="1407">
        <v>0</v>
      </c>
      <c r="H28" s="1407">
        <v>0</v>
      </c>
      <c r="I28" s="392"/>
      <c r="J28" s="1407">
        <v>0</v>
      </c>
      <c r="K28" s="1412">
        <v>0</v>
      </c>
      <c r="L28" s="403"/>
      <c r="M28" s="404"/>
      <c r="N28" s="403"/>
      <c r="O28" s="403"/>
      <c r="P28" s="403"/>
      <c r="Q28" s="405"/>
      <c r="R28" s="405"/>
    </row>
    <row r="29" spans="3:19" s="393" customFormat="1" ht="4.5" customHeight="1">
      <c r="C29" s="1404"/>
      <c r="D29" s="1404"/>
      <c r="E29" s="1404"/>
      <c r="F29" s="392"/>
      <c r="G29" s="1404"/>
      <c r="H29" s="1404"/>
      <c r="I29" s="392"/>
      <c r="J29" s="1404"/>
      <c r="K29" s="1404"/>
      <c r="L29" s="403"/>
      <c r="M29" s="404"/>
      <c r="N29" s="403"/>
      <c r="O29" s="403"/>
      <c r="P29" s="403"/>
      <c r="Q29" s="405"/>
      <c r="R29" s="405"/>
      <c r="S29" s="408"/>
    </row>
    <row r="30" spans="3:19" s="393" customFormat="1" ht="15" customHeight="1">
      <c r="C30" s="1405" t="str">
        <f>IF(Indice_index!$Z$1=1,"Total dos ativos financeiros","Financial Assets - Total")</f>
        <v>Total dos ativos financeiros</v>
      </c>
      <c r="D30" s="1408">
        <v>4944.9884909500006</v>
      </c>
      <c r="E30" s="1408">
        <v>11318.238860000001</v>
      </c>
      <c r="F30" s="392"/>
      <c r="G30" s="1408">
        <v>142.25721100000001</v>
      </c>
      <c r="H30" s="1408">
        <v>96.546125600000082</v>
      </c>
      <c r="I30" s="392"/>
      <c r="J30" s="1408">
        <v>1114.2070440100003</v>
      </c>
      <c r="K30" s="1408">
        <v>9.8443499716880876</v>
      </c>
      <c r="L30" s="403"/>
      <c r="M30" s="404"/>
      <c r="N30" s="403"/>
      <c r="O30" s="403"/>
      <c r="P30" s="403"/>
      <c r="Q30" s="405"/>
      <c r="R30" s="405"/>
      <c r="S30" s="405"/>
    </row>
    <row r="31" spans="3:19" ht="4.5" customHeight="1">
      <c r="C31" s="1222"/>
      <c r="D31" s="402"/>
      <c r="E31" s="402"/>
      <c r="G31" s="402"/>
      <c r="H31" s="402"/>
      <c r="J31" s="402"/>
      <c r="K31" s="402"/>
      <c r="L31" s="409"/>
      <c r="M31" s="407"/>
      <c r="N31" s="402"/>
      <c r="O31" s="402"/>
      <c r="P31" s="402"/>
      <c r="Q31" s="402"/>
      <c r="R31" s="402"/>
    </row>
    <row r="32" spans="3:19" ht="15" customHeight="1">
      <c r="C32" s="1406" t="str">
        <f>IF(Indice_index!$Z$1=1,"Fonte: Ministério das Finanças","Source: Ministry of Finance")</f>
        <v>Fonte: Ministério das Finanças</v>
      </c>
      <c r="D32" s="138"/>
      <c r="E32" s="138"/>
      <c r="G32" s="334"/>
      <c r="H32" s="334"/>
      <c r="J32" s="334"/>
      <c r="K32" s="334"/>
      <c r="L32" s="409"/>
      <c r="M32" s="409"/>
      <c r="N32" s="410"/>
      <c r="O32" s="409"/>
      <c r="P32" s="409"/>
    </row>
    <row r="33" spans="3:16">
      <c r="C33" s="138"/>
      <c r="D33" s="138"/>
      <c r="E33" s="138"/>
      <c r="F33" s="411"/>
      <c r="G33" s="138"/>
      <c r="H33" s="138"/>
      <c r="I33" s="411"/>
      <c r="J33" s="138"/>
      <c r="K33" s="138"/>
      <c r="L33" s="409"/>
      <c r="M33" s="409"/>
      <c r="N33" s="410"/>
      <c r="O33" s="409"/>
      <c r="P33" s="409"/>
    </row>
    <row r="34" spans="3:16">
      <c r="C34" s="138"/>
      <c r="D34" s="138"/>
      <c r="E34" s="138"/>
      <c r="F34" s="411"/>
      <c r="G34" s="138"/>
      <c r="H34" s="138"/>
      <c r="I34" s="411"/>
      <c r="J34" s="138"/>
      <c r="K34" s="138"/>
      <c r="L34" s="409"/>
      <c r="M34" s="409"/>
      <c r="N34" s="410"/>
      <c r="O34" s="409"/>
      <c r="P34" s="409"/>
    </row>
    <row r="35" spans="3:16">
      <c r="C35" s="138"/>
      <c r="D35" s="138"/>
      <c r="E35" s="138"/>
      <c r="F35" s="411"/>
      <c r="G35" s="138"/>
      <c r="H35" s="138"/>
      <c r="I35" s="411"/>
      <c r="J35" s="138"/>
      <c r="K35" s="138"/>
      <c r="L35" s="409"/>
      <c r="M35" s="409"/>
      <c r="N35" s="412"/>
      <c r="O35" s="409"/>
      <c r="P35" s="409"/>
    </row>
    <row r="36" spans="3:16">
      <c r="C36" s="138"/>
      <c r="D36" s="138"/>
      <c r="E36" s="138"/>
      <c r="F36" s="411"/>
      <c r="G36" s="138"/>
      <c r="H36" s="138"/>
      <c r="I36" s="411"/>
      <c r="J36" s="138"/>
      <c r="K36" s="138"/>
      <c r="L36" s="402"/>
      <c r="M36" s="402"/>
      <c r="N36" s="402"/>
      <c r="O36" s="402"/>
      <c r="P36" s="402"/>
    </row>
    <row r="37" spans="3:16">
      <c r="C37" s="138"/>
      <c r="D37" s="138"/>
      <c r="E37" s="138"/>
      <c r="F37" s="411"/>
      <c r="G37" s="138"/>
      <c r="H37" s="138"/>
      <c r="I37" s="411"/>
      <c r="J37" s="138"/>
      <c r="K37" s="138"/>
      <c r="L37" s="409"/>
      <c r="M37" s="409"/>
      <c r="N37" s="413"/>
      <c r="O37" s="409"/>
      <c r="P37" s="409"/>
    </row>
    <row r="38" spans="3:16">
      <c r="F38" s="411"/>
      <c r="I38" s="411"/>
      <c r="L38" s="409"/>
      <c r="M38" s="409"/>
      <c r="N38" s="409"/>
      <c r="O38" s="409"/>
      <c r="P38" s="409"/>
    </row>
    <row r="39" spans="3:16">
      <c r="F39" s="411"/>
      <c r="I39" s="411"/>
      <c r="L39" s="409"/>
      <c r="M39" s="409"/>
      <c r="N39" s="412"/>
      <c r="O39" s="409"/>
      <c r="P39" s="409"/>
    </row>
    <row r="40" spans="3:16">
      <c r="F40" s="411"/>
      <c r="I40" s="411"/>
      <c r="L40" s="409"/>
      <c r="M40" s="409"/>
      <c r="N40" s="412"/>
      <c r="O40" s="409"/>
      <c r="P40" s="409"/>
    </row>
    <row r="41" spans="3:16">
      <c r="F41" s="411"/>
      <c r="I41" s="411"/>
      <c r="L41" s="409"/>
      <c r="M41" s="409"/>
      <c r="N41" s="412"/>
      <c r="O41" s="409"/>
      <c r="P41" s="409"/>
    </row>
    <row r="42" spans="3:16">
      <c r="F42" s="411"/>
      <c r="I42" s="411"/>
      <c r="L42" s="409"/>
      <c r="M42" s="409"/>
      <c r="N42" s="413"/>
      <c r="O42" s="409"/>
      <c r="P42" s="409"/>
    </row>
    <row r="43" spans="3:16">
      <c r="F43" s="411"/>
      <c r="I43" s="411"/>
      <c r="L43" s="409"/>
      <c r="M43" s="409"/>
      <c r="N43" s="413"/>
      <c r="O43" s="409"/>
      <c r="P43" s="409"/>
    </row>
    <row r="44" spans="3:16">
      <c r="F44" s="411"/>
      <c r="I44" s="411"/>
      <c r="L44" s="409"/>
      <c r="M44" s="409"/>
      <c r="N44" s="409"/>
      <c r="O44" s="409"/>
      <c r="P44" s="409"/>
    </row>
    <row r="45" spans="3:16">
      <c r="F45" s="411"/>
      <c r="I45" s="411"/>
      <c r="L45" s="409"/>
      <c r="M45" s="409"/>
      <c r="N45" s="413"/>
      <c r="O45" s="409"/>
      <c r="P45" s="409"/>
    </row>
    <row r="46" spans="3:16">
      <c r="F46" s="411"/>
      <c r="I46" s="411"/>
      <c r="L46" s="409"/>
      <c r="M46" s="409"/>
      <c r="N46" s="413"/>
      <c r="O46" s="409"/>
      <c r="P46" s="409"/>
    </row>
    <row r="47" spans="3:16">
      <c r="F47" s="411"/>
      <c r="I47" s="411"/>
      <c r="L47" s="409"/>
      <c r="M47" s="409"/>
      <c r="N47" s="413"/>
      <c r="O47" s="409"/>
      <c r="P47" s="409"/>
    </row>
    <row r="48" spans="3:16">
      <c r="F48" s="411"/>
      <c r="I48" s="411"/>
      <c r="L48" s="409"/>
      <c r="M48" s="409"/>
      <c r="N48" s="413"/>
      <c r="O48" s="409"/>
      <c r="P48" s="409"/>
    </row>
    <row r="49" spans="6:18">
      <c r="F49" s="411"/>
      <c r="I49" s="411"/>
      <c r="L49" s="409"/>
      <c r="M49" s="409"/>
      <c r="N49" s="413"/>
      <c r="O49" s="409"/>
      <c r="P49" s="409"/>
    </row>
    <row r="50" spans="6:18">
      <c r="F50" s="411"/>
      <c r="I50" s="411"/>
      <c r="L50" s="409"/>
      <c r="M50" s="409"/>
      <c r="N50" s="413"/>
      <c r="O50" s="409"/>
      <c r="P50" s="409"/>
    </row>
    <row r="51" spans="6:18">
      <c r="L51" s="409"/>
      <c r="M51" s="409"/>
      <c r="N51" s="413"/>
      <c r="O51" s="409"/>
      <c r="P51" s="409"/>
    </row>
    <row r="52" spans="6:18">
      <c r="F52" s="411"/>
      <c r="G52" s="414"/>
      <c r="H52" s="414"/>
      <c r="I52" s="411"/>
      <c r="J52" s="414"/>
      <c r="K52" s="414"/>
      <c r="L52" s="409"/>
      <c r="M52" s="409"/>
      <c r="N52" s="413"/>
      <c r="O52" s="409"/>
      <c r="P52" s="409"/>
    </row>
    <row r="53" spans="6:18">
      <c r="F53" s="411"/>
      <c r="I53" s="411"/>
      <c r="L53" s="409"/>
      <c r="M53" s="409"/>
      <c r="N53" s="413"/>
      <c r="O53" s="409"/>
      <c r="P53" s="409"/>
    </row>
    <row r="54" spans="6:18">
      <c r="F54" s="411"/>
      <c r="I54" s="411"/>
      <c r="L54" s="409"/>
      <c r="M54" s="409"/>
      <c r="N54" s="413"/>
      <c r="O54" s="409"/>
      <c r="P54" s="409"/>
    </row>
    <row r="55" spans="6:18">
      <c r="F55" s="411"/>
      <c r="I55" s="411"/>
      <c r="L55" s="402"/>
      <c r="M55" s="402"/>
      <c r="N55" s="402"/>
      <c r="O55" s="402"/>
      <c r="P55" s="402"/>
    </row>
    <row r="56" spans="6:18">
      <c r="F56" s="411"/>
      <c r="I56" s="411"/>
      <c r="L56" s="409"/>
      <c r="M56" s="409"/>
      <c r="N56" s="413"/>
      <c r="O56" s="409"/>
      <c r="P56" s="409"/>
    </row>
    <row r="57" spans="6:18">
      <c r="F57" s="411"/>
      <c r="I57" s="411"/>
      <c r="L57" s="409"/>
      <c r="M57" s="409"/>
      <c r="N57" s="413"/>
      <c r="O57" s="409"/>
      <c r="P57" s="409"/>
    </row>
    <row r="58" spans="6:18">
      <c r="F58" s="411"/>
      <c r="I58" s="411"/>
      <c r="L58" s="402"/>
      <c r="M58" s="402"/>
      <c r="N58" s="402"/>
      <c r="O58" s="402"/>
      <c r="P58" s="402"/>
    </row>
    <row r="59" spans="6:18">
      <c r="F59" s="411"/>
      <c r="I59" s="411"/>
      <c r="L59" s="409"/>
      <c r="M59" s="409"/>
      <c r="N59" s="412"/>
      <c r="O59" s="409"/>
      <c r="P59" s="409"/>
    </row>
    <row r="60" spans="6:18">
      <c r="F60" s="411"/>
      <c r="I60" s="411"/>
      <c r="L60" s="138"/>
      <c r="M60" s="138"/>
      <c r="N60" s="138"/>
      <c r="O60" s="138"/>
      <c r="P60" s="138"/>
      <c r="Q60" s="138"/>
      <c r="R60" s="138"/>
    </row>
    <row r="61" spans="6:18">
      <c r="F61" s="411"/>
      <c r="I61" s="411"/>
      <c r="L61" s="138"/>
      <c r="M61" s="138"/>
      <c r="N61" s="138"/>
      <c r="O61" s="138"/>
      <c r="P61" s="138"/>
      <c r="Q61" s="138"/>
      <c r="R61" s="138"/>
    </row>
    <row r="62" spans="6:18">
      <c r="F62" s="411"/>
      <c r="I62" s="411"/>
      <c r="L62" s="138"/>
      <c r="M62" s="138"/>
      <c r="N62" s="138"/>
      <c r="O62" s="138"/>
      <c r="P62" s="138"/>
      <c r="Q62" s="138"/>
      <c r="R62" s="138"/>
    </row>
    <row r="63" spans="6:18">
      <c r="F63" s="411"/>
      <c r="I63" s="411"/>
      <c r="L63" s="138"/>
      <c r="M63" s="138"/>
      <c r="N63" s="138"/>
      <c r="O63" s="138"/>
      <c r="P63" s="138"/>
      <c r="Q63" s="138"/>
      <c r="R63" s="138"/>
    </row>
    <row r="64" spans="6:18">
      <c r="F64" s="411"/>
      <c r="I64" s="411"/>
      <c r="L64" s="138"/>
      <c r="M64" s="138"/>
      <c r="N64" s="138"/>
      <c r="O64" s="138"/>
      <c r="P64" s="138"/>
      <c r="Q64" s="138"/>
      <c r="R64" s="138"/>
    </row>
    <row r="65" spans="6:18">
      <c r="F65" s="411"/>
      <c r="I65" s="411"/>
      <c r="L65" s="138"/>
      <c r="M65" s="138"/>
      <c r="N65" s="138"/>
      <c r="O65" s="138"/>
      <c r="P65" s="138"/>
      <c r="Q65" s="138"/>
      <c r="R65" s="138"/>
    </row>
    <row r="66" spans="6:18">
      <c r="F66" s="411"/>
      <c r="I66" s="411"/>
      <c r="L66" s="138"/>
      <c r="M66" s="138"/>
      <c r="N66" s="138"/>
      <c r="O66" s="138"/>
      <c r="P66" s="138"/>
      <c r="Q66" s="138"/>
      <c r="R66" s="138"/>
    </row>
    <row r="67" spans="6:18">
      <c r="F67" s="411"/>
      <c r="I67" s="411"/>
      <c r="L67" s="138"/>
      <c r="M67" s="138"/>
      <c r="N67" s="138"/>
      <c r="O67" s="138"/>
      <c r="P67" s="138"/>
      <c r="Q67" s="138"/>
      <c r="R67" s="138"/>
    </row>
    <row r="68" spans="6:18">
      <c r="F68" s="411"/>
      <c r="I68" s="411"/>
      <c r="L68" s="138"/>
      <c r="M68" s="138"/>
      <c r="N68" s="138"/>
      <c r="O68" s="138"/>
      <c r="P68" s="138"/>
      <c r="Q68" s="138"/>
      <c r="R68" s="138"/>
    </row>
    <row r="69" spans="6:18">
      <c r="F69" s="411"/>
      <c r="I69" s="411"/>
      <c r="L69" s="138"/>
      <c r="M69" s="138"/>
      <c r="N69" s="138"/>
      <c r="O69" s="138"/>
      <c r="P69" s="138"/>
      <c r="Q69" s="138"/>
      <c r="R69" s="138"/>
    </row>
    <row r="70" spans="6:18">
      <c r="F70" s="411"/>
      <c r="I70" s="411"/>
    </row>
    <row r="71" spans="6:18">
      <c r="F71" s="411"/>
      <c r="I71" s="411"/>
    </row>
    <row r="72" spans="6:18">
      <c r="F72" s="411"/>
      <c r="I72" s="411"/>
    </row>
    <row r="73" spans="6:18">
      <c r="F73" s="411"/>
      <c r="I73" s="411"/>
    </row>
    <row r="74" spans="6:18">
      <c r="F74" s="411"/>
      <c r="I74" s="411"/>
    </row>
  </sheetData>
  <mergeCells count="2">
    <mergeCell ref="G6:H6"/>
    <mergeCell ref="K6:K7"/>
  </mergeCells>
  <conditionalFormatting sqref="M23:M31 N23:P30 L23:L30 L9:P21">
    <cfRule type="cellIs" dxfId="116" priority="14" operator="notEqual">
      <formula>0</formula>
    </cfRule>
  </conditionalFormatting>
  <conditionalFormatting sqref="L22:P22">
    <cfRule type="cellIs" dxfId="115" priority="11" operator="notEqual">
      <formula>0</formula>
    </cfRule>
  </conditionalFormatting>
  <conditionalFormatting sqref="I52:I74">
    <cfRule type="cellIs" dxfId="114" priority="6" operator="notEqual">
      <formula>0</formula>
    </cfRule>
  </conditionalFormatting>
  <conditionalFormatting sqref="I33:I50">
    <cfRule type="cellIs" dxfId="113" priority="5" operator="notEqual">
      <formula>0</formula>
    </cfRule>
  </conditionalFormatting>
  <conditionalFormatting sqref="F52:F74">
    <cfRule type="cellIs" dxfId="112" priority="2" operator="notEqual">
      <formula>0</formula>
    </cfRule>
  </conditionalFormatting>
  <conditionalFormatting sqref="F33:F50">
    <cfRule type="cellIs" dxfId="111" priority="1" operator="notEqual">
      <formula>0</formula>
    </cfRule>
  </conditionalFormatting>
  <printOptions horizontalCentered="1"/>
  <pageMargins left="0.70866141732283472" right="0.70866141732283472" top="0.74803149606299213" bottom="0.74803149606299213" header="0.74803149606299213" footer="0.35433070866141736"/>
  <pageSetup paperSize="9" scale="62" orientation="portrait" r:id="rId1"/>
  <headerFooter differentOddEven="1">
    <oddFooter>&amp;R&amp;G</oddFooter>
    <evenFooter>&amp;L&amp;G</evenFooter>
  </headerFooter>
  <ignoredErrors>
    <ignoredError sqref="F7 J7" numberStoredAsText="1"/>
    <ignoredError sqref="D6" unlockedFormula="1"/>
    <ignoredError sqref="D7:E7" numberStoredAsText="1" unlockedFormula="1"/>
  </ignoredErrors>
  <drawing r:id="rId2"/>
  <legacyDrawingHF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Folha21"/>
  <dimension ref="B1:Z269"/>
  <sheetViews>
    <sheetView showGridLines="0" zoomScaleNormal="100" zoomScaleSheetLayoutView="100" workbookViewId="0">
      <selection activeCell="B2" sqref="B2"/>
    </sheetView>
  </sheetViews>
  <sheetFormatPr defaultColWidth="9.140625" defaultRowHeight="11.25"/>
  <cols>
    <col min="1" max="1" width="2.42578125" style="431" customWidth="1"/>
    <col min="2" max="2" width="4.42578125" style="431" customWidth="1"/>
    <col min="3" max="3" width="56.5703125" style="431" customWidth="1"/>
    <col min="4" max="7" width="9.5703125" style="431" customWidth="1"/>
    <col min="8" max="14" width="8.5703125" style="431" customWidth="1"/>
    <col min="15" max="16384" width="9.140625" style="431"/>
  </cols>
  <sheetData>
    <row r="1" spans="2:18" s="4" customFormat="1" ht="15" customHeight="1">
      <c r="B1" s="432"/>
      <c r="H1" s="433"/>
      <c r="I1" s="433"/>
    </row>
    <row r="2" spans="2:18" ht="24" customHeight="1">
      <c r="B2" s="8"/>
      <c r="C2" s="335" t="str">
        <f>IF(Indice_index!$Z$1=1,"17 - Execução Financeira Consolidada do Serviço Nacional de Saúde","17 - National Health Service Consolidated Financial Execution")</f>
        <v>17 - Execução Financeira Consolidada do Serviço Nacional de Saúde</v>
      </c>
      <c r="D2" s="335"/>
      <c r="E2" s="1624"/>
      <c r="F2" s="335"/>
      <c r="G2" s="335"/>
      <c r="H2" s="335"/>
      <c r="I2" s="335"/>
    </row>
    <row r="3" spans="2:18" s="429" customFormat="1" ht="15" customHeight="1">
      <c r="B3" s="433"/>
      <c r="C3" s="434"/>
      <c r="H3" s="433"/>
      <c r="I3" s="433"/>
    </row>
    <row r="4" spans="2:18" s="429" customFormat="1" ht="15" customHeight="1">
      <c r="B4" s="433"/>
      <c r="C4" s="435"/>
      <c r="H4" s="433"/>
      <c r="I4" s="433"/>
    </row>
    <row r="5" spans="2:18" s="437" customFormat="1" ht="15" customHeight="1">
      <c r="B5" s="436"/>
      <c r="C5" s="1397" t="str">
        <f>+'5 - Conta AC + SS'!C5</f>
        <v>Período: janeiro a julho</v>
      </c>
      <c r="D5" s="1600"/>
      <c r="E5" s="430"/>
      <c r="F5" s="1600"/>
      <c r="G5" s="1600"/>
      <c r="H5" s="1625"/>
      <c r="I5" s="918" t="str">
        <f>IF(Indice_index!$Z$1=1,"€ Milhões","€ Millions")</f>
        <v>€ Milhões</v>
      </c>
    </row>
    <row r="6" spans="2:18" s="429" customFormat="1" ht="27.75" customHeight="1">
      <c r="B6" s="433"/>
      <c r="C6" s="1601"/>
      <c r="D6" s="1602" t="str">
        <f>IF(Indice_index!$Z$1=1,"Execução Provisória","Provisional execution")</f>
        <v>Execução Provisória</v>
      </c>
      <c r="E6" s="1626" t="str">
        <f>IF(Indice_index!$Z$1=1,"Orçamento Inicial","Budget")</f>
        <v>Orçamento Inicial</v>
      </c>
      <c r="F6" s="1750" t="str">
        <f>IF(Indice_index!$Z$1=1,"Execução Acumulada","Accumulated Execution")</f>
        <v>Execução Acumulada</v>
      </c>
      <c r="G6" s="1750"/>
      <c r="H6" s="1751" t="str">
        <f>IF(Indice_index!$Z$1=1,"Variação Homóloga Acumulada","YOY Change Rate")</f>
        <v>Variação Homóloga Acumulada</v>
      </c>
      <c r="I6" s="1752"/>
      <c r="K6" s="138"/>
      <c r="L6" s="138"/>
      <c r="M6" s="138"/>
    </row>
    <row r="7" spans="2:18" s="429" customFormat="1" ht="22.5">
      <c r="B7" s="433"/>
      <c r="C7" s="1603"/>
      <c r="D7" s="1604">
        <v>2021</v>
      </c>
      <c r="E7" s="1627">
        <v>2022</v>
      </c>
      <c r="F7" s="1604">
        <v>2021</v>
      </c>
      <c r="G7" s="1604">
        <v>2022</v>
      </c>
      <c r="H7" s="1628" t="str">
        <f>IF(Indice_index!$Z$1=1,"TVH (%)","YOY Change Rate (%)")</f>
        <v>TVH (%)</v>
      </c>
      <c r="I7" s="1629" t="str">
        <f>IF(Indice_index!$Z$1=1,"Contributo VH (p.p.)","YOY Change Contrib. (p.p.)")</f>
        <v>Contributo VH (p.p.)</v>
      </c>
      <c r="K7" s="138"/>
      <c r="L7" s="138"/>
      <c r="M7" s="138"/>
    </row>
    <row r="8" spans="2:18" s="400" customFormat="1" ht="4.5" customHeight="1">
      <c r="C8" s="1400"/>
      <c r="D8" s="401"/>
      <c r="E8" s="401"/>
      <c r="F8" s="401"/>
      <c r="H8" s="4"/>
      <c r="J8" s="469"/>
    </row>
    <row r="9" spans="2:18" s="437" customFormat="1" ht="15" customHeight="1">
      <c r="B9" s="436"/>
      <c r="C9" s="1605" t="str">
        <f>IF(Indice_index!$Z$1=1,"Receita corrente","Current revenue")</f>
        <v>Receita corrente</v>
      </c>
      <c r="D9" s="1606">
        <v>11210.546105580001</v>
      </c>
      <c r="E9" s="1630">
        <v>12073.484328578301</v>
      </c>
      <c r="F9" s="1606">
        <v>6600.1585718899996</v>
      </c>
      <c r="G9" s="1606">
        <v>7195.7000000000016</v>
      </c>
      <c r="H9" s="1631">
        <f t="shared" ref="H9:H15" si="0">IF(F9=0,"-",((G9/F9)-1)*100)</f>
        <v>9.0231381810492515</v>
      </c>
      <c r="I9" s="1631">
        <f t="shared" ref="I9:I15" si="1">IFERROR((G9-F9)/$F$17*100,"-")</f>
        <v>8.9829879118529554</v>
      </c>
      <c r="J9" s="438"/>
      <c r="K9" s="438"/>
      <c r="L9" s="438"/>
      <c r="M9" s="438"/>
      <c r="N9" s="438"/>
      <c r="O9" s="438"/>
      <c r="P9" s="438"/>
      <c r="Q9" s="438"/>
      <c r="R9" s="438"/>
    </row>
    <row r="10" spans="2:18" s="429" customFormat="1" ht="15" customHeight="1">
      <c r="B10" s="433"/>
      <c r="C10" s="1607" t="str">
        <f>IF(Indice_index!$Z$1=1,"Receita fiscal","Tax")</f>
        <v>Receita fiscal</v>
      </c>
      <c r="D10" s="1608">
        <v>105.4</v>
      </c>
      <c r="E10" s="1608">
        <v>113.3</v>
      </c>
      <c r="F10" s="1608">
        <v>27.5</v>
      </c>
      <c r="G10" s="1608">
        <v>55.3</v>
      </c>
      <c r="H10" s="1632">
        <f t="shared" si="0"/>
        <v>101.09090909090908</v>
      </c>
      <c r="I10" s="1633">
        <f t="shared" si="1"/>
        <v>0.41932777832440776</v>
      </c>
      <c r="J10" s="439"/>
      <c r="K10" s="439"/>
      <c r="L10" s="439"/>
      <c r="M10" s="439"/>
      <c r="N10" s="439"/>
      <c r="O10" s="439"/>
      <c r="P10" s="439"/>
      <c r="Q10" s="439"/>
      <c r="R10" s="439"/>
    </row>
    <row r="11" spans="2:18" s="429" customFormat="1" ht="15" customHeight="1">
      <c r="B11" s="433"/>
      <c r="C11" s="1609" t="str">
        <f>IF(Indice_index!$Z$1=1,"Impostos diretos","Direct taxes")</f>
        <v>Impostos diretos</v>
      </c>
      <c r="D11" s="1608">
        <v>0</v>
      </c>
      <c r="E11" s="1608">
        <v>0</v>
      </c>
      <c r="F11" s="1608">
        <v>0</v>
      </c>
      <c r="G11" s="1608">
        <v>0</v>
      </c>
      <c r="H11" s="1632" t="str">
        <f t="shared" si="0"/>
        <v>-</v>
      </c>
      <c r="I11" s="1633">
        <f t="shared" si="1"/>
        <v>0</v>
      </c>
      <c r="J11" s="439"/>
      <c r="K11" s="439"/>
      <c r="L11" s="439"/>
      <c r="M11" s="439"/>
      <c r="N11" s="439"/>
      <c r="O11" s="439"/>
      <c r="P11" s="439"/>
      <c r="Q11" s="439"/>
      <c r="R11" s="439"/>
    </row>
    <row r="12" spans="2:18" s="429" customFormat="1" ht="15" customHeight="1">
      <c r="B12" s="433"/>
      <c r="C12" s="1609" t="str">
        <f>IF(Indice_index!$Z$1=1,"Impostos indiretos","Indirect taxes")</f>
        <v>Impostos indiretos</v>
      </c>
      <c r="D12" s="1608">
        <v>105.4</v>
      </c>
      <c r="E12" s="1608">
        <v>113.3</v>
      </c>
      <c r="F12" s="1608">
        <v>27.5</v>
      </c>
      <c r="G12" s="1608">
        <v>55.3</v>
      </c>
      <c r="H12" s="1632">
        <f t="shared" si="0"/>
        <v>101.09090909090908</v>
      </c>
      <c r="I12" s="1633">
        <f t="shared" si="1"/>
        <v>0.41932777832440776</v>
      </c>
      <c r="J12" s="439"/>
      <c r="K12" s="439"/>
      <c r="L12" s="439"/>
      <c r="M12" s="439"/>
      <c r="N12" s="439"/>
      <c r="O12" s="439"/>
      <c r="P12" s="439"/>
      <c r="Q12" s="439"/>
      <c r="R12" s="439"/>
    </row>
    <row r="13" spans="2:18" s="429" customFormat="1" ht="15" customHeight="1">
      <c r="B13" s="433"/>
      <c r="C13" s="970" t="str">
        <f>IF(Indice_index!$Z$1=1,"Contribuições de Segurança Social","Social security contributions")</f>
        <v>Contribuições de Segurança Social</v>
      </c>
      <c r="D13" s="1610">
        <v>0</v>
      </c>
      <c r="E13" s="1610">
        <v>0</v>
      </c>
      <c r="F13" s="1610">
        <v>0</v>
      </c>
      <c r="G13" s="1610">
        <v>0</v>
      </c>
      <c r="H13" s="1632" t="str">
        <f t="shared" si="0"/>
        <v>-</v>
      </c>
      <c r="I13" s="1633">
        <f t="shared" si="1"/>
        <v>0</v>
      </c>
      <c r="J13" s="439"/>
      <c r="K13" s="439"/>
      <c r="L13" s="439"/>
      <c r="M13" s="439"/>
      <c r="N13" s="439"/>
      <c r="O13" s="439"/>
      <c r="P13" s="439"/>
      <c r="Q13" s="439"/>
      <c r="R13" s="439"/>
    </row>
    <row r="14" spans="2:18" s="429" customFormat="1" ht="15" customHeight="1">
      <c r="B14" s="433"/>
      <c r="C14" s="970" t="str">
        <f>IF(Indice_index!$Z$1=1,"Outras receitas correntes","Other current revenue")</f>
        <v>Outras receitas correntes</v>
      </c>
      <c r="D14" s="1608">
        <v>11105.146105580001</v>
      </c>
      <c r="E14" s="1608">
        <v>11960.184328578302</v>
      </c>
      <c r="F14" s="1608">
        <v>6572.6585718899996</v>
      </c>
      <c r="G14" s="1608">
        <v>7140.4000000000015</v>
      </c>
      <c r="H14" s="1633">
        <f t="shared" si="0"/>
        <v>8.637926676096086</v>
      </c>
      <c r="I14" s="1633">
        <f t="shared" si="1"/>
        <v>8.5636601335285452</v>
      </c>
      <c r="J14" s="439"/>
      <c r="K14" s="439"/>
      <c r="L14" s="439"/>
      <c r="M14" s="439"/>
      <c r="N14" s="439"/>
      <c r="O14" s="439"/>
      <c r="P14" s="439"/>
      <c r="Q14" s="439"/>
      <c r="R14" s="439"/>
    </row>
    <row r="15" spans="2:18" s="437" customFormat="1" ht="15" customHeight="1">
      <c r="B15" s="436"/>
      <c r="C15" s="1605" t="str">
        <f>IF(Indice_index!$Z$1=1,"Receita de capital","Capital revenue")</f>
        <v>Receita de capital</v>
      </c>
      <c r="D15" s="1611">
        <v>76.199999999999989</v>
      </c>
      <c r="E15" s="1634">
        <v>126.89999999999999</v>
      </c>
      <c r="F15" s="1611">
        <v>29.5</v>
      </c>
      <c r="G15" s="1611">
        <v>17.3</v>
      </c>
      <c r="H15" s="1635">
        <f t="shared" si="0"/>
        <v>-41.355932203389834</v>
      </c>
      <c r="I15" s="1631">
        <f t="shared" si="1"/>
        <v>-0.18402154300567539</v>
      </c>
      <c r="J15" s="438"/>
      <c r="K15" s="438"/>
      <c r="L15" s="438"/>
      <c r="M15" s="438"/>
      <c r="N15" s="438"/>
      <c r="O15" s="438"/>
      <c r="P15" s="438"/>
      <c r="Q15" s="438"/>
      <c r="R15" s="438"/>
    </row>
    <row r="16" spans="2:18" s="429" customFormat="1" ht="4.5" customHeight="1">
      <c r="B16" s="433"/>
      <c r="C16" s="1612"/>
      <c r="D16" s="1608"/>
      <c r="E16" s="1608"/>
      <c r="F16" s="1608"/>
      <c r="G16" s="1608"/>
      <c r="H16" s="1631"/>
      <c r="I16" s="1631"/>
      <c r="J16" s="439"/>
      <c r="K16" s="439"/>
      <c r="L16" s="439"/>
      <c r="M16" s="439"/>
      <c r="N16" s="439"/>
      <c r="O16" s="439"/>
      <c r="P16" s="439"/>
      <c r="Q16" s="439"/>
      <c r="R16" s="439"/>
    </row>
    <row r="17" spans="2:18" s="437" customFormat="1" ht="15" customHeight="1">
      <c r="B17" s="436"/>
      <c r="C17" s="1605" t="str">
        <f>IF(Indice_index!$Z$1=1,"Receita efetiva","Effective revenue")</f>
        <v>Receita efetiva</v>
      </c>
      <c r="D17" s="1611">
        <v>11286.746105580001</v>
      </c>
      <c r="E17" s="1634">
        <v>12200.3843285783</v>
      </c>
      <c r="F17" s="1611">
        <v>6629.6585718899996</v>
      </c>
      <c r="G17" s="1611">
        <v>7213.0000000000018</v>
      </c>
      <c r="H17" s="1631">
        <f>IF(F17=0,"-",((G17/F17)-1)*100)</f>
        <v>8.7989663688472941</v>
      </c>
      <c r="I17" s="1631"/>
      <c r="J17" s="438"/>
      <c r="K17" s="438"/>
      <c r="L17" s="438"/>
      <c r="M17" s="438"/>
      <c r="N17" s="438"/>
      <c r="O17" s="438"/>
      <c r="P17" s="438"/>
      <c r="Q17" s="438"/>
      <c r="R17" s="438"/>
    </row>
    <row r="18" spans="2:18" s="429" customFormat="1" ht="4.5" customHeight="1">
      <c r="B18" s="433"/>
      <c r="C18" s="1613"/>
      <c r="D18" s="1606"/>
      <c r="E18" s="1630"/>
      <c r="F18" s="1606"/>
      <c r="G18" s="1606"/>
      <c r="H18" s="1633"/>
      <c r="I18" s="1633"/>
      <c r="J18" s="439"/>
      <c r="K18" s="439"/>
      <c r="L18" s="439"/>
      <c r="M18" s="439"/>
      <c r="N18" s="439"/>
      <c r="O18" s="439"/>
      <c r="P18" s="439"/>
      <c r="Q18" s="439"/>
      <c r="R18" s="439"/>
    </row>
    <row r="19" spans="2:18" s="437" customFormat="1" ht="15" customHeight="1">
      <c r="B19" s="436"/>
      <c r="C19" s="1605" t="str">
        <f>IF(Indice_index!$Z$1=1,"Despesa corrente","Current expenditure")</f>
        <v>Despesa corrente</v>
      </c>
      <c r="D19" s="1611">
        <v>12153.800000000001</v>
      </c>
      <c r="E19" s="1634">
        <v>12686.765318900727</v>
      </c>
      <c r="F19" s="1611">
        <v>6670.1</v>
      </c>
      <c r="G19" s="1611">
        <v>7130.3</v>
      </c>
      <c r="H19" s="1631">
        <f t="shared" ref="H19:H36" si="2">IF(F19=0,"-",((G19/F19)-1)*100)</f>
        <v>6.8994467849057717</v>
      </c>
      <c r="I19" s="1631">
        <f>IFERROR((G19-F19)/$F$38*100,"-")</f>
        <v>6.7953280274057528</v>
      </c>
      <c r="J19" s="438"/>
      <c r="K19" s="438"/>
      <c r="L19" s="438"/>
      <c r="M19" s="438"/>
      <c r="N19" s="438"/>
      <c r="O19" s="438"/>
      <c r="P19" s="438"/>
      <c r="Q19" s="438"/>
      <c r="R19" s="438"/>
    </row>
    <row r="20" spans="2:18" s="429" customFormat="1" ht="15" customHeight="1">
      <c r="B20" s="433"/>
      <c r="C20" s="970" t="str">
        <f>IF(Indice_index!$Z$1=1,"Despesas com o pessoal","Employees")</f>
        <v>Despesas com o pessoal</v>
      </c>
      <c r="D20" s="1608">
        <v>5060.4000000000005</v>
      </c>
      <c r="E20" s="1608">
        <v>5204.1000000000004</v>
      </c>
      <c r="F20" s="1608">
        <v>2780.5</v>
      </c>
      <c r="G20" s="1608">
        <v>2896.5</v>
      </c>
      <c r="H20" s="1633">
        <f t="shared" si="2"/>
        <v>4.1719115267038198</v>
      </c>
      <c r="I20" s="1633">
        <f>IFERROR((G20-F20)/$F$38*100,"-")</f>
        <v>1.7128597374599472</v>
      </c>
      <c r="J20" s="439"/>
      <c r="K20" s="439"/>
      <c r="L20" s="439"/>
      <c r="M20" s="439"/>
      <c r="N20" s="439"/>
      <c r="O20" s="439"/>
      <c r="P20" s="439"/>
      <c r="Q20" s="439"/>
      <c r="R20" s="439"/>
    </row>
    <row r="21" spans="2:18" s="429" customFormat="1" ht="15" customHeight="1">
      <c r="B21" s="433"/>
      <c r="C21" s="1614" t="str">
        <f>IF(Indice_index!$Z$1=1,"Remunerações Certas e Permanentes","Certain and permanent wages")</f>
        <v>Remunerações Certas e Permanentes</v>
      </c>
      <c r="D21" s="1615">
        <v>3284.1</v>
      </c>
      <c r="E21" s="1615">
        <v>3433.1</v>
      </c>
      <c r="F21" s="1615">
        <v>1784.3</v>
      </c>
      <c r="G21" s="1615">
        <v>1889.3000000000002</v>
      </c>
      <c r="H21" s="1633">
        <f t="shared" si="2"/>
        <v>5.8846606512357846</v>
      </c>
      <c r="I21" s="1633">
        <f t="shared" ref="I21:I32" si="3">IFERROR((G21-F21)/$F$38*100,"-")</f>
        <v>1.5504333830456452</v>
      </c>
      <c r="J21" s="439"/>
      <c r="K21" s="439"/>
      <c r="L21" s="439"/>
      <c r="M21" s="439"/>
      <c r="N21" s="439"/>
      <c r="O21" s="439"/>
      <c r="P21" s="439"/>
      <c r="Q21" s="439"/>
      <c r="R21" s="439"/>
    </row>
    <row r="22" spans="2:18" s="429" customFormat="1" ht="15" customHeight="1">
      <c r="B22" s="433"/>
      <c r="C22" s="1614" t="str">
        <f>IF(Indice_index!$Z$1=1,"Abonos Variáveis ou Eventuais","Variable or contingent bonuses")</f>
        <v>Abonos Variáveis ou Eventuais</v>
      </c>
      <c r="D22" s="1608">
        <v>843.5</v>
      </c>
      <c r="E22" s="1615">
        <v>820.69999999999993</v>
      </c>
      <c r="F22" s="1608">
        <v>495.5</v>
      </c>
      <c r="G22" s="1608">
        <v>476</v>
      </c>
      <c r="H22" s="1633">
        <f t="shared" si="2"/>
        <v>-3.9354187689202846</v>
      </c>
      <c r="I22" s="1633">
        <f t="shared" si="3"/>
        <v>-0.28793762827990488</v>
      </c>
      <c r="J22" s="439"/>
      <c r="K22" s="439"/>
      <c r="L22" s="439"/>
      <c r="M22" s="439"/>
      <c r="N22" s="439"/>
      <c r="O22" s="439"/>
      <c r="P22" s="439"/>
      <c r="Q22" s="439"/>
      <c r="R22" s="439"/>
    </row>
    <row r="23" spans="2:18" s="429" customFormat="1" ht="15" customHeight="1">
      <c r="B23" s="433"/>
      <c r="C23" s="1614" t="str">
        <f>IF(Indice_index!$Z$1=1,"Segurança social","Social security")</f>
        <v>Segurança social</v>
      </c>
      <c r="D23" s="1608">
        <v>932.8</v>
      </c>
      <c r="E23" s="1615">
        <v>950.3</v>
      </c>
      <c r="F23" s="1608">
        <v>500.7</v>
      </c>
      <c r="G23" s="1608">
        <v>531.20000000000005</v>
      </c>
      <c r="H23" s="1633">
        <f t="shared" si="2"/>
        <v>6.0914719392850092</v>
      </c>
      <c r="I23" s="1633">
        <f t="shared" si="3"/>
        <v>0.45036398269421107</v>
      </c>
      <c r="J23" s="439"/>
      <c r="K23" s="439"/>
      <c r="L23" s="439"/>
      <c r="M23" s="439"/>
      <c r="N23" s="439"/>
      <c r="O23" s="439"/>
      <c r="P23" s="439"/>
      <c r="Q23" s="439"/>
      <c r="R23" s="439"/>
    </row>
    <row r="24" spans="2:18" s="429" customFormat="1" ht="15" customHeight="1">
      <c r="B24" s="433"/>
      <c r="C24" s="970" t="str">
        <f>IF(Indice_index!$Z$1=1,"Aquisição de bens e serviços","Purchase of goods and services")</f>
        <v>Aquisição de bens e serviços</v>
      </c>
      <c r="D24" s="1608">
        <v>6960.0999999999995</v>
      </c>
      <c r="E24" s="1608">
        <v>7345.9653189007258</v>
      </c>
      <c r="F24" s="1608">
        <v>3791.1</v>
      </c>
      <c r="G24" s="1608">
        <v>4195.4000000000005</v>
      </c>
      <c r="H24" s="1633">
        <f t="shared" si="2"/>
        <v>10.664450950911352</v>
      </c>
      <c r="I24" s="1633">
        <f t="shared" si="3"/>
        <v>5.9699068263367048</v>
      </c>
      <c r="J24" s="439"/>
      <c r="K24" s="439"/>
      <c r="L24" s="439"/>
      <c r="M24" s="439"/>
      <c r="N24" s="439"/>
      <c r="O24" s="439"/>
      <c r="P24" s="439"/>
      <c r="Q24" s="439"/>
      <c r="R24" s="439"/>
    </row>
    <row r="25" spans="2:18" s="429" customFormat="1" ht="15" customHeight="1">
      <c r="B25" s="433"/>
      <c r="C25" s="1609" t="str">
        <f>IF(Indice_index!$Z$1=1,"Produtos vendidos em farmácias","Medicines")</f>
        <v>Produtos vendidos em farmácias</v>
      </c>
      <c r="D25" s="1608">
        <v>1516.6</v>
      </c>
      <c r="E25" s="1608">
        <v>1706.2135963800001</v>
      </c>
      <c r="F25" s="1608">
        <v>862.9</v>
      </c>
      <c r="G25" s="1608">
        <v>1016.9000000000001</v>
      </c>
      <c r="H25" s="1633">
        <f t="shared" si="2"/>
        <v>17.846795688955865</v>
      </c>
      <c r="I25" s="1633">
        <f t="shared" si="3"/>
        <v>2.2739689618002763</v>
      </c>
      <c r="J25" s="439"/>
      <c r="K25" s="439"/>
      <c r="L25" s="439"/>
      <c r="M25" s="439"/>
      <c r="N25" s="439"/>
      <c r="O25" s="439"/>
      <c r="P25" s="439"/>
      <c r="Q25" s="439"/>
      <c r="R25" s="439"/>
    </row>
    <row r="26" spans="2:18" s="429" customFormat="1" ht="15" customHeight="1">
      <c r="B26" s="433"/>
      <c r="C26" s="1609" t="str">
        <f>IF(Indice_index!$Z$1=1,"Meios complementares de diagnóstico e terapêutica e outros subcontratos","Complementary diagnosis and therapeutic means and other subcontracts")</f>
        <v>Meios complementares de diagnóstico e terapêutica e outros subcontratos</v>
      </c>
      <c r="D26" s="1608">
        <v>1718.7999999999997</v>
      </c>
      <c r="E26" s="1608">
        <v>1809.3324016702022</v>
      </c>
      <c r="F26" s="1608">
        <v>938</v>
      </c>
      <c r="G26" s="1608">
        <v>1090.8000000000002</v>
      </c>
      <c r="H26" s="1633">
        <f t="shared" si="2"/>
        <v>16.289978678038409</v>
      </c>
      <c r="I26" s="1633">
        <f t="shared" si="3"/>
        <v>2.2562497231368983</v>
      </c>
      <c r="J26" s="439"/>
      <c r="K26" s="439"/>
      <c r="L26" s="439"/>
      <c r="M26" s="439"/>
      <c r="N26" s="439"/>
      <c r="O26" s="439"/>
      <c r="P26" s="439"/>
      <c r="Q26" s="439"/>
      <c r="R26" s="439"/>
    </row>
    <row r="27" spans="2:18" s="429" customFormat="1" ht="15" customHeight="1">
      <c r="B27" s="433"/>
      <c r="C27" s="1609" t="str">
        <f>IF(Indice_index!$Z$1=1,"Parcerias público-privadas (PPP)","Public-Private Partnerships (PPP)")</f>
        <v>Parcerias público-privadas (PPP)</v>
      </c>
      <c r="D27" s="1608">
        <v>263.39999999999998</v>
      </c>
      <c r="E27" s="1608">
        <v>142.6</v>
      </c>
      <c r="F27" s="1608">
        <v>160.69999999999999</v>
      </c>
      <c r="G27" s="1608">
        <v>78.5</v>
      </c>
      <c r="H27" s="1633">
        <f t="shared" si="2"/>
        <v>-51.151213441194777</v>
      </c>
      <c r="I27" s="1633">
        <f t="shared" si="3"/>
        <v>-1.2137678484414449</v>
      </c>
      <c r="J27" s="439"/>
      <c r="K27" s="439"/>
      <c r="L27" s="439"/>
      <c r="M27" s="439"/>
      <c r="N27" s="439"/>
      <c r="O27" s="439"/>
      <c r="P27" s="439"/>
      <c r="Q27" s="439"/>
      <c r="R27" s="439"/>
    </row>
    <row r="28" spans="2:18" s="429" customFormat="1" ht="15" customHeight="1">
      <c r="B28" s="433"/>
      <c r="C28" s="1609" t="str">
        <f>IF(Indice_index!$Z$1=1,"Aquisição de bens (compras inventários)","Purchase of goods (inventories)")</f>
        <v>Aquisição de bens (compras inventários)</v>
      </c>
      <c r="D28" s="1608">
        <v>2421</v>
      </c>
      <c r="E28" s="1608">
        <v>2594.8193208505231</v>
      </c>
      <c r="F28" s="1608">
        <v>1275.4000000000001</v>
      </c>
      <c r="G28" s="1608">
        <v>1359.9</v>
      </c>
      <c r="H28" s="1633">
        <f t="shared" si="2"/>
        <v>6.6253724321781338</v>
      </c>
      <c r="I28" s="1633">
        <f t="shared" si="3"/>
        <v>1.2477297225462547</v>
      </c>
      <c r="J28" s="439"/>
      <c r="K28" s="439"/>
      <c r="L28" s="439"/>
      <c r="M28" s="439"/>
      <c r="N28" s="439"/>
      <c r="O28" s="439"/>
      <c r="P28" s="439"/>
      <c r="Q28" s="439"/>
      <c r="R28" s="439"/>
    </row>
    <row r="29" spans="2:18" s="429" customFormat="1" ht="15" customHeight="1">
      <c r="B29" s="433"/>
      <c r="C29" s="1609" t="str">
        <f>IF(Indice_index!$Z$1=1,"Outras aquisições de bens e serviços","Other acquisitions of goods and services")</f>
        <v>Outras aquisições de bens e serviços</v>
      </c>
      <c r="D29" s="1608">
        <v>1040.3</v>
      </c>
      <c r="E29" s="1608">
        <v>1093</v>
      </c>
      <c r="F29" s="1608">
        <v>554.1</v>
      </c>
      <c r="G29" s="1608">
        <v>649.29999999999995</v>
      </c>
      <c r="H29" s="1633">
        <f t="shared" si="2"/>
        <v>17.181014257354256</v>
      </c>
      <c r="I29" s="1633">
        <f t="shared" si="3"/>
        <v>1.4057262672947142</v>
      </c>
      <c r="J29" s="439"/>
      <c r="K29" s="439"/>
      <c r="L29" s="439"/>
      <c r="M29" s="439"/>
      <c r="N29" s="439"/>
      <c r="O29" s="439"/>
      <c r="P29" s="439"/>
      <c r="Q29" s="439"/>
      <c r="R29" s="439"/>
    </row>
    <row r="30" spans="2:18" s="429" customFormat="1" ht="15" customHeight="1">
      <c r="B30" s="433"/>
      <c r="C30" s="970" t="str">
        <f>IF(Indice_index!$Z$1=1,"Juros e outros encargos","Interests and other charges")</f>
        <v>Juros e outros encargos</v>
      </c>
      <c r="D30" s="1608">
        <v>2.2000000000000002</v>
      </c>
      <c r="E30" s="1608">
        <v>0.7</v>
      </c>
      <c r="F30" s="1608">
        <v>1.2</v>
      </c>
      <c r="G30" s="1608">
        <v>0.9</v>
      </c>
      <c r="H30" s="1632">
        <f t="shared" si="2"/>
        <v>-25</v>
      </c>
      <c r="I30" s="1633">
        <f t="shared" si="3"/>
        <v>-4.42980966584469E-3</v>
      </c>
      <c r="J30" s="439"/>
      <c r="K30" s="439"/>
      <c r="L30" s="439"/>
      <c r="M30" s="439"/>
      <c r="N30" s="439"/>
      <c r="O30" s="439"/>
      <c r="P30" s="439"/>
      <c r="Q30" s="439"/>
      <c r="R30" s="439"/>
    </row>
    <row r="31" spans="2:18" s="429" customFormat="1" ht="15" customHeight="1">
      <c r="B31" s="433"/>
      <c r="C31" s="970" t="str">
        <f>IF(Indice_index!$Z$1=1,"Transferências correntes","Current transfers")</f>
        <v>Transferências correntes</v>
      </c>
      <c r="D31" s="1608">
        <v>127.9</v>
      </c>
      <c r="E31" s="1608">
        <v>134.80000000000001</v>
      </c>
      <c r="F31" s="1608">
        <v>94.8</v>
      </c>
      <c r="G31" s="1608">
        <v>35.299999999999997</v>
      </c>
      <c r="H31" s="1632">
        <f t="shared" si="2"/>
        <v>-62.76371308016877</v>
      </c>
      <c r="I31" s="1633">
        <f t="shared" si="3"/>
        <v>-0.878578917059197</v>
      </c>
      <c r="J31" s="439"/>
      <c r="K31" s="439"/>
      <c r="L31" s="439"/>
      <c r="M31" s="439"/>
      <c r="N31" s="439"/>
      <c r="O31" s="439"/>
      <c r="P31" s="439"/>
      <c r="Q31" s="439"/>
      <c r="R31" s="439"/>
    </row>
    <row r="32" spans="2:18" s="429" customFormat="1" ht="15" customHeight="1">
      <c r="B32" s="433"/>
      <c r="C32" s="970" t="str">
        <f>IF(Indice_index!$Z$1=1,"Outras despesas correntes","Other current expenditures")</f>
        <v>Outras despesas correntes</v>
      </c>
      <c r="D32" s="1608">
        <v>3.2</v>
      </c>
      <c r="E32" s="1608">
        <v>1.2</v>
      </c>
      <c r="F32" s="1608">
        <v>2.5</v>
      </c>
      <c r="G32" s="1608">
        <v>2.2000000000000002</v>
      </c>
      <c r="H32" s="1633">
        <f t="shared" si="2"/>
        <v>-11.999999999999989</v>
      </c>
      <c r="I32" s="1633">
        <f t="shared" si="3"/>
        <v>-4.4298096658446882E-3</v>
      </c>
      <c r="J32" s="439"/>
      <c r="K32" s="439"/>
      <c r="L32" s="439"/>
      <c r="M32" s="439"/>
      <c r="N32" s="439"/>
      <c r="O32" s="439"/>
      <c r="P32" s="439"/>
      <c r="Q32" s="439"/>
      <c r="R32" s="439"/>
    </row>
    <row r="33" spans="2:26" s="437" customFormat="1" ht="15" customHeight="1">
      <c r="B33" s="436"/>
      <c r="C33" s="1605" t="str">
        <f>IF(Indice_index!$Z$1=1,"Despesa de capital","Capital expenditure")</f>
        <v>Despesa de capital</v>
      </c>
      <c r="D33" s="1616">
        <v>233</v>
      </c>
      <c r="E33" s="1636">
        <v>634.59999999999991</v>
      </c>
      <c r="F33" s="1616">
        <v>102.2</v>
      </c>
      <c r="G33" s="1616">
        <v>68.900000000000006</v>
      </c>
      <c r="H33" s="1635">
        <f t="shared" si="2"/>
        <v>-32.583170254403129</v>
      </c>
      <c r="I33" s="1631">
        <f>IFERROR((G33-F33)/$F$38*100,"-")</f>
        <v>-0.49170887290876064</v>
      </c>
      <c r="J33" s="438"/>
      <c r="K33" s="438"/>
      <c r="L33" s="438"/>
      <c r="M33" s="438"/>
      <c r="N33" s="438"/>
      <c r="O33" s="438"/>
      <c r="P33" s="438"/>
      <c r="Q33" s="438"/>
      <c r="R33" s="438"/>
    </row>
    <row r="34" spans="2:26" s="429" customFormat="1" ht="15" customHeight="1">
      <c r="B34" s="433"/>
      <c r="C34" s="970" t="str">
        <f>IF(Indice_index!$Z$1=1,"Investimentos","Investments")</f>
        <v>Investimentos</v>
      </c>
      <c r="D34" s="1608">
        <v>232.4</v>
      </c>
      <c r="E34" s="1617">
        <v>589.29999999999995</v>
      </c>
      <c r="F34" s="1608">
        <v>102</v>
      </c>
      <c r="G34" s="1608">
        <v>68.5</v>
      </c>
      <c r="H34" s="1632">
        <f t="shared" si="2"/>
        <v>-32.843137254901968</v>
      </c>
      <c r="I34" s="1633">
        <f>IFERROR((G34-F34)/$F$38*100,"-")</f>
        <v>-0.49466207935265716</v>
      </c>
      <c r="J34" s="439"/>
      <c r="K34" s="439"/>
      <c r="L34" s="439"/>
      <c r="M34" s="439"/>
      <c r="N34" s="439"/>
      <c r="O34" s="439"/>
      <c r="P34" s="439"/>
      <c r="Q34" s="439"/>
      <c r="R34" s="439"/>
    </row>
    <row r="35" spans="2:26" s="429" customFormat="1" ht="15" customHeight="1">
      <c r="B35" s="440"/>
      <c r="C35" s="970" t="str">
        <f>IF(Indice_index!$Z$1=1,"Transferências de capital","Capital transfers")</f>
        <v>Transferências de capital</v>
      </c>
      <c r="D35" s="1608">
        <v>0.6</v>
      </c>
      <c r="E35" s="1617">
        <v>45.3</v>
      </c>
      <c r="F35" s="1608">
        <v>0.2</v>
      </c>
      <c r="G35" s="1608">
        <v>0.4</v>
      </c>
      <c r="H35" s="1632">
        <f t="shared" si="2"/>
        <v>100</v>
      </c>
      <c r="I35" s="1633">
        <f t="shared" ref="I35:I36" si="4">IFERROR((G35-F35)/$F$38*100,"-")</f>
        <v>2.9532064438964607E-3</v>
      </c>
      <c r="J35" s="439"/>
      <c r="K35" s="439"/>
      <c r="L35" s="439"/>
      <c r="M35" s="439"/>
      <c r="N35" s="439"/>
      <c r="O35" s="439"/>
      <c r="P35" s="439"/>
      <c r="Q35" s="439"/>
      <c r="R35" s="439"/>
    </row>
    <row r="36" spans="2:26" s="429" customFormat="1" ht="15" customHeight="1">
      <c r="B36" s="433"/>
      <c r="C36" s="970" t="str">
        <f>IF(Indice_index!$Z$1=1,"Outras despesas de capital","Other capital expenditures")</f>
        <v>Outras despesas de capital</v>
      </c>
      <c r="D36" s="1617">
        <v>0</v>
      </c>
      <c r="E36" s="1617">
        <v>0</v>
      </c>
      <c r="F36" s="1617">
        <v>0</v>
      </c>
      <c r="G36" s="1617">
        <v>0</v>
      </c>
      <c r="H36" s="1637" t="str">
        <f t="shared" si="2"/>
        <v>-</v>
      </c>
      <c r="I36" s="1633">
        <f t="shared" si="4"/>
        <v>0</v>
      </c>
      <c r="J36" s="439"/>
      <c r="K36" s="439"/>
      <c r="L36" s="439"/>
      <c r="M36" s="439"/>
      <c r="N36" s="439"/>
      <c r="O36" s="439"/>
      <c r="P36" s="439"/>
      <c r="Q36" s="439"/>
      <c r="R36" s="439"/>
    </row>
    <row r="37" spans="2:26" s="429" customFormat="1" ht="4.5" customHeight="1">
      <c r="B37" s="433"/>
      <c r="C37" s="1618"/>
      <c r="D37" s="1606"/>
      <c r="E37" s="1630"/>
      <c r="F37" s="1606"/>
      <c r="G37" s="1606"/>
      <c r="H37" s="1632"/>
      <c r="I37" s="1632"/>
      <c r="J37" s="439"/>
      <c r="K37" s="439"/>
      <c r="L37" s="439"/>
      <c r="M37" s="439"/>
      <c r="N37" s="439"/>
      <c r="O37" s="439"/>
      <c r="P37" s="439"/>
      <c r="Q37" s="439"/>
      <c r="R37" s="439"/>
    </row>
    <row r="38" spans="2:26" s="437" customFormat="1" ht="15" customHeight="1">
      <c r="B38" s="436"/>
      <c r="C38" s="1605" t="str">
        <f>IF(Indice_index!$Z$1=1,"Despesa efetiva","Effective expenditure")</f>
        <v>Despesa efetiva</v>
      </c>
      <c r="D38" s="1619">
        <v>12386.800000000001</v>
      </c>
      <c r="E38" s="1638">
        <v>13321.365318900727</v>
      </c>
      <c r="F38" s="1619">
        <v>6772.3</v>
      </c>
      <c r="G38" s="1619">
        <v>7199.2</v>
      </c>
      <c r="H38" s="1639">
        <f>IF(F38=0,"-",((G38/F38)-1)*100)</f>
        <v>6.3036191544969977</v>
      </c>
      <c r="I38" s="1639"/>
      <c r="J38" s="438"/>
      <c r="K38" s="438"/>
      <c r="L38" s="438"/>
      <c r="M38" s="438"/>
      <c r="N38" s="438"/>
      <c r="O38" s="438"/>
      <c r="P38" s="438"/>
      <c r="Q38" s="438"/>
      <c r="R38" s="438"/>
    </row>
    <row r="39" spans="2:26" s="429" customFormat="1" ht="4.5" customHeight="1">
      <c r="B39" s="433"/>
      <c r="C39" s="1620"/>
      <c r="D39" s="1619"/>
      <c r="E39" s="1638"/>
      <c r="F39" s="1619"/>
      <c r="G39" s="1619"/>
      <c r="H39" s="1639"/>
      <c r="I39" s="1639"/>
      <c r="J39" s="439"/>
      <c r="K39" s="439"/>
      <c r="L39" s="439"/>
      <c r="M39" s="439"/>
      <c r="N39" s="439"/>
      <c r="O39" s="439"/>
      <c r="P39" s="439"/>
      <c r="Q39" s="439"/>
      <c r="R39" s="439"/>
    </row>
    <row r="40" spans="2:26" s="437" customFormat="1" ht="15" customHeight="1">
      <c r="B40" s="436"/>
      <c r="C40" s="1621" t="str">
        <f>IF(Indice_index!$Z$1=1,"Saldo global","Overall balance")</f>
        <v>Saldo global</v>
      </c>
      <c r="D40" s="1622">
        <v>-1100.0538944199998</v>
      </c>
      <c r="E40" s="1640">
        <v>-1120.9809903224268</v>
      </c>
      <c r="F40" s="1622">
        <v>-142.64142811000056</v>
      </c>
      <c r="G40" s="1622">
        <v>13.800000000002001</v>
      </c>
      <c r="H40" s="1622"/>
      <c r="I40" s="1622"/>
      <c r="J40" s="438"/>
      <c r="K40" s="438"/>
      <c r="L40" s="438"/>
      <c r="M40" s="438"/>
      <c r="N40" s="438"/>
      <c r="O40" s="438"/>
      <c r="P40" s="438"/>
      <c r="Q40" s="438"/>
      <c r="R40" s="438"/>
    </row>
    <row r="41" spans="2:26" s="437" customFormat="1" ht="4.5" customHeight="1">
      <c r="B41" s="436"/>
      <c r="C41" s="1605"/>
      <c r="D41" s="1605"/>
      <c r="E41" s="1613"/>
      <c r="F41" s="1605"/>
      <c r="G41" s="1605"/>
      <c r="H41" s="1605"/>
      <c r="I41" s="1605"/>
      <c r="J41" s="438"/>
      <c r="K41" s="438"/>
      <c r="L41" s="438"/>
      <c r="M41" s="438"/>
      <c r="N41" s="438"/>
      <c r="O41" s="438"/>
      <c r="P41" s="438"/>
      <c r="Q41" s="438"/>
      <c r="R41" s="438"/>
    </row>
    <row r="42" spans="2:26" s="138" customFormat="1" ht="15" customHeight="1">
      <c r="C42" s="433" t="str">
        <f>IF(Indice_index!$Z$1=1,"Fonte: Administração Central do Sistema de Saúde, IP.","Source: Health System Central Administration")</f>
        <v>Fonte: Administração Central do Sistema de Saúde, IP.</v>
      </c>
      <c r="D42" s="1623"/>
      <c r="E42" s="1623"/>
      <c r="F42" s="1623"/>
      <c r="G42" s="1623"/>
      <c r="H42" s="371"/>
      <c r="I42" s="371"/>
      <c r="X42" s="4"/>
      <c r="Y42" s="4"/>
      <c r="Z42" s="4"/>
    </row>
    <row r="43" spans="2:26" s="429" customFormat="1" ht="11.25" customHeight="1">
      <c r="C43" s="433"/>
      <c r="D43" s="430"/>
      <c r="E43" s="430"/>
      <c r="F43" s="430"/>
    </row>
    <row r="44" spans="2:26" s="429" customFormat="1">
      <c r="C44" s="466"/>
      <c r="D44" s="430"/>
      <c r="E44" s="430"/>
      <c r="F44" s="430"/>
    </row>
    <row r="45" spans="2:26" s="429" customFormat="1">
      <c r="C45" s="466"/>
      <c r="D45" s="430"/>
      <c r="E45" s="430"/>
      <c r="F45" s="430"/>
    </row>
    <row r="46" spans="2:26" s="429" customFormat="1">
      <c r="C46" s="466"/>
      <c r="D46" s="430"/>
      <c r="E46" s="430"/>
      <c r="F46" s="430"/>
    </row>
    <row r="47" spans="2:26" s="429" customFormat="1">
      <c r="C47" s="372"/>
      <c r="D47" s="372"/>
      <c r="E47" s="372"/>
      <c r="F47" s="372"/>
      <c r="H47" s="441"/>
      <c r="I47" s="441"/>
    </row>
    <row r="48" spans="2:26" s="429" customFormat="1">
      <c r="C48" s="372"/>
      <c r="D48" s="372"/>
      <c r="E48" s="372"/>
      <c r="F48" s="372"/>
      <c r="H48" s="441"/>
      <c r="I48" s="441"/>
    </row>
    <row r="49" spans="8:9" s="429" customFormat="1">
      <c r="H49" s="441"/>
      <c r="I49" s="441"/>
    </row>
    <row r="50" spans="8:9" s="429" customFormat="1">
      <c r="H50" s="441"/>
      <c r="I50" s="441"/>
    </row>
    <row r="51" spans="8:9" s="429" customFormat="1">
      <c r="H51" s="441"/>
      <c r="I51" s="441"/>
    </row>
    <row r="52" spans="8:9" s="429" customFormat="1">
      <c r="H52" s="441"/>
      <c r="I52" s="441"/>
    </row>
    <row r="53" spans="8:9" s="429" customFormat="1">
      <c r="H53" s="441"/>
      <c r="I53" s="441"/>
    </row>
    <row r="54" spans="8:9" s="429" customFormat="1">
      <c r="H54" s="441"/>
      <c r="I54" s="441"/>
    </row>
    <row r="55" spans="8:9" s="429" customFormat="1">
      <c r="H55" s="441"/>
      <c r="I55" s="441"/>
    </row>
    <row r="56" spans="8:9" s="429" customFormat="1">
      <c r="H56" s="441"/>
      <c r="I56" s="441"/>
    </row>
    <row r="57" spans="8:9" s="429" customFormat="1">
      <c r="H57" s="441"/>
      <c r="I57" s="441"/>
    </row>
    <row r="58" spans="8:9" s="429" customFormat="1">
      <c r="H58" s="441"/>
      <c r="I58" s="441"/>
    </row>
    <row r="59" spans="8:9" s="429" customFormat="1">
      <c r="H59" s="441"/>
      <c r="I59" s="441"/>
    </row>
    <row r="60" spans="8:9" s="429" customFormat="1">
      <c r="H60" s="441"/>
      <c r="I60" s="441"/>
    </row>
    <row r="61" spans="8:9" s="429" customFormat="1">
      <c r="H61" s="441"/>
      <c r="I61" s="441"/>
    </row>
    <row r="62" spans="8:9" s="429" customFormat="1">
      <c r="H62" s="441"/>
      <c r="I62" s="441"/>
    </row>
    <row r="63" spans="8:9" s="429" customFormat="1">
      <c r="H63" s="441"/>
      <c r="I63" s="441"/>
    </row>
    <row r="64" spans="8:9" s="429" customFormat="1">
      <c r="H64" s="441"/>
      <c r="I64" s="441"/>
    </row>
    <row r="65" spans="8:9" s="429" customFormat="1">
      <c r="H65" s="441"/>
      <c r="I65" s="441"/>
    </row>
    <row r="66" spans="8:9" s="429" customFormat="1">
      <c r="H66" s="441"/>
      <c r="I66" s="441"/>
    </row>
    <row r="67" spans="8:9" s="429" customFormat="1">
      <c r="H67" s="441"/>
      <c r="I67" s="441"/>
    </row>
    <row r="68" spans="8:9" s="429" customFormat="1">
      <c r="H68" s="441"/>
      <c r="I68" s="441"/>
    </row>
    <row r="69" spans="8:9" s="429" customFormat="1"/>
    <row r="70" spans="8:9" s="429" customFormat="1"/>
    <row r="71" spans="8:9" s="429" customFormat="1"/>
    <row r="72" spans="8:9" s="429" customFormat="1"/>
    <row r="73" spans="8:9" s="429" customFormat="1"/>
    <row r="74" spans="8:9" s="429" customFormat="1"/>
    <row r="75" spans="8:9" s="429" customFormat="1"/>
    <row r="76" spans="8:9" s="429" customFormat="1"/>
    <row r="77" spans="8:9" s="429" customFormat="1"/>
    <row r="78" spans="8:9" s="429" customFormat="1"/>
    <row r="79" spans="8:9" s="429" customFormat="1"/>
    <row r="80" spans="8:9" s="429" customFormat="1"/>
    <row r="81" s="429" customFormat="1"/>
    <row r="82" s="429" customFormat="1"/>
    <row r="83" s="429" customFormat="1"/>
    <row r="84" s="429" customFormat="1"/>
    <row r="85" s="429" customFormat="1"/>
    <row r="86" s="429" customFormat="1"/>
    <row r="87" s="429" customFormat="1"/>
    <row r="88" s="429" customFormat="1"/>
    <row r="89" s="429" customFormat="1"/>
    <row r="90" s="429" customFormat="1"/>
    <row r="91" s="429" customFormat="1"/>
    <row r="92" s="429" customFormat="1"/>
    <row r="93" s="429" customFormat="1"/>
    <row r="94" s="429" customFormat="1"/>
    <row r="95" s="429" customFormat="1"/>
    <row r="96" s="429" customFormat="1"/>
    <row r="97" s="429" customFormat="1"/>
    <row r="98" s="429" customFormat="1"/>
    <row r="99" s="429" customFormat="1"/>
    <row r="100" s="429" customFormat="1"/>
    <row r="101" s="429" customFormat="1"/>
    <row r="102" s="429" customFormat="1"/>
    <row r="103" s="429" customFormat="1"/>
    <row r="104" s="429" customFormat="1"/>
    <row r="105" s="429" customFormat="1"/>
    <row r="106" s="429" customFormat="1"/>
    <row r="107" s="429" customFormat="1"/>
    <row r="108" s="429" customFormat="1"/>
    <row r="109" s="429" customFormat="1"/>
    <row r="110" s="429" customFormat="1"/>
    <row r="111" s="429" customFormat="1"/>
    <row r="112" s="429" customFormat="1"/>
    <row r="113" s="429" customFormat="1"/>
    <row r="114" s="429" customFormat="1" ht="12" customHeight="1"/>
    <row r="115" s="429" customFormat="1"/>
    <row r="116" s="429" customFormat="1"/>
    <row r="117" s="429" customFormat="1"/>
    <row r="118" s="429" customFormat="1"/>
    <row r="119" s="429" customFormat="1"/>
    <row r="120" s="429" customFormat="1"/>
    <row r="121" s="429" customFormat="1"/>
    <row r="122" s="429" customFormat="1"/>
    <row r="123" s="429" customFormat="1"/>
    <row r="124" s="429" customFormat="1"/>
    <row r="125" s="429" customFormat="1"/>
    <row r="126" s="429" customFormat="1"/>
    <row r="127" s="429" customFormat="1"/>
    <row r="128" s="429" customFormat="1"/>
    <row r="129" s="429" customFormat="1"/>
    <row r="130" s="429" customFormat="1"/>
    <row r="131" s="429" customFormat="1"/>
    <row r="132" s="429" customFormat="1"/>
    <row r="133" s="429" customFormat="1"/>
    <row r="134" s="429" customFormat="1"/>
    <row r="135" s="429" customFormat="1"/>
    <row r="136" s="429" customFormat="1"/>
    <row r="137" s="429" customFormat="1"/>
    <row r="138" s="429" customFormat="1"/>
    <row r="139" s="429" customFormat="1"/>
    <row r="140" s="429" customFormat="1"/>
    <row r="141" s="429" customFormat="1"/>
    <row r="142" s="429" customFormat="1"/>
    <row r="143" s="429" customFormat="1"/>
    <row r="144" s="429" customFormat="1"/>
    <row r="145" s="429" customFormat="1"/>
    <row r="146" s="429" customFormat="1"/>
    <row r="147" s="429" customFormat="1"/>
    <row r="148" s="429" customFormat="1"/>
    <row r="149" s="429" customFormat="1"/>
    <row r="150" s="429" customFormat="1"/>
    <row r="151" s="429" customFormat="1"/>
    <row r="152" s="429" customFormat="1"/>
    <row r="153" s="429" customFormat="1"/>
    <row r="154" s="429" customFormat="1"/>
    <row r="155" s="429" customFormat="1"/>
    <row r="156" s="429" customFormat="1"/>
    <row r="157" s="429" customFormat="1"/>
    <row r="158" s="429" customFormat="1"/>
    <row r="159" s="429" customFormat="1"/>
    <row r="160" s="429" customFormat="1"/>
    <row r="161" s="429" customFormat="1"/>
    <row r="162" s="429" customFormat="1"/>
    <row r="163" s="429" customFormat="1"/>
    <row r="164" s="429" customFormat="1"/>
    <row r="165" s="429" customFormat="1"/>
    <row r="166" s="429" customFormat="1"/>
    <row r="167" s="429" customFormat="1"/>
    <row r="168" s="429" customFormat="1"/>
    <row r="169" s="429" customFormat="1"/>
    <row r="170" s="429" customFormat="1"/>
    <row r="171" s="429" customFormat="1"/>
    <row r="172" s="429" customFormat="1"/>
    <row r="173" s="429" customFormat="1"/>
    <row r="174" s="429" customFormat="1"/>
    <row r="175" s="429" customFormat="1"/>
    <row r="176" s="429" customFormat="1"/>
    <row r="177" s="429" customFormat="1"/>
    <row r="178" s="429" customFormat="1"/>
    <row r="179" s="429" customFormat="1"/>
    <row r="180" s="429" customFormat="1"/>
    <row r="181" s="429" customFormat="1"/>
    <row r="182" s="429" customFormat="1"/>
    <row r="183" s="429" customFormat="1"/>
    <row r="184" s="429" customFormat="1"/>
    <row r="185" s="429" customFormat="1"/>
    <row r="186" s="429" customFormat="1"/>
    <row r="187" s="429" customFormat="1"/>
    <row r="188" s="429" customFormat="1"/>
    <row r="189" s="429" customFormat="1"/>
    <row r="190" s="429" customFormat="1"/>
    <row r="191" s="429" customFormat="1"/>
    <row r="192" s="429" customFormat="1"/>
    <row r="193" s="429" customFormat="1"/>
    <row r="194" s="429" customFormat="1"/>
    <row r="195" s="429" customFormat="1"/>
    <row r="196" s="429" customFormat="1"/>
    <row r="197" s="429" customFormat="1"/>
    <row r="198" s="429" customFormat="1"/>
    <row r="199" s="429" customFormat="1"/>
    <row r="200" s="429" customFormat="1"/>
    <row r="201" s="429" customFormat="1"/>
    <row r="202" s="429" customFormat="1"/>
    <row r="203" s="429" customFormat="1"/>
    <row r="204" s="429" customFormat="1"/>
    <row r="205" s="429" customFormat="1"/>
    <row r="206" s="429" customFormat="1"/>
    <row r="207" s="429" customFormat="1"/>
    <row r="208" s="429" customFormat="1"/>
    <row r="209" s="429" customFormat="1"/>
    <row r="210" s="429" customFormat="1"/>
    <row r="211" s="429" customFormat="1"/>
    <row r="212" s="429" customFormat="1"/>
    <row r="213" s="429" customFormat="1"/>
    <row r="214" s="429" customFormat="1"/>
    <row r="215" s="429" customFormat="1"/>
    <row r="216" s="429" customFormat="1"/>
    <row r="217" s="429" customFormat="1"/>
    <row r="218" s="429" customFormat="1"/>
    <row r="219" s="429" customFormat="1"/>
    <row r="220" s="429" customFormat="1"/>
    <row r="221" s="429" customFormat="1"/>
    <row r="222" s="429" customFormat="1"/>
    <row r="223" s="429" customFormat="1"/>
    <row r="224" s="429" customFormat="1"/>
    <row r="225" s="429" customFormat="1"/>
    <row r="226" s="429" customFormat="1"/>
    <row r="227" s="429" customFormat="1"/>
    <row r="228" s="429" customFormat="1"/>
    <row r="229" s="429" customFormat="1"/>
    <row r="230" s="429" customFormat="1"/>
    <row r="231" s="429" customFormat="1"/>
    <row r="232" s="429" customFormat="1"/>
    <row r="233" s="429" customFormat="1"/>
    <row r="234" s="429" customFormat="1"/>
    <row r="235" s="429" customFormat="1"/>
    <row r="236" s="429" customFormat="1"/>
    <row r="237" s="429" customFormat="1"/>
    <row r="238" s="429" customFormat="1"/>
    <row r="239" s="429" customFormat="1"/>
    <row r="240" s="429" customFormat="1"/>
    <row r="241" s="429" customFormat="1"/>
    <row r="242" s="429" customFormat="1"/>
    <row r="243" s="429" customFormat="1"/>
    <row r="244" s="429" customFormat="1"/>
    <row r="245" s="429" customFormat="1"/>
    <row r="246" s="429" customFormat="1"/>
    <row r="247" s="429" customFormat="1"/>
    <row r="248" s="429" customFormat="1"/>
    <row r="249" s="429" customFormat="1"/>
    <row r="250" s="429" customFormat="1"/>
    <row r="251" s="429" customFormat="1"/>
    <row r="252" s="429" customFormat="1"/>
    <row r="253" s="429" customFormat="1"/>
    <row r="254" s="429" customFormat="1"/>
    <row r="255" s="429" customFormat="1"/>
    <row r="256" s="429" customFormat="1"/>
    <row r="257" s="429" customFormat="1"/>
    <row r="258" s="429" customFormat="1"/>
    <row r="259" s="429" customFormat="1"/>
    <row r="260" s="429" customFormat="1"/>
    <row r="261" s="429" customFormat="1"/>
    <row r="262" s="429" customFormat="1"/>
    <row r="263" s="429" customFormat="1"/>
    <row r="264" s="429" customFormat="1"/>
    <row r="265" s="429" customFormat="1"/>
    <row r="266" s="429" customFormat="1"/>
    <row r="267" s="429" customFormat="1"/>
    <row r="268" s="429" customFormat="1"/>
    <row r="269" s="429" customFormat="1"/>
  </sheetData>
  <mergeCells count="2">
    <mergeCell ref="F6:G6"/>
    <mergeCell ref="H6:I6"/>
  </mergeCells>
  <printOptions horizontalCentered="1"/>
  <pageMargins left="0.70866141732283472" right="0.70866141732283472" top="0.74803149606299213" bottom="0.74803149606299213" header="0.74803149606299213" footer="0.35433070866141736"/>
  <pageSetup paperSize="9" scale="62" orientation="portrait" r:id="rId1"/>
  <headerFooter differentOddEven="1">
    <oddFooter>&amp;R&amp;G</oddFooter>
    <evenFooter>&amp;L&amp;G</evenFooter>
  </headerFooter>
  <drawing r:id="rId2"/>
  <legacyDrawingHF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Folha22">
    <pageSetUpPr fitToPage="1"/>
  </sheetPr>
  <dimension ref="A1:AJ62"/>
  <sheetViews>
    <sheetView showGridLines="0" zoomScaleNormal="100" zoomScaleSheetLayoutView="100" workbookViewId="0">
      <selection activeCell="B2" sqref="B2"/>
    </sheetView>
  </sheetViews>
  <sheetFormatPr defaultColWidth="9.140625" defaultRowHeight="12.75"/>
  <cols>
    <col min="1" max="1" width="3.42578125" style="138" customWidth="1"/>
    <col min="2" max="2" width="4.42578125" style="138" customWidth="1"/>
    <col min="3" max="3" width="2.140625" style="138" customWidth="1"/>
    <col min="4" max="4" width="31.5703125" style="138" customWidth="1"/>
    <col min="5" max="11" width="7.42578125" style="138" customWidth="1"/>
    <col min="12" max="16" width="7.5703125" style="138" customWidth="1"/>
    <col min="17" max="17" width="6.42578125" style="138" customWidth="1"/>
    <col min="18" max="18" width="7.42578125" style="138" customWidth="1"/>
    <col min="19" max="19" width="11" style="138" bestFit="1" customWidth="1"/>
    <col min="20" max="20" width="12" style="138" bestFit="1" customWidth="1"/>
    <col min="21" max="27" width="9.140625" style="138"/>
    <col min="28" max="28" width="12.42578125" style="4" hidden="1" customWidth="1"/>
    <col min="29" max="30" width="9.140625" style="4" hidden="1" customWidth="1"/>
    <col min="31" max="16384" width="9.140625" style="138"/>
  </cols>
  <sheetData>
    <row r="1" spans="1:36" s="168" customFormat="1" ht="15" customHeight="1">
      <c r="E1" s="138"/>
      <c r="F1" s="138"/>
      <c r="G1" s="138"/>
      <c r="L1" s="138"/>
      <c r="AB1" s="168">
        <v>1</v>
      </c>
      <c r="AC1" s="168" t="s">
        <v>0</v>
      </c>
      <c r="AD1" s="168">
        <v>1</v>
      </c>
    </row>
    <row r="2" spans="1:36" s="168" customFormat="1" ht="24" customHeight="1">
      <c r="B2" s="8"/>
      <c r="C2" s="335" t="str">
        <f>IF(Indice_index!$Z$1=1,"18 - Dívida não Financeira das Administrações Públicas","18 - General Government Non-Financial Debt")</f>
        <v>18 - Dívida não Financeira das Administrações Públicas</v>
      </c>
      <c r="D2" s="335"/>
      <c r="E2" s="335"/>
      <c r="F2" s="335"/>
      <c r="G2" s="335"/>
      <c r="H2" s="335"/>
      <c r="I2" s="335"/>
      <c r="J2" s="335"/>
      <c r="K2" s="335"/>
      <c r="L2" s="335"/>
      <c r="M2" s="336"/>
      <c r="N2" s="336"/>
      <c r="O2" s="336"/>
      <c r="P2" s="336"/>
      <c r="Q2" s="336"/>
      <c r="R2" s="336"/>
      <c r="AB2" s="337">
        <v>2</v>
      </c>
      <c r="AC2" s="4" t="s">
        <v>1</v>
      </c>
      <c r="AD2" s="4"/>
    </row>
    <row r="3" spans="1:36" ht="15" customHeight="1">
      <c r="A3" s="338"/>
      <c r="B3" s="338"/>
      <c r="C3" s="338"/>
      <c r="D3" s="338"/>
      <c r="E3" s="339"/>
      <c r="F3" s="339"/>
      <c r="G3" s="339"/>
      <c r="L3" s="339"/>
    </row>
    <row r="4" spans="1:36" ht="15" customHeight="1">
      <c r="B4" s="97"/>
      <c r="C4" s="97"/>
      <c r="D4" s="97"/>
      <c r="E4" s="97"/>
      <c r="F4" s="97"/>
      <c r="G4" s="97"/>
      <c r="H4" s="97"/>
      <c r="I4" s="97"/>
      <c r="J4" s="97"/>
      <c r="K4" s="97"/>
      <c r="L4" s="97"/>
      <c r="M4" s="97"/>
      <c r="N4" s="97"/>
      <c r="O4" s="97"/>
      <c r="P4" s="97"/>
      <c r="Q4" s="97"/>
      <c r="R4" s="97"/>
      <c r="S4" s="97"/>
    </row>
    <row r="5" spans="1:36" s="316" customFormat="1" ht="15" customHeight="1">
      <c r="B5" s="314"/>
      <c r="C5" s="797" t="str">
        <f>+'5 - Conta AC + SS'!C5</f>
        <v>Período: janeiro a julho</v>
      </c>
      <c r="D5" s="1330"/>
      <c r="E5" s="1331"/>
      <c r="F5" s="1331"/>
      <c r="G5" s="1331"/>
      <c r="H5" s="1331"/>
      <c r="I5" s="1331"/>
      <c r="J5" s="1331"/>
      <c r="K5" s="1331"/>
      <c r="L5" s="1331"/>
      <c r="M5" s="1331"/>
      <c r="N5" s="1331"/>
      <c r="O5" s="1331"/>
      <c r="P5" s="1331"/>
      <c r="Q5" s="314"/>
      <c r="R5" s="314"/>
      <c r="S5" s="314"/>
      <c r="AB5" s="250"/>
      <c r="AC5" s="250"/>
      <c r="AD5" s="250"/>
    </row>
    <row r="6" spans="1:36" s="316" customFormat="1" ht="15" customHeight="1">
      <c r="B6" s="314"/>
      <c r="C6" s="314"/>
      <c r="D6" s="1330" t="str">
        <f>IF(Indice_index!$Z$1=1,"Passivo não financeiro das Administrações Públicas  - Stock em fim de período","Non financial Liabilities from General Government - Stock in the end of the period")</f>
        <v>Passivo não financeiro das Administrações Públicas  - Stock em fim de período</v>
      </c>
      <c r="E6" s="1332"/>
      <c r="F6" s="1332"/>
      <c r="G6" s="314"/>
      <c r="H6" s="314"/>
      <c r="I6" s="314"/>
      <c r="J6" s="314"/>
      <c r="K6" s="1332"/>
      <c r="L6" s="314"/>
      <c r="M6" s="314"/>
      <c r="N6" s="314"/>
      <c r="O6" s="314"/>
      <c r="P6" s="314"/>
      <c r="Q6" s="314"/>
      <c r="R6" s="314"/>
      <c r="S6" s="460"/>
      <c r="AB6" s="250"/>
      <c r="AC6" s="250"/>
      <c r="AD6" s="250"/>
    </row>
    <row r="7" spans="1:36" s="316" customFormat="1">
      <c r="B7" s="314"/>
      <c r="C7" s="314"/>
      <c r="D7" s="1330"/>
      <c r="E7" s="314"/>
      <c r="F7" s="314"/>
      <c r="G7" s="314"/>
      <c r="H7" s="314"/>
      <c r="I7" s="314"/>
      <c r="J7" s="314"/>
      <c r="K7" s="314"/>
      <c r="L7" s="314"/>
      <c r="M7" s="314"/>
      <c r="N7" s="314"/>
      <c r="O7" s="314"/>
      <c r="P7" s="314"/>
      <c r="Q7" s="314"/>
      <c r="R7" s="1333" t="str">
        <f>IF(Indice_index!$Z$1=1,"€ Milhões","€ Millions")</f>
        <v>€ Milhões</v>
      </c>
      <c r="S7" s="460"/>
      <c r="AB7" s="250"/>
      <c r="AC7" s="250"/>
      <c r="AD7" s="250"/>
    </row>
    <row r="8" spans="1:36" s="169" customFormat="1" ht="12.75" customHeight="1">
      <c r="B8" s="112"/>
      <c r="C8" s="1755" t="str">
        <f>IF(Indice_index!$Z$1=1,"Natureza da Dívida","Nature of Debt")</f>
        <v>Natureza da Dívida</v>
      </c>
      <c r="D8" s="1756"/>
      <c r="E8" s="1763">
        <v>2021</v>
      </c>
      <c r="F8" s="1764"/>
      <c r="G8" s="1764"/>
      <c r="H8" s="1764"/>
      <c r="I8" s="1764"/>
      <c r="J8" s="1765"/>
      <c r="K8" s="1766">
        <v>2022</v>
      </c>
      <c r="L8" s="1764"/>
      <c r="M8" s="1764"/>
      <c r="N8" s="1764"/>
      <c r="O8" s="1764"/>
      <c r="P8" s="1764"/>
      <c r="Q8" s="1765"/>
      <c r="R8" s="1753" t="str">
        <f>IF(Indice_index!$Z$1=1,"variação mensal","monthly variation")</f>
        <v>variação mensal</v>
      </c>
      <c r="S8" s="461"/>
      <c r="AB8" s="18"/>
      <c r="AC8" s="18"/>
      <c r="AD8" s="18"/>
    </row>
    <row r="9" spans="1:36" s="169" customFormat="1" ht="15.75" customHeight="1">
      <c r="B9" s="112"/>
      <c r="C9" s="1757"/>
      <c r="D9" s="1758"/>
      <c r="E9" s="1335" t="str">
        <f>IF(Indice_index!$Z$1=1,"jul*","July*")</f>
        <v>jul*</v>
      </c>
      <c r="F9" s="1335" t="str">
        <f>IF(Indice_index!$Z$1=1,"ago*","Aug*")</f>
        <v>ago*</v>
      </c>
      <c r="G9" s="1335" t="str">
        <f>IF(Indice_index!$Z$1=1,"set*","Sep* ")</f>
        <v>set*</v>
      </c>
      <c r="H9" s="1336" t="str">
        <f>IF(Indice_index!$Z$1=1,"out*","Oct*")</f>
        <v>out*</v>
      </c>
      <c r="I9" s="1337" t="str">
        <f>IF(Indice_index!$Z$1=1,"nov*","Nov*")</f>
        <v>nov*</v>
      </c>
      <c r="J9" s="1338" t="str">
        <f>IF(Indice_index!$Z$1=1,"dez*","Dec*")</f>
        <v>dez*</v>
      </c>
      <c r="K9" s="1334" t="str">
        <f>IF(Indice_index!$Z$1=1,"jan*","Jan*")</f>
        <v>jan*</v>
      </c>
      <c r="L9" s="1334" t="str">
        <f>IF(Indice_index!$Z$1=1,"fev*","Feb*")</f>
        <v>fev*</v>
      </c>
      <c r="M9" s="1339" t="str">
        <f>IF(Indice_index!$Z$1=1,"mar*","Mar*")</f>
        <v>mar*</v>
      </c>
      <c r="N9" s="1339" t="str">
        <f>IF(Indice_index!$Z$1=1,"abr*","Apr*")</f>
        <v>abr*</v>
      </c>
      <c r="O9" s="1334" t="str">
        <f>IF(Indice_index!$Z$1=1,"mai*","May*")</f>
        <v>mai*</v>
      </c>
      <c r="P9" s="1334" t="str">
        <f>IF(Indice_index!$Z$1=1,"jun*","June*")</f>
        <v>jun*</v>
      </c>
      <c r="Q9" s="1335" t="str">
        <f>IF(Indice_index!$Z$1=1,"jul*","July*")</f>
        <v>jul*</v>
      </c>
      <c r="R9" s="1754"/>
      <c r="S9" s="112"/>
      <c r="AA9" s="18"/>
      <c r="AB9" s="18"/>
      <c r="AC9" s="18"/>
    </row>
    <row r="10" spans="1:36" s="169" customFormat="1" ht="15" customHeight="1">
      <c r="B10" s="112"/>
      <c r="C10" s="1759" t="str">
        <f>IF(Indice_index!$Z$1=1,"AC","CG")</f>
        <v>AC</v>
      </c>
      <c r="D10" s="1340" t="str">
        <f>IF(Indice_index!$Z$1=1,"Aquisição de Bens e Serviços","Goods and Services Acquisition")</f>
        <v>Aquisição de Bens e Serviços</v>
      </c>
      <c r="E10" s="1341">
        <v>394.28554687999997</v>
      </c>
      <c r="F10" s="1341">
        <v>401.19912697000035</v>
      </c>
      <c r="G10" s="1341">
        <v>367.12549348999977</v>
      </c>
      <c r="H10" s="1341">
        <v>355.03992407999976</v>
      </c>
      <c r="I10" s="1341">
        <v>478.48410772999978</v>
      </c>
      <c r="J10" s="1342">
        <v>241.47870801999986</v>
      </c>
      <c r="K10" s="1343">
        <v>356.13126904999967</v>
      </c>
      <c r="L10" s="1341">
        <v>319.70413650999978</v>
      </c>
      <c r="M10" s="1341">
        <v>376.82530436000002</v>
      </c>
      <c r="N10" s="1341">
        <v>370.64133442000013</v>
      </c>
      <c r="O10" s="1341">
        <v>395.67579400999995</v>
      </c>
      <c r="P10" s="1341">
        <v>356.2769544300001</v>
      </c>
      <c r="Q10" s="1342">
        <v>343.94796079000031</v>
      </c>
      <c r="R10" s="1344">
        <f>Q10-P10</f>
        <v>-12.328993639999794</v>
      </c>
      <c r="S10" s="112"/>
      <c r="T10" s="340"/>
      <c r="W10" s="341"/>
      <c r="AA10" s="18"/>
      <c r="AB10" s="18"/>
      <c r="AC10" s="18"/>
    </row>
    <row r="11" spans="1:36" s="169" customFormat="1" ht="15" customHeight="1">
      <c r="B11" s="112"/>
      <c r="C11" s="1760"/>
      <c r="D11" s="1340" t="str">
        <f>IF(Indice_index!$Z$1=1,"Aquisição Bens de Capital","Capital Goods Acquisition")</f>
        <v>Aquisição Bens de Capital</v>
      </c>
      <c r="E11" s="1345">
        <v>21.246262290000004</v>
      </c>
      <c r="F11" s="1345">
        <v>18.527855510000006</v>
      </c>
      <c r="G11" s="1345">
        <v>20.5512972</v>
      </c>
      <c r="H11" s="1345">
        <v>26.122987139999989</v>
      </c>
      <c r="I11" s="1345">
        <v>35.153274320000016</v>
      </c>
      <c r="J11" s="1346">
        <v>9.1747972700000027</v>
      </c>
      <c r="K11" s="1347">
        <v>8.8358061800000005</v>
      </c>
      <c r="L11" s="1345">
        <v>13.401199199999997</v>
      </c>
      <c r="M11" s="1345">
        <v>15.697491220000003</v>
      </c>
      <c r="N11" s="1345">
        <v>35.557092700000005</v>
      </c>
      <c r="O11" s="1345">
        <v>26.420110500000003</v>
      </c>
      <c r="P11" s="1345">
        <v>18.124037280000007</v>
      </c>
      <c r="Q11" s="1346">
        <v>25.40049462</v>
      </c>
      <c r="R11" s="1348">
        <f>Q11-P11</f>
        <v>7.2764573399999932</v>
      </c>
      <c r="S11" s="462"/>
      <c r="T11" s="170"/>
      <c r="U11" s="170"/>
      <c r="W11" s="341"/>
      <c r="AA11" s="18"/>
      <c r="AB11" s="18"/>
      <c r="AC11" s="18"/>
    </row>
    <row r="12" spans="1:36" s="169" customFormat="1" ht="15" customHeight="1">
      <c r="B12" s="112"/>
      <c r="C12" s="1760"/>
      <c r="D12" s="1340" t="str">
        <f>IF(Indice_index!$Z$1=1,"Transferências para AP","Transfers inside GG")</f>
        <v>Transferências para AP</v>
      </c>
      <c r="E12" s="1345">
        <v>39.433287329999999</v>
      </c>
      <c r="F12" s="1345">
        <v>45.913247420000005</v>
      </c>
      <c r="G12" s="1345">
        <v>29.927152589999999</v>
      </c>
      <c r="H12" s="1345">
        <v>38.319305980000003</v>
      </c>
      <c r="I12" s="1345">
        <v>33.640002469999999</v>
      </c>
      <c r="J12" s="1346">
        <v>28.061637040000001</v>
      </c>
      <c r="K12" s="1347">
        <v>27.343643359999998</v>
      </c>
      <c r="L12" s="1345">
        <v>83.660342270000001</v>
      </c>
      <c r="M12" s="1345">
        <v>35.253705700000005</v>
      </c>
      <c r="N12" s="1345">
        <v>41.478623759999998</v>
      </c>
      <c r="O12" s="1345">
        <v>41.920345049999995</v>
      </c>
      <c r="P12" s="1345">
        <v>51.741150400000009</v>
      </c>
      <c r="Q12" s="1346">
        <v>58.030122049999996</v>
      </c>
      <c r="R12" s="1348">
        <f>Q12-P12</f>
        <v>6.2889716499999864</v>
      </c>
      <c r="S12" s="462"/>
      <c r="T12" s="170"/>
      <c r="U12" s="170"/>
      <c r="W12" s="341"/>
      <c r="AA12" s="18"/>
      <c r="AB12" s="18"/>
      <c r="AC12" s="18"/>
    </row>
    <row r="13" spans="1:36" s="169" customFormat="1" ht="15" customHeight="1">
      <c r="B13" s="112"/>
      <c r="C13" s="1760"/>
      <c r="D13" s="1340" t="str">
        <f>IF(Indice_index!$Z$1=1,"Transferências para fora das AP","Transfers outside GG")</f>
        <v>Transferências para fora das AP</v>
      </c>
      <c r="E13" s="1345">
        <v>17.234999890000001</v>
      </c>
      <c r="F13" s="1345">
        <v>25.557118729999999</v>
      </c>
      <c r="G13" s="1345">
        <v>21.533130079999999</v>
      </c>
      <c r="H13" s="1345">
        <v>19.112499110000002</v>
      </c>
      <c r="I13" s="1345">
        <v>112.85260206999996</v>
      </c>
      <c r="J13" s="1346">
        <v>8.96728594</v>
      </c>
      <c r="K13" s="1347">
        <v>5.6498732499999997</v>
      </c>
      <c r="L13" s="1345">
        <v>4.5090320999999998</v>
      </c>
      <c r="M13" s="1345">
        <v>8.1821649700000023</v>
      </c>
      <c r="N13" s="1345">
        <v>11.02926209</v>
      </c>
      <c r="O13" s="1345">
        <v>6.9841468700000009</v>
      </c>
      <c r="P13" s="1345">
        <v>6.8002172000000005</v>
      </c>
      <c r="Q13" s="1346">
        <v>30.525413290000003</v>
      </c>
      <c r="R13" s="1348">
        <f>Q13-P13</f>
        <v>23.725196090000004</v>
      </c>
      <c r="S13" s="462"/>
      <c r="T13" s="170"/>
      <c r="U13" s="170"/>
      <c r="V13" s="170"/>
      <c r="W13" s="170"/>
      <c r="X13" s="170"/>
      <c r="Y13" s="170"/>
      <c r="Z13" s="170"/>
      <c r="AA13" s="170"/>
      <c r="AB13" s="170"/>
      <c r="AC13" s="170"/>
      <c r="AD13" s="170"/>
      <c r="AE13" s="170"/>
      <c r="AF13" s="170"/>
      <c r="AG13" s="170"/>
      <c r="AH13" s="170"/>
      <c r="AI13" s="170"/>
      <c r="AJ13" s="170"/>
    </row>
    <row r="14" spans="1:36" s="169" customFormat="1" ht="15" customHeight="1">
      <c r="B14" s="112"/>
      <c r="C14" s="1761"/>
      <c r="D14" s="1340" t="str">
        <f>IF(Indice_index!$Z$1=1,"Outras","Others")</f>
        <v>Outras</v>
      </c>
      <c r="E14" s="1345">
        <v>96.000534419999923</v>
      </c>
      <c r="F14" s="1345">
        <v>93.203909699999997</v>
      </c>
      <c r="G14" s="1345">
        <v>100.25355976999988</v>
      </c>
      <c r="H14" s="1345">
        <v>88.585720850000016</v>
      </c>
      <c r="I14" s="1345">
        <v>130.8403272499998</v>
      </c>
      <c r="J14" s="1346">
        <v>71.634125449999999</v>
      </c>
      <c r="K14" s="1347">
        <v>115.21571654999988</v>
      </c>
      <c r="L14" s="1345">
        <v>127.49330108999993</v>
      </c>
      <c r="M14" s="1345">
        <v>129.75091422999989</v>
      </c>
      <c r="N14" s="1345">
        <v>133.41362350999984</v>
      </c>
      <c r="O14" s="1345">
        <v>154.39001162000002</v>
      </c>
      <c r="P14" s="1395">
        <v>164.1855174800001</v>
      </c>
      <c r="Q14" s="1346">
        <v>194.92445058999996</v>
      </c>
      <c r="R14" s="1348">
        <f t="shared" ref="R14:R26" si="0">Q14-P14</f>
        <v>30.738933109999863</v>
      </c>
      <c r="S14" s="462"/>
      <c r="T14" s="170"/>
      <c r="U14" s="170"/>
      <c r="V14" s="170"/>
      <c r="W14" s="170"/>
      <c r="X14" s="170"/>
      <c r="Y14" s="170"/>
      <c r="Z14" s="170"/>
      <c r="AA14" s="170"/>
      <c r="AB14" s="170"/>
      <c r="AC14" s="170"/>
      <c r="AD14" s="170"/>
      <c r="AE14" s="170"/>
      <c r="AF14" s="170"/>
      <c r="AG14" s="170"/>
      <c r="AH14" s="170"/>
      <c r="AI14" s="170"/>
      <c r="AJ14" s="170"/>
    </row>
    <row r="15" spans="1:36" s="316" customFormat="1" ht="15" customHeight="1">
      <c r="B15" s="314"/>
      <c r="C15" s="1762" t="str">
        <f>IF(Indice_index!$Z$1=1,"Total da Administração Central","Central Government - Total")</f>
        <v>Total da Administração Central</v>
      </c>
      <c r="D15" s="1762"/>
      <c r="E15" s="1349">
        <v>568.20063080999989</v>
      </c>
      <c r="F15" s="1349">
        <v>584.40125833000036</v>
      </c>
      <c r="G15" s="1349">
        <v>539.39063312999963</v>
      </c>
      <c r="H15" s="1349">
        <v>527.18043715999977</v>
      </c>
      <c r="I15" s="1349">
        <v>790.97031383999956</v>
      </c>
      <c r="J15" s="1350">
        <v>359.31655372</v>
      </c>
      <c r="K15" s="1351">
        <v>513.17630838999958</v>
      </c>
      <c r="L15" s="1349">
        <v>548.76801116999968</v>
      </c>
      <c r="M15" s="1349">
        <v>565.70958048</v>
      </c>
      <c r="N15" s="1349">
        <v>592.11993647999998</v>
      </c>
      <c r="O15" s="1349">
        <v>625.39040805000002</v>
      </c>
      <c r="P15" s="1349">
        <v>597.1278767900003</v>
      </c>
      <c r="Q15" s="1349">
        <v>652.82844134000027</v>
      </c>
      <c r="R15" s="1352">
        <f>Q15-P15</f>
        <v>55.700564549999967</v>
      </c>
      <c r="S15" s="462"/>
      <c r="T15" s="317"/>
      <c r="U15" s="317"/>
      <c r="V15" s="317"/>
      <c r="W15" s="317"/>
      <c r="X15" s="317"/>
      <c r="Y15" s="317"/>
      <c r="Z15" s="317"/>
      <c r="AA15" s="317"/>
      <c r="AB15" s="317"/>
      <c r="AC15" s="317"/>
      <c r="AD15" s="317"/>
      <c r="AE15" s="317"/>
      <c r="AF15" s="317"/>
      <c r="AG15" s="317"/>
      <c r="AH15" s="317"/>
      <c r="AI15" s="317"/>
      <c r="AJ15" s="317"/>
    </row>
    <row r="16" spans="1:36" s="169" customFormat="1" ht="15" customHeight="1">
      <c r="B16" s="112"/>
      <c r="C16" s="1759" t="str">
        <f>IF(Indice_index!$Z$1=1,"AR","RG")</f>
        <v>AR</v>
      </c>
      <c r="D16" s="1340" t="str">
        <f>IF(Indice_index!$Z$1=1,"Aquisição de Bens e Serviços","Goods and Services Acquisition")</f>
        <v>Aquisição de Bens e Serviços</v>
      </c>
      <c r="E16" s="1345">
        <v>59.698742129999999</v>
      </c>
      <c r="F16" s="1345">
        <v>43.01077793999999</v>
      </c>
      <c r="G16" s="1345">
        <v>58.05360555</v>
      </c>
      <c r="H16" s="1345">
        <v>43.204978699999998</v>
      </c>
      <c r="I16" s="1345">
        <v>54.366488629999999</v>
      </c>
      <c r="J16" s="1346">
        <v>33.975314739999988</v>
      </c>
      <c r="K16" s="1347">
        <v>70.18123645</v>
      </c>
      <c r="L16" s="1345">
        <v>50.578692529999998</v>
      </c>
      <c r="M16" s="1345">
        <v>66.384027709999998</v>
      </c>
      <c r="N16" s="1345">
        <v>51.478083580000003</v>
      </c>
      <c r="O16" s="1345">
        <v>52.45455604</v>
      </c>
      <c r="P16" s="1341">
        <v>58.079234879999987</v>
      </c>
      <c r="Q16" s="1346">
        <v>83.629821599999985</v>
      </c>
      <c r="R16" s="1348">
        <f t="shared" si="0"/>
        <v>25.550586719999998</v>
      </c>
      <c r="S16" s="462"/>
      <c r="T16" s="170"/>
      <c r="U16" s="170"/>
      <c r="V16" s="170"/>
      <c r="W16" s="170"/>
      <c r="X16" s="170"/>
      <c r="Y16" s="170"/>
      <c r="Z16" s="170"/>
      <c r="AA16" s="170"/>
      <c r="AB16" s="170"/>
      <c r="AC16" s="170"/>
      <c r="AD16" s="170"/>
      <c r="AE16" s="170"/>
      <c r="AF16" s="170"/>
      <c r="AG16" s="170"/>
      <c r="AH16" s="170"/>
      <c r="AI16" s="170"/>
      <c r="AJ16" s="170"/>
    </row>
    <row r="17" spans="2:36" s="169" customFormat="1" ht="15" customHeight="1">
      <c r="B17" s="112"/>
      <c r="C17" s="1760"/>
      <c r="D17" s="1340" t="str">
        <f>IF(Indice_index!$Z$1=1,"Aquisição Bens de Capital","Capital Goods Acquisition")</f>
        <v>Aquisição Bens de Capital</v>
      </c>
      <c r="E17" s="1345">
        <v>18.412506929999999</v>
      </c>
      <c r="F17" s="1345">
        <v>21.74738331</v>
      </c>
      <c r="G17" s="1345">
        <v>21.670248690000001</v>
      </c>
      <c r="H17" s="1345">
        <v>25.738717699999999</v>
      </c>
      <c r="I17" s="1345">
        <v>26.929857900000002</v>
      </c>
      <c r="J17" s="1346">
        <v>16.996417340000001</v>
      </c>
      <c r="K17" s="1347">
        <v>17.249250880000002</v>
      </c>
      <c r="L17" s="1345">
        <v>21.703355250000001</v>
      </c>
      <c r="M17" s="1345">
        <v>23.864555509999999</v>
      </c>
      <c r="N17" s="1345">
        <v>26.065782939999998</v>
      </c>
      <c r="O17" s="1345">
        <v>25.968964500000002</v>
      </c>
      <c r="P17" s="1345">
        <v>32.346858690000005</v>
      </c>
      <c r="Q17" s="1346">
        <v>26.63956065</v>
      </c>
      <c r="R17" s="1348">
        <f t="shared" si="0"/>
        <v>-5.7072980400000048</v>
      </c>
      <c r="S17" s="462"/>
      <c r="T17" s="170"/>
      <c r="U17" s="170"/>
      <c r="V17" s="170"/>
      <c r="W17" s="170"/>
      <c r="X17" s="170"/>
      <c r="Y17" s="170"/>
      <c r="Z17" s="170"/>
      <c r="AA17" s="170"/>
      <c r="AB17" s="170"/>
      <c r="AC17" s="170"/>
      <c r="AD17" s="170"/>
      <c r="AE17" s="170"/>
      <c r="AF17" s="170"/>
      <c r="AG17" s="170"/>
      <c r="AH17" s="170"/>
      <c r="AI17" s="170"/>
      <c r="AJ17" s="170"/>
    </row>
    <row r="18" spans="2:36" s="169" customFormat="1" ht="15" customHeight="1">
      <c r="B18" s="112"/>
      <c r="C18" s="1760"/>
      <c r="D18" s="1340" t="str">
        <f>IF(Indice_index!$Z$1=1,"Transferências para AP","Transfers inside GG")</f>
        <v>Transferências para AP</v>
      </c>
      <c r="E18" s="1345">
        <v>2.8555813699999999</v>
      </c>
      <c r="F18" s="1345">
        <v>2.43838402</v>
      </c>
      <c r="G18" s="1345">
        <v>6.5292182299999997</v>
      </c>
      <c r="H18" s="1345">
        <v>9.5723088200000017</v>
      </c>
      <c r="I18" s="1345">
        <v>14.765662469999999</v>
      </c>
      <c r="J18" s="1346">
        <v>1.2026565500000002</v>
      </c>
      <c r="K18" s="1347">
        <v>1.3422235199999999</v>
      </c>
      <c r="L18" s="1345">
        <v>10.295728699999998</v>
      </c>
      <c r="M18" s="1345">
        <v>10.074563479999998</v>
      </c>
      <c r="N18" s="1345">
        <v>5.4178420800000007</v>
      </c>
      <c r="O18" s="1345">
        <v>9.4951207800000006</v>
      </c>
      <c r="P18" s="1345">
        <v>7.2585423699999998</v>
      </c>
      <c r="Q18" s="1346">
        <v>7.5482161300000001</v>
      </c>
      <c r="R18" s="1348">
        <f t="shared" si="0"/>
        <v>0.28967376000000034</v>
      </c>
      <c r="S18" s="462"/>
      <c r="T18" s="170"/>
      <c r="U18" s="170"/>
      <c r="V18" s="170"/>
      <c r="W18" s="170"/>
      <c r="X18" s="170"/>
      <c r="Y18" s="170"/>
      <c r="Z18" s="170"/>
      <c r="AA18" s="170"/>
      <c r="AB18" s="170"/>
      <c r="AC18" s="170"/>
      <c r="AD18" s="170"/>
      <c r="AE18" s="170"/>
      <c r="AF18" s="170"/>
      <c r="AG18" s="170"/>
      <c r="AH18" s="170"/>
      <c r="AI18" s="170"/>
      <c r="AJ18" s="170"/>
    </row>
    <row r="19" spans="2:36" s="169" customFormat="1" ht="15" customHeight="1">
      <c r="B19" s="112"/>
      <c r="C19" s="1760"/>
      <c r="D19" s="1340" t="str">
        <f>IF(Indice_index!$Z$1=1,"Transferências para fora das AP","Transfers outside GG")</f>
        <v>Transferências para fora das AP</v>
      </c>
      <c r="E19" s="1345">
        <v>37.10647196</v>
      </c>
      <c r="F19" s="1345">
        <v>35.77361569</v>
      </c>
      <c r="G19" s="1345">
        <v>36.466639360000002</v>
      </c>
      <c r="H19" s="1345">
        <v>29.291344619999997</v>
      </c>
      <c r="I19" s="1345">
        <v>36.069231049999999</v>
      </c>
      <c r="J19" s="1346">
        <v>26.773861609999997</v>
      </c>
      <c r="K19" s="1347">
        <v>30.441558680000004</v>
      </c>
      <c r="L19" s="1345">
        <v>29.211331540000003</v>
      </c>
      <c r="M19" s="1345">
        <v>30.801726379999003</v>
      </c>
      <c r="N19" s="1345">
        <v>25.891823199999997</v>
      </c>
      <c r="O19" s="1345">
        <v>33.591417609998402</v>
      </c>
      <c r="P19" s="1345">
        <v>33.090923969998805</v>
      </c>
      <c r="Q19" s="1346">
        <v>29.763867869999398</v>
      </c>
      <c r="R19" s="1348">
        <f t="shared" si="0"/>
        <v>-3.3270560999994068</v>
      </c>
      <c r="S19" s="462"/>
      <c r="T19" s="170"/>
      <c r="U19" s="170"/>
      <c r="V19" s="170"/>
      <c r="W19" s="170"/>
      <c r="X19" s="170"/>
      <c r="Y19" s="170"/>
      <c r="Z19" s="170"/>
      <c r="AA19" s="170"/>
      <c r="AB19" s="170"/>
      <c r="AC19" s="170"/>
      <c r="AD19" s="170"/>
      <c r="AE19" s="170"/>
      <c r="AF19" s="170"/>
      <c r="AG19" s="170"/>
      <c r="AH19" s="170"/>
      <c r="AI19" s="170"/>
      <c r="AJ19" s="170"/>
    </row>
    <row r="20" spans="2:36" s="169" customFormat="1" ht="15" customHeight="1">
      <c r="B20" s="112"/>
      <c r="C20" s="1761"/>
      <c r="D20" s="1340" t="str">
        <f>IF(Indice_index!$Z$1=1,"Outras","Others")</f>
        <v>Outras</v>
      </c>
      <c r="E20" s="1345">
        <v>15.587271210000022</v>
      </c>
      <c r="F20" s="1345">
        <v>15.869660410000026</v>
      </c>
      <c r="G20" s="1345">
        <v>14.928801230000024</v>
      </c>
      <c r="H20" s="1345">
        <v>29.066870539999989</v>
      </c>
      <c r="I20" s="1345">
        <v>40.984817109999994</v>
      </c>
      <c r="J20" s="1346">
        <v>5.2648817200000071</v>
      </c>
      <c r="K20" s="1347">
        <v>16.167530890000009</v>
      </c>
      <c r="L20" s="1345">
        <v>14.933554150000003</v>
      </c>
      <c r="M20" s="1345">
        <v>17.058318580000041</v>
      </c>
      <c r="N20" s="1345">
        <v>28.182068220000019</v>
      </c>
      <c r="O20" s="1345">
        <v>26.928279370000052</v>
      </c>
      <c r="P20" s="1345">
        <v>55.16933196999998</v>
      </c>
      <c r="Q20" s="1346">
        <v>20.869419069999985</v>
      </c>
      <c r="R20" s="1348">
        <f t="shared" si="0"/>
        <v>-34.299912899999995</v>
      </c>
      <c r="S20" s="462"/>
      <c r="T20" s="170"/>
      <c r="U20" s="170"/>
      <c r="V20" s="170"/>
      <c r="W20" s="170"/>
      <c r="X20" s="170"/>
      <c r="Y20" s="170"/>
      <c r="Z20" s="170"/>
      <c r="AA20" s="170"/>
      <c r="AB20" s="170"/>
      <c r="AC20" s="170"/>
      <c r="AD20" s="170"/>
      <c r="AE20" s="170"/>
      <c r="AF20" s="170"/>
      <c r="AG20" s="170"/>
      <c r="AH20" s="170"/>
      <c r="AI20" s="170"/>
      <c r="AJ20" s="170"/>
    </row>
    <row r="21" spans="2:36" s="316" customFormat="1" ht="15" customHeight="1">
      <c r="B21" s="314"/>
      <c r="C21" s="1762" t="str">
        <f>IF(Indice_index!$Z$1=1,"Total da Administração Regional","Regional Government - Total")</f>
        <v>Total da Administração Regional</v>
      </c>
      <c r="D21" s="1762"/>
      <c r="E21" s="1349">
        <v>133.66057360000002</v>
      </c>
      <c r="F21" s="1349">
        <v>118.83982137000001</v>
      </c>
      <c r="G21" s="1349">
        <v>137.64851306000003</v>
      </c>
      <c r="H21" s="1349">
        <v>136.87422038</v>
      </c>
      <c r="I21" s="1349">
        <v>173.11605715999997</v>
      </c>
      <c r="J21" s="1350">
        <v>84.213131959999998</v>
      </c>
      <c r="K21" s="1351">
        <v>135.38180042000002</v>
      </c>
      <c r="L21" s="1349">
        <v>126.72266217000001</v>
      </c>
      <c r="M21" s="1349">
        <v>148.18319165999904</v>
      </c>
      <c r="N21" s="1349">
        <v>137.03560002</v>
      </c>
      <c r="O21" s="1349">
        <v>148.43833829999846</v>
      </c>
      <c r="P21" s="1349">
        <v>185.94489187999878</v>
      </c>
      <c r="Q21" s="1349">
        <v>168.45088531999937</v>
      </c>
      <c r="R21" s="1352">
        <f>Q21-P21</f>
        <v>-17.494006559999406</v>
      </c>
      <c r="S21" s="462"/>
      <c r="T21" s="317"/>
      <c r="U21" s="317"/>
      <c r="V21" s="317"/>
      <c r="W21" s="317"/>
      <c r="X21" s="317"/>
      <c r="Y21" s="317"/>
      <c r="Z21" s="317"/>
      <c r="AA21" s="317"/>
      <c r="AB21" s="317"/>
      <c r="AC21" s="317"/>
      <c r="AD21" s="317"/>
      <c r="AE21" s="317"/>
      <c r="AF21" s="317"/>
      <c r="AG21" s="317"/>
      <c r="AH21" s="317"/>
      <c r="AI21" s="317"/>
      <c r="AJ21" s="317"/>
    </row>
    <row r="22" spans="2:36" s="169" customFormat="1" ht="15" customHeight="1">
      <c r="B22" s="112"/>
      <c r="C22" s="1759" t="str">
        <f>IF(Indice_index!$Z$1=1,"AL","LG")</f>
        <v>AL</v>
      </c>
      <c r="D22" s="1340" t="str">
        <f>IF(Indice_index!$Z$1=1,"Aquisição de Bens e Serviços","Goods and Services Acquisition")</f>
        <v>Aquisição de Bens e Serviços</v>
      </c>
      <c r="E22" s="1353">
        <v>388.10950063000001</v>
      </c>
      <c r="F22" s="1353">
        <v>388.10950063000001</v>
      </c>
      <c r="G22" s="1353">
        <v>388.10950063000001</v>
      </c>
      <c r="H22" s="1353">
        <v>388.10950063000001</v>
      </c>
      <c r="I22" s="1353">
        <v>388.10950063000001</v>
      </c>
      <c r="J22" s="1354">
        <v>388.10950063000001</v>
      </c>
      <c r="K22" s="1355">
        <v>388.10950063000001</v>
      </c>
      <c r="L22" s="1353">
        <v>388.10950063000001</v>
      </c>
      <c r="M22" s="1353">
        <v>388.10950063000001</v>
      </c>
      <c r="N22" s="1353">
        <v>388.10950063000001</v>
      </c>
      <c r="O22" s="1353">
        <v>388.10950063000001</v>
      </c>
      <c r="P22" s="1353">
        <v>388.10950063000001</v>
      </c>
      <c r="Q22" s="1354">
        <v>388.10950063000001</v>
      </c>
      <c r="R22" s="1348">
        <f t="shared" si="0"/>
        <v>0</v>
      </c>
      <c r="S22" s="462"/>
      <c r="T22" s="170"/>
      <c r="U22" s="170"/>
      <c r="V22" s="170"/>
      <c r="W22" s="170"/>
      <c r="X22" s="170"/>
      <c r="Y22" s="170"/>
      <c r="Z22" s="170"/>
      <c r="AA22" s="170"/>
      <c r="AB22" s="170"/>
      <c r="AC22" s="170"/>
      <c r="AD22" s="170"/>
      <c r="AE22" s="170"/>
      <c r="AF22" s="170"/>
      <c r="AG22" s="170"/>
      <c r="AH22" s="170"/>
      <c r="AI22" s="170"/>
      <c r="AJ22" s="170"/>
    </row>
    <row r="23" spans="2:36" s="169" customFormat="1" ht="15" customHeight="1">
      <c r="B23" s="112"/>
      <c r="C23" s="1760"/>
      <c r="D23" s="1340" t="str">
        <f>IF(Indice_index!$Z$1=1,"Aquisição Bens de Capital","Capital Goods Acquisition")</f>
        <v>Aquisição Bens de Capital</v>
      </c>
      <c r="E23" s="1353">
        <v>168.30329104000006</v>
      </c>
      <c r="F23" s="1353">
        <v>168.30329104</v>
      </c>
      <c r="G23" s="1353">
        <v>168.30329104</v>
      </c>
      <c r="H23" s="1353">
        <v>168.30329104</v>
      </c>
      <c r="I23" s="1353">
        <v>168.30329104</v>
      </c>
      <c r="J23" s="1354">
        <v>168.30329104</v>
      </c>
      <c r="K23" s="1355">
        <v>168.30329104</v>
      </c>
      <c r="L23" s="1353">
        <v>168.30329104</v>
      </c>
      <c r="M23" s="1353">
        <v>168.30329104</v>
      </c>
      <c r="N23" s="1353">
        <v>168.30329104</v>
      </c>
      <c r="O23" s="1353">
        <v>168.30329104</v>
      </c>
      <c r="P23" s="1353">
        <v>168.30329104</v>
      </c>
      <c r="Q23" s="1354">
        <v>168.30329104</v>
      </c>
      <c r="R23" s="1348">
        <f t="shared" si="0"/>
        <v>0</v>
      </c>
      <c r="S23" s="462"/>
      <c r="T23" s="170"/>
      <c r="AA23" s="18"/>
      <c r="AB23" s="18"/>
      <c r="AC23" s="18"/>
    </row>
    <row r="24" spans="2:36" s="169" customFormat="1" ht="15" customHeight="1">
      <c r="B24" s="112"/>
      <c r="C24" s="1760"/>
      <c r="D24" s="1340" t="str">
        <f>IF(Indice_index!$Z$1=1,"Transferências para AP","Transfers inside GG")</f>
        <v>Transferências para AP</v>
      </c>
      <c r="E24" s="1353">
        <v>16.80015461</v>
      </c>
      <c r="F24" s="1353">
        <v>16.80015461</v>
      </c>
      <c r="G24" s="1353">
        <v>16.80015461</v>
      </c>
      <c r="H24" s="1353">
        <v>16.80015461</v>
      </c>
      <c r="I24" s="1353">
        <v>16.80015461</v>
      </c>
      <c r="J24" s="1354">
        <v>16.80015461</v>
      </c>
      <c r="K24" s="1355">
        <v>16.80015461</v>
      </c>
      <c r="L24" s="1353">
        <v>16.80015461</v>
      </c>
      <c r="M24" s="1353">
        <v>16.80015461</v>
      </c>
      <c r="N24" s="1353">
        <v>16.80015461</v>
      </c>
      <c r="O24" s="1353">
        <v>16.80015461</v>
      </c>
      <c r="P24" s="1353">
        <v>16.80015461</v>
      </c>
      <c r="Q24" s="1354">
        <v>16.80015461</v>
      </c>
      <c r="R24" s="1348">
        <f>Q24-P24</f>
        <v>0</v>
      </c>
      <c r="S24" s="462"/>
      <c r="T24" s="170"/>
      <c r="AA24" s="18"/>
      <c r="AB24" s="18"/>
      <c r="AC24" s="18"/>
    </row>
    <row r="25" spans="2:36" s="169" customFormat="1" ht="15" customHeight="1">
      <c r="B25" s="112"/>
      <c r="C25" s="1760"/>
      <c r="D25" s="1340" t="str">
        <f>IF(Indice_index!$Z$1=1,"Transferências para fora das AP","Transfers outside GG")</f>
        <v>Transferências para fora das AP</v>
      </c>
      <c r="E25" s="1353">
        <v>20.146202589999994</v>
      </c>
      <c r="F25" s="1353">
        <v>20.146202590000001</v>
      </c>
      <c r="G25" s="1353">
        <v>20.146202590000001</v>
      </c>
      <c r="H25" s="1353">
        <v>20.146202590000001</v>
      </c>
      <c r="I25" s="1353">
        <v>20.146202590000001</v>
      </c>
      <c r="J25" s="1354">
        <v>20.146202590000001</v>
      </c>
      <c r="K25" s="1355">
        <v>20.146202590000001</v>
      </c>
      <c r="L25" s="1353">
        <v>20.146202590000001</v>
      </c>
      <c r="M25" s="1353">
        <v>20.146202590000001</v>
      </c>
      <c r="N25" s="1353">
        <v>20.146202590000001</v>
      </c>
      <c r="O25" s="1353">
        <v>20.146202590000001</v>
      </c>
      <c r="P25" s="1353">
        <v>20.146202590000001</v>
      </c>
      <c r="Q25" s="1354">
        <v>20.146202590000001</v>
      </c>
      <c r="R25" s="1348">
        <f t="shared" si="0"/>
        <v>0</v>
      </c>
      <c r="S25" s="462"/>
      <c r="T25" s="170"/>
      <c r="U25" s="170"/>
      <c r="AA25" s="18"/>
      <c r="AB25" s="18"/>
      <c r="AC25" s="18"/>
    </row>
    <row r="26" spans="2:36" s="169" customFormat="1" ht="15" customHeight="1">
      <c r="B26" s="112"/>
      <c r="C26" s="1761"/>
      <c r="D26" s="1340" t="str">
        <f>IF(Indice_index!$Z$1=1,"Outras","Others")</f>
        <v>Outras</v>
      </c>
      <c r="E26" s="1356">
        <v>309.55365149000011</v>
      </c>
      <c r="F26" s="1356">
        <v>309.55365148999999</v>
      </c>
      <c r="G26" s="1356">
        <v>309.55365148999999</v>
      </c>
      <c r="H26" s="1353">
        <v>309.55365148999999</v>
      </c>
      <c r="I26" s="1356">
        <v>309.55365148999999</v>
      </c>
      <c r="J26" s="1354">
        <v>309.55365148999999</v>
      </c>
      <c r="K26" s="1355">
        <v>309.55365148999999</v>
      </c>
      <c r="L26" s="1356">
        <v>309.55365148999999</v>
      </c>
      <c r="M26" s="1356">
        <v>309.55365148999999</v>
      </c>
      <c r="N26" s="1353">
        <v>309.55365148999999</v>
      </c>
      <c r="O26" s="1356">
        <v>309.55365148999999</v>
      </c>
      <c r="P26" s="1356">
        <v>309.55365148999999</v>
      </c>
      <c r="Q26" s="1354">
        <v>309.55365148999999</v>
      </c>
      <c r="R26" s="1348">
        <f t="shared" si="0"/>
        <v>0</v>
      </c>
      <c r="S26" s="462"/>
      <c r="T26" s="170"/>
      <c r="U26" s="170"/>
      <c r="AA26" s="18"/>
      <c r="AB26" s="18"/>
      <c r="AC26" s="18"/>
    </row>
    <row r="27" spans="2:36" s="316" customFormat="1" ht="15" customHeight="1">
      <c r="B27" s="314"/>
      <c r="C27" s="1762" t="str">
        <f>IF(Indice_index!$Z$1=1,"Total da Administração Local","Local Government - Total")</f>
        <v>Total da Administração Local</v>
      </c>
      <c r="D27" s="1762"/>
      <c r="E27" s="1349">
        <v>902.91280036000023</v>
      </c>
      <c r="F27" s="1349">
        <v>902.91280036000012</v>
      </c>
      <c r="G27" s="1349">
        <v>902.91280036000012</v>
      </c>
      <c r="H27" s="1349">
        <v>902.91280036000012</v>
      </c>
      <c r="I27" s="1349">
        <v>902.91280036000012</v>
      </c>
      <c r="J27" s="1350">
        <v>902.91280036000012</v>
      </c>
      <c r="K27" s="1351">
        <v>902.91280036000012</v>
      </c>
      <c r="L27" s="1349">
        <v>902.91280036000012</v>
      </c>
      <c r="M27" s="1349">
        <v>902.91280036000012</v>
      </c>
      <c r="N27" s="1349">
        <v>902.91280036000012</v>
      </c>
      <c r="O27" s="1349">
        <v>902.91280036000012</v>
      </c>
      <c r="P27" s="1349">
        <v>902.91280036000012</v>
      </c>
      <c r="Q27" s="1349">
        <v>902.91280036000012</v>
      </c>
      <c r="R27" s="1352">
        <f>Q27-P27</f>
        <v>0</v>
      </c>
      <c r="S27" s="462"/>
      <c r="T27" s="317"/>
      <c r="U27" s="317"/>
      <c r="AA27" s="250"/>
      <c r="AB27" s="250"/>
      <c r="AC27" s="250"/>
    </row>
    <row r="28" spans="2:36" s="316" customFormat="1" ht="15" customHeight="1">
      <c r="B28" s="314"/>
      <c r="C28" s="1762" t="str">
        <f>IF(Indice_index!$Z$1=1,"Total das Administrações Públicas","General Government - Total")</f>
        <v>Total das Administrações Públicas</v>
      </c>
      <c r="D28" s="1762"/>
      <c r="E28" s="1349">
        <v>1604.7740047700001</v>
      </c>
      <c r="F28" s="1349">
        <v>1606.1538800600006</v>
      </c>
      <c r="G28" s="1349">
        <v>1579.9519465499998</v>
      </c>
      <c r="H28" s="1349">
        <v>1566.9674578999998</v>
      </c>
      <c r="I28" s="1349">
        <v>1866.9991713599998</v>
      </c>
      <c r="J28" s="1350">
        <v>1346.4424860400002</v>
      </c>
      <c r="K28" s="1351">
        <v>1551.4709091699997</v>
      </c>
      <c r="L28" s="1349">
        <v>1578.4034736999997</v>
      </c>
      <c r="M28" s="1349">
        <v>1616.805572499999</v>
      </c>
      <c r="N28" s="1349">
        <v>1632.06833686</v>
      </c>
      <c r="O28" s="1349">
        <v>1676.7415467099986</v>
      </c>
      <c r="P28" s="1349">
        <v>1685.9855690299992</v>
      </c>
      <c r="Q28" s="1349">
        <v>1724.1921270199996</v>
      </c>
      <c r="R28" s="1352">
        <f>Q28-P28</f>
        <v>38.20655799000042</v>
      </c>
      <c r="S28" s="462"/>
      <c r="T28" s="317"/>
      <c r="U28" s="317"/>
      <c r="AA28" s="250"/>
      <c r="AB28" s="250"/>
      <c r="AC28" s="250"/>
    </row>
    <row r="29" spans="2:36" s="316" customFormat="1" ht="4.5" customHeight="1">
      <c r="B29" s="314"/>
      <c r="C29" s="1357"/>
      <c r="D29" s="1357"/>
      <c r="E29" s="1358"/>
      <c r="F29" s="1358"/>
      <c r="G29" s="1358"/>
      <c r="H29" s="1358"/>
      <c r="I29" s="1358"/>
      <c r="J29" s="1358"/>
      <c r="K29" s="1358"/>
      <c r="L29" s="1358"/>
      <c r="M29" s="1358"/>
      <c r="N29" s="1358"/>
      <c r="O29" s="1358"/>
      <c r="P29" s="1358"/>
      <c r="Q29" s="1358"/>
      <c r="R29" s="1358"/>
      <c r="S29" s="462"/>
      <c r="T29" s="317"/>
      <c r="U29" s="317"/>
      <c r="AA29" s="250"/>
      <c r="AB29" s="250"/>
      <c r="AC29" s="250"/>
    </row>
    <row r="30" spans="2:36" s="169" customFormat="1" ht="15" customHeight="1">
      <c r="B30" s="685"/>
      <c r="C30" s="1359"/>
      <c r="D30" s="1360" t="str">
        <f>IF(Indice_index!$Z$1=1,"Notas:","Notes:")</f>
        <v>Notas:</v>
      </c>
      <c r="E30" s="1361"/>
      <c r="F30" s="1361"/>
      <c r="G30" s="1361"/>
      <c r="H30" s="1361"/>
      <c r="I30" s="1361"/>
      <c r="J30" s="1361"/>
      <c r="K30" s="1361"/>
      <c r="L30" s="1361"/>
      <c r="M30" s="1361"/>
      <c r="N30" s="1361"/>
      <c r="O30" s="1361"/>
      <c r="P30" s="1361"/>
      <c r="Q30" s="1361"/>
      <c r="R30" s="112"/>
      <c r="S30" s="461"/>
      <c r="T30" s="170"/>
      <c r="U30" s="170"/>
      <c r="V30" s="170"/>
      <c r="AB30" s="18"/>
      <c r="AC30" s="18"/>
      <c r="AD30" s="18"/>
    </row>
    <row r="31" spans="2:36" s="169" customFormat="1" ht="15" customHeight="1">
      <c r="B31" s="685"/>
      <c r="C31" s="1359"/>
      <c r="D31" s="1362" t="str">
        <f>IF(Indice_index!$Z$1=1,"Conceito de passivo não financeiro no âmbito da Lei de Compromissos e Pagamentos em Atraso (Lei n.º8/2012 de 21 de Fevereiro de 2012).","Definition of non financial liability according to the Law of Commitment and Arrears (Law no. 8/2012 of 21 February).")</f>
        <v>Conceito de passivo não financeiro no âmbito da Lei de Compromissos e Pagamentos em Atraso (Lei n.º8/2012 de 21 de Fevereiro de 2012).</v>
      </c>
      <c r="E31" s="112"/>
      <c r="F31" s="112"/>
      <c r="G31" s="112"/>
      <c r="H31" s="112"/>
      <c r="I31" s="112"/>
      <c r="J31" s="112"/>
      <c r="K31" s="112"/>
      <c r="L31" s="112"/>
      <c r="M31" s="112"/>
      <c r="N31" s="112"/>
      <c r="O31" s="112"/>
      <c r="P31" s="112"/>
      <c r="Q31" s="112"/>
      <c r="R31" s="112"/>
      <c r="S31" s="461"/>
      <c r="T31" s="170"/>
      <c r="U31" s="170"/>
      <c r="V31" s="170"/>
      <c r="AB31" s="18"/>
      <c r="AC31" s="18"/>
      <c r="AD31" s="18"/>
    </row>
    <row r="32" spans="2:36" s="169" customFormat="1" ht="15" customHeight="1">
      <c r="B32" s="685"/>
      <c r="C32" s="1359"/>
      <c r="D32" s="1363" t="str">
        <f>IF(Indice_index!$Z$1=1,"AL(*): Considerou-se o stock de dezembro 2019, para efeitos de análise.","LG(*): December 2019 stock was considered for analysis purposes was considered for the purpose of analysis.")</f>
        <v>AL(*): Considerou-se o stock de dezembro 2019, para efeitos de análise.</v>
      </c>
      <c r="E32" s="112"/>
      <c r="F32" s="112"/>
      <c r="G32" s="112"/>
      <c r="H32" s="112"/>
      <c r="I32" s="112"/>
      <c r="J32" s="112"/>
      <c r="K32" s="112"/>
      <c r="L32" s="112"/>
      <c r="M32" s="112"/>
      <c r="N32" s="112"/>
      <c r="O32" s="112"/>
      <c r="P32" s="112"/>
      <c r="Q32" s="112"/>
      <c r="R32" s="112"/>
      <c r="S32" s="461"/>
      <c r="T32" s="170"/>
      <c r="U32" s="170"/>
      <c r="V32" s="170"/>
      <c r="AB32" s="18"/>
      <c r="AC32" s="18"/>
      <c r="AD32" s="18"/>
    </row>
    <row r="33" spans="2:30" s="169" customFormat="1" ht="15" customHeight="1">
      <c r="B33" s="685"/>
      <c r="C33" s="1359"/>
      <c r="D33" s="1362" t="str">
        <f>IF(Indice_index!$Z$1=1,"AC: Exclui a contribuição financeira para EU, pelo facto de a mesma não ser considerada em dívida ","CG:Excludes financial contribution to EU, as it is not considered to be in debt.")</f>
        <v xml:space="preserve">AC: Exclui a contribuição financeira para EU, pelo facto de a mesma não ser considerada em dívida </v>
      </c>
      <c r="E33" s="112"/>
      <c r="F33" s="112"/>
      <c r="G33" s="112"/>
      <c r="H33" s="112"/>
      <c r="I33" s="112"/>
      <c r="J33" s="112"/>
      <c r="K33" s="112"/>
      <c r="L33" s="112"/>
      <c r="M33" s="112"/>
      <c r="N33" s="112"/>
      <c r="O33" s="112"/>
      <c r="P33" s="112"/>
      <c r="Q33" s="112"/>
      <c r="R33" s="112"/>
      <c r="S33" s="461"/>
      <c r="T33" s="170"/>
      <c r="U33" s="170"/>
      <c r="V33" s="170"/>
      <c r="AB33" s="18"/>
      <c r="AC33" s="18"/>
      <c r="AD33" s="18"/>
    </row>
    <row r="34" spans="2:30" s="169" customFormat="1" ht="15" customHeight="1">
      <c r="B34" s="685"/>
      <c r="C34" s="1359"/>
      <c r="D34" s="1362" t="str">
        <f>IF(Indice_index!$Z$1=1,"AC: Dados revistos de jan.22 a junho 2022.","CG: Revised data Jan.22 to June 22")</f>
        <v>AC: Dados revistos de jan.22 a junho 2022.</v>
      </c>
      <c r="E34" s="112"/>
      <c r="F34" s="112"/>
      <c r="G34" s="112"/>
      <c r="H34" s="112"/>
      <c r="I34" s="112"/>
      <c r="J34" s="112"/>
      <c r="K34" s="112"/>
      <c r="L34" s="112"/>
      <c r="M34" s="112"/>
      <c r="N34" s="112"/>
      <c r="O34" s="112"/>
      <c r="P34" s="112"/>
      <c r="Q34" s="112"/>
      <c r="R34" s="112"/>
      <c r="S34" s="461"/>
      <c r="T34" s="170"/>
      <c r="U34" s="170"/>
      <c r="V34" s="170"/>
      <c r="AB34" s="18"/>
      <c r="AC34" s="18"/>
      <c r="AD34" s="18"/>
    </row>
    <row r="35" spans="2:30" ht="15" customHeight="1">
      <c r="B35" s="97"/>
      <c r="C35" s="97"/>
      <c r="D35" s="136" t="str">
        <f>IF(Indice_index!$Z$1=1,"Fonte: Direção-Geral do Orçamento, DGAL, DR do Orçamento e Tesouro da Madeira e DR Orçamento e Tesouro dos Açores.","Source: Budget General Directorate, DGAL, Azores Autonomous Region Budget and Treasury Regional Directorate and Madeira Autonomous Region Budget and Treasury Regional Directorate.")</f>
        <v>Fonte: Direção-Geral do Orçamento, DGAL, DR do Orçamento e Tesouro da Madeira e DR Orçamento e Tesouro dos Açores.</v>
      </c>
      <c r="E35" s="97"/>
      <c r="F35" s="97"/>
      <c r="G35" s="97"/>
      <c r="H35" s="97"/>
      <c r="I35" s="97"/>
      <c r="J35" s="97"/>
      <c r="K35" s="97"/>
      <c r="L35" s="97"/>
      <c r="M35" s="97"/>
      <c r="N35" s="97"/>
      <c r="O35" s="97"/>
      <c r="P35" s="97"/>
      <c r="Q35" s="97"/>
      <c r="R35" s="97"/>
      <c r="S35" s="112"/>
      <c r="T35" s="170"/>
      <c r="U35" s="170"/>
      <c r="V35" s="170"/>
      <c r="W35" s="169"/>
      <c r="X35" s="169"/>
      <c r="Y35" s="169"/>
      <c r="Z35" s="169"/>
      <c r="AA35" s="169"/>
      <c r="AB35" s="18"/>
      <c r="AC35" s="18"/>
    </row>
    <row r="36" spans="2:30">
      <c r="B36" s="97"/>
      <c r="C36" s="97"/>
      <c r="D36" s="1362"/>
      <c r="E36" s="97"/>
      <c r="F36" s="97"/>
      <c r="G36" s="97"/>
      <c r="H36" s="97"/>
      <c r="I36" s="97"/>
      <c r="J36" s="97"/>
      <c r="K36" s="97"/>
      <c r="L36" s="97"/>
      <c r="M36" s="97"/>
      <c r="N36" s="97"/>
      <c r="O36" s="97"/>
      <c r="P36" s="97"/>
      <c r="Q36" s="97"/>
      <c r="R36" s="97"/>
      <c r="S36" s="112"/>
      <c r="T36" s="170"/>
      <c r="U36" s="170"/>
      <c r="V36" s="170"/>
      <c r="W36" s="169"/>
      <c r="X36" s="169"/>
      <c r="Y36" s="169"/>
      <c r="Z36" s="169"/>
      <c r="AA36" s="169"/>
      <c r="AB36" s="18"/>
      <c r="AC36" s="18"/>
    </row>
    <row r="37" spans="2:30" ht="15" customHeight="1">
      <c r="B37" s="97"/>
      <c r="C37" s="97"/>
      <c r="D37" s="97"/>
      <c r="E37" s="97"/>
      <c r="F37" s="97"/>
      <c r="G37" s="97"/>
      <c r="H37" s="97"/>
      <c r="I37" s="97"/>
      <c r="J37" s="97"/>
      <c r="K37" s="97"/>
      <c r="L37" s="97"/>
      <c r="M37" s="97"/>
      <c r="N37" s="97"/>
      <c r="O37" s="97"/>
      <c r="P37" s="97"/>
      <c r="Q37" s="97"/>
      <c r="R37" s="97"/>
      <c r="S37" s="112"/>
      <c r="T37" s="1768"/>
      <c r="U37" s="1768"/>
      <c r="V37" s="1768"/>
      <c r="W37" s="1768"/>
      <c r="X37" s="1768"/>
      <c r="Y37" s="1768"/>
      <c r="Z37" s="1768"/>
      <c r="AA37" s="1768"/>
      <c r="AB37" s="1768"/>
      <c r="AC37" s="1768"/>
    </row>
    <row r="38" spans="2:30" ht="15" customHeight="1">
      <c r="B38" s="97"/>
      <c r="C38" s="97"/>
      <c r="D38" s="136"/>
      <c r="E38" s="97"/>
      <c r="F38" s="97"/>
      <c r="G38" s="97"/>
      <c r="H38" s="97"/>
      <c r="I38" s="97"/>
      <c r="J38" s="97"/>
      <c r="K38" s="97"/>
      <c r="L38" s="97"/>
      <c r="M38" s="97"/>
      <c r="N38" s="97"/>
      <c r="O38" s="97"/>
      <c r="P38" s="97"/>
      <c r="Q38" s="97"/>
      <c r="R38" s="97"/>
      <c r="S38" s="112"/>
      <c r="T38" s="1768"/>
      <c r="U38" s="1768"/>
      <c r="V38" s="1768"/>
      <c r="W38" s="1768"/>
      <c r="X38" s="1768"/>
      <c r="Y38" s="1768"/>
      <c r="Z38" s="1768"/>
      <c r="AA38" s="1768"/>
      <c r="AB38" s="1768"/>
      <c r="AC38" s="1768"/>
    </row>
    <row r="39" spans="2:30" ht="15" customHeight="1">
      <c r="B39" s="97"/>
      <c r="C39" s="97"/>
      <c r="D39" s="1364"/>
      <c r="E39" s="97"/>
      <c r="F39" s="97"/>
      <c r="G39" s="97"/>
      <c r="H39" s="97"/>
      <c r="I39" s="97"/>
      <c r="J39" s="97"/>
      <c r="K39" s="97"/>
      <c r="L39" s="97"/>
      <c r="M39" s="97"/>
      <c r="N39" s="97"/>
      <c r="O39" s="97"/>
      <c r="P39" s="97"/>
      <c r="Q39" s="97"/>
      <c r="R39" s="97"/>
      <c r="S39" s="112"/>
      <c r="T39" s="1768"/>
      <c r="U39" s="1768"/>
      <c r="V39" s="1768"/>
      <c r="W39" s="1768"/>
      <c r="X39" s="1768"/>
      <c r="Y39" s="1768"/>
      <c r="Z39" s="1768"/>
      <c r="AA39" s="1768"/>
      <c r="AB39" s="1768"/>
      <c r="AC39" s="1768"/>
    </row>
    <row r="40" spans="2:30" s="252" customFormat="1" ht="15" customHeight="1">
      <c r="B40" s="251"/>
      <c r="C40" s="251"/>
      <c r="D40" s="1330" t="str">
        <f>IF(Indice_index!$Z$1=1,"Pagamentos em atraso (dívidas por pagar há mais de 90 dias) - Stock em fim de período (consolidado)","Arrears (overdue for more than 90 days) - Stock in the end of the period (consolidated)")</f>
        <v>Pagamentos em atraso (dívidas por pagar há mais de 90 dias) - Stock em fim de período (consolidado)</v>
      </c>
      <c r="E40" s="251"/>
      <c r="F40" s="251"/>
      <c r="G40" s="251"/>
      <c r="H40" s="251"/>
      <c r="I40" s="251"/>
      <c r="J40" s="251"/>
      <c r="K40" s="251"/>
      <c r="L40" s="251"/>
      <c r="M40" s="251"/>
      <c r="N40" s="251"/>
      <c r="O40" s="251"/>
      <c r="P40" s="251"/>
      <c r="Q40" s="251"/>
      <c r="R40" s="251"/>
      <c r="S40" s="463"/>
      <c r="U40" s="316"/>
      <c r="V40" s="316"/>
      <c r="W40" s="316"/>
      <c r="X40" s="316"/>
      <c r="Y40" s="316"/>
    </row>
    <row r="41" spans="2:30" s="242" customFormat="1" ht="15" customHeight="1">
      <c r="B41" s="686"/>
      <c r="C41" s="686"/>
      <c r="D41" s="1365"/>
      <c r="E41" s="686"/>
      <c r="F41" s="686"/>
      <c r="G41" s="686"/>
      <c r="H41" s="686"/>
      <c r="I41" s="686"/>
      <c r="J41" s="686"/>
      <c r="K41" s="686"/>
      <c r="L41" s="686"/>
      <c r="M41" s="686"/>
      <c r="N41" s="686"/>
      <c r="O41" s="686"/>
      <c r="P41" s="686"/>
      <c r="Q41" s="686"/>
      <c r="R41" s="1333" t="str">
        <f>IF(Indice_index!$Z$1=1,"€ Milhões","€ Millions")</f>
        <v>€ Milhões</v>
      </c>
      <c r="S41" s="464"/>
      <c r="U41" s="342"/>
      <c r="V41" s="342"/>
      <c r="W41" s="342"/>
      <c r="X41" s="342"/>
      <c r="Y41" s="342"/>
    </row>
    <row r="42" spans="2:30" ht="15.75" customHeight="1">
      <c r="B42" s="97"/>
      <c r="C42" s="97"/>
      <c r="D42" s="1769" t="s">
        <v>9</v>
      </c>
      <c r="E42" s="1763">
        <v>2021</v>
      </c>
      <c r="F42" s="1764"/>
      <c r="G42" s="1764"/>
      <c r="H42" s="1764"/>
      <c r="I42" s="1764"/>
      <c r="J42" s="1765"/>
      <c r="K42" s="1766">
        <v>2022</v>
      </c>
      <c r="L42" s="1764"/>
      <c r="M42" s="1764"/>
      <c r="N42" s="1764"/>
      <c r="O42" s="1764"/>
      <c r="P42" s="1764"/>
      <c r="Q42" s="1765"/>
      <c r="R42" s="1771" t="str">
        <f>IF(Indice_index!$Z$1=1,"variação mensal","monthly variation")</f>
        <v>variação mensal</v>
      </c>
      <c r="S42" s="97"/>
      <c r="W42" s="169"/>
      <c r="AB42" s="138"/>
      <c r="AC42" s="138"/>
      <c r="AD42" s="138"/>
    </row>
    <row r="43" spans="2:30" ht="15" customHeight="1">
      <c r="B43" s="97"/>
      <c r="C43" s="97"/>
      <c r="D43" s="1770"/>
      <c r="E43" s="1335" t="str">
        <f>IF(Indice_index!$Z$1=1,"jul*","July*")</f>
        <v>jul*</v>
      </c>
      <c r="F43" s="1335" t="str">
        <f>IF(Indice_index!$Z$1=1,"ago*","Aug*")</f>
        <v>ago*</v>
      </c>
      <c r="G43" s="1335" t="str">
        <f>IF(Indice_index!$Z$1=1,"set*","Sep* ")</f>
        <v>set*</v>
      </c>
      <c r="H43" s="1336" t="str">
        <f>IF(Indice_index!$Z$1=1,"out*","Oct*")</f>
        <v>out*</v>
      </c>
      <c r="I43" s="1337" t="str">
        <f>IF(Indice_index!$Z$1=1,"nov*","Nov*")</f>
        <v>nov*</v>
      </c>
      <c r="J43" s="1338" t="str">
        <f>IF(Indice_index!$Z$1=1,"dez*","Dec*")</f>
        <v>dez*</v>
      </c>
      <c r="K43" s="1334" t="str">
        <f>IF(Indice_index!$Z$1=1,"jan*","Jan*")</f>
        <v>jan*</v>
      </c>
      <c r="L43" s="1334" t="str">
        <f>IF(Indice_index!$Z$1=1,"fev*","Feb*")</f>
        <v>fev*</v>
      </c>
      <c r="M43" s="1339" t="str">
        <f>IF(Indice_index!$Z$1=1,"mar*","Mar*")</f>
        <v>mar*</v>
      </c>
      <c r="N43" s="1339" t="str">
        <f>IF(Indice_index!$Z$1=1,"abr*","Apr*")</f>
        <v>abr*</v>
      </c>
      <c r="O43" s="1334" t="str">
        <f>IF(Indice_index!$Z$1=1,"mai*","May*")</f>
        <v>mai*</v>
      </c>
      <c r="P43" s="1334" t="str">
        <f>IF(Indice_index!$Z$1=1,"jun*","June*")</f>
        <v>jun*</v>
      </c>
      <c r="Q43" s="1335" t="str">
        <f>IF(Indice_index!$Z$1=1,"jul*","July*")</f>
        <v>jul*</v>
      </c>
      <c r="R43" s="1772"/>
      <c r="S43" s="97"/>
      <c r="AB43" s="138"/>
      <c r="AC43" s="138"/>
      <c r="AD43" s="138"/>
    </row>
    <row r="44" spans="2:30" s="252" customFormat="1" ht="15" customHeight="1">
      <c r="B44" s="251"/>
      <c r="C44" s="251"/>
      <c r="D44" s="1366" t="str">
        <f>IF(Indice_index!$Z$1=1,"Administrações Públicas","General Government")</f>
        <v>Administrações Públicas</v>
      </c>
      <c r="E44" s="1367">
        <f t="shared" ref="E44:O44" si="1">SUM(E45:E50)</f>
        <v>903.53940754999996</v>
      </c>
      <c r="F44" s="1367">
        <f t="shared" si="1"/>
        <v>620.06983939999998</v>
      </c>
      <c r="G44" s="1367">
        <f t="shared" si="1"/>
        <v>694.13873754999997</v>
      </c>
      <c r="H44" s="1367">
        <f t="shared" si="1"/>
        <v>778.70614314000011</v>
      </c>
      <c r="I44" s="1367">
        <f t="shared" si="1"/>
        <v>890.29381393999995</v>
      </c>
      <c r="J44" s="1368">
        <f t="shared" si="1"/>
        <v>299.45953600000001</v>
      </c>
      <c r="K44" s="1369">
        <f t="shared" si="1"/>
        <v>414.17678900000004</v>
      </c>
      <c r="L44" s="1367">
        <f t="shared" si="1"/>
        <v>459.98346831000003</v>
      </c>
      <c r="M44" s="1367">
        <f t="shared" si="1"/>
        <v>506.87780213999997</v>
      </c>
      <c r="N44" s="1367">
        <f t="shared" si="1"/>
        <v>601.76228319000029</v>
      </c>
      <c r="O44" s="1367">
        <f t="shared" si="1"/>
        <v>699.17713006000008</v>
      </c>
      <c r="P44" s="1367">
        <f>SUM(P45:P50)</f>
        <v>834.73582155999998</v>
      </c>
      <c r="Q44" s="1368">
        <f>SUM(Q45:Q50)</f>
        <v>919.43005994000021</v>
      </c>
      <c r="R44" s="1370">
        <f t="shared" ref="R44:R51" si="2">Q44-P44</f>
        <v>84.694238380000229</v>
      </c>
      <c r="S44" s="589"/>
    </row>
    <row r="45" spans="2:30" ht="15" customHeight="1">
      <c r="B45" s="97"/>
      <c r="C45" s="97"/>
      <c r="D45" s="1371" t="str">
        <f>IF(Indice_index!$Z$1=1,"Admin. Central excl. Subs. Saúde","Central Government excl. Health Subsector")</f>
        <v>Admin. Central excl. Subs. Saúde</v>
      </c>
      <c r="E45" s="1345">
        <v>40.633416909999994</v>
      </c>
      <c r="F45" s="1345">
        <v>40.753960579999998</v>
      </c>
      <c r="G45" s="1345">
        <v>39.921979499999999</v>
      </c>
      <c r="H45" s="1345">
        <v>42.312871560000005</v>
      </c>
      <c r="I45" s="1345">
        <v>39.732900179999994</v>
      </c>
      <c r="J45" s="1346">
        <v>28.38489285</v>
      </c>
      <c r="K45" s="1347">
        <v>28.561460530000002</v>
      </c>
      <c r="L45" s="1345">
        <v>29.94680211</v>
      </c>
      <c r="M45" s="1345">
        <v>32.38113551</v>
      </c>
      <c r="N45" s="1345">
        <v>34.539867620000003</v>
      </c>
      <c r="O45" s="1345">
        <v>40.794076220000001</v>
      </c>
      <c r="P45" s="1345">
        <v>42.208514370000003</v>
      </c>
      <c r="Q45" s="1346">
        <v>43.652452489999995</v>
      </c>
      <c r="R45" s="1372">
        <f t="shared" si="2"/>
        <v>1.4439381199999914</v>
      </c>
      <c r="S45" s="589"/>
      <c r="AB45" s="138"/>
      <c r="AC45" s="138"/>
      <c r="AD45" s="138"/>
    </row>
    <row r="46" spans="2:30" ht="15" customHeight="1">
      <c r="B46" s="97"/>
      <c r="C46" s="97"/>
      <c r="D46" s="1371" t="str">
        <f>IF(Indice_index!$Z$1=1,"Subsector da Saúde","Health Subsector")</f>
        <v>Subsector da Saúde</v>
      </c>
      <c r="E46" s="1345">
        <v>7.8012746600000034</v>
      </c>
      <c r="F46" s="1345">
        <v>4.9123088799999977</v>
      </c>
      <c r="G46" s="1345">
        <v>5.0538588799999884</v>
      </c>
      <c r="H46" s="1345">
        <v>5.562945459999999</v>
      </c>
      <c r="I46" s="1345">
        <v>6.4107240000000001</v>
      </c>
      <c r="J46" s="1346">
        <v>2.7758071000000006</v>
      </c>
      <c r="K46" s="1347">
        <v>5.6885438100000032</v>
      </c>
      <c r="L46" s="1345">
        <v>4.34703807</v>
      </c>
      <c r="M46" s="1345">
        <v>5.1372461500000002</v>
      </c>
      <c r="N46" s="1345">
        <v>4.0887002799999985</v>
      </c>
      <c r="O46" s="1345">
        <v>5.1863336100000037</v>
      </c>
      <c r="P46" s="1345">
        <v>4.8387099700000071</v>
      </c>
      <c r="Q46" s="1346">
        <v>5.7911996400000012</v>
      </c>
      <c r="R46" s="1372">
        <f t="shared" si="2"/>
        <v>0.95248966999999407</v>
      </c>
      <c r="S46" s="589"/>
      <c r="AB46" s="138"/>
      <c r="AC46" s="138"/>
      <c r="AD46" s="138"/>
    </row>
    <row r="47" spans="2:30" ht="15" customHeight="1">
      <c r="B47" s="97"/>
      <c r="C47" s="97"/>
      <c r="D47" s="1371" t="str">
        <f>IF(Indice_index!$Z$1=1,"Hospitais EPE","HNS - EPE Hospitals")</f>
        <v>Hospitais EPE</v>
      </c>
      <c r="E47" s="1345">
        <v>667.03014743999995</v>
      </c>
      <c r="F47" s="1345">
        <v>388.6669637199999</v>
      </c>
      <c r="G47" s="1345">
        <v>467.73029874000002</v>
      </c>
      <c r="H47" s="1345">
        <v>553.43802757000014</v>
      </c>
      <c r="I47" s="1345">
        <v>668.15637400000003</v>
      </c>
      <c r="J47" s="1346">
        <v>107.16077557000001</v>
      </c>
      <c r="K47" s="1347">
        <v>210.44059844</v>
      </c>
      <c r="L47" s="1345">
        <v>253.03455969999999</v>
      </c>
      <c r="M47" s="1345">
        <v>303.91595169999994</v>
      </c>
      <c r="N47" s="1345">
        <v>390.4383427599999</v>
      </c>
      <c r="O47" s="1345">
        <v>469.09213459000006</v>
      </c>
      <c r="P47" s="1345">
        <v>606.73740510999994</v>
      </c>
      <c r="Q47" s="1346">
        <v>687.73517439000022</v>
      </c>
      <c r="R47" s="1372">
        <f t="shared" si="2"/>
        <v>80.997769280000284</v>
      </c>
      <c r="S47" s="589"/>
      <c r="AB47" s="138"/>
      <c r="AC47" s="138"/>
      <c r="AD47" s="138"/>
    </row>
    <row r="48" spans="2:30" ht="15" customHeight="1">
      <c r="B48" s="97"/>
      <c r="C48" s="97"/>
      <c r="D48" s="1371" t="str">
        <f>IF(Indice_index!$Z$1=1,"Empresas Públicas Reclassificadas","Reclassified Public Enterprises")</f>
        <v>Empresas Públicas Reclassificadas</v>
      </c>
      <c r="E48" s="1345">
        <v>17.185386150000053</v>
      </c>
      <c r="F48" s="1345">
        <v>17.242098590000055</v>
      </c>
      <c r="G48" s="1345">
        <v>14.308865779999993</v>
      </c>
      <c r="H48" s="1345">
        <v>20.931860779999994</v>
      </c>
      <c r="I48" s="1345">
        <v>22.96524037999999</v>
      </c>
      <c r="J48" s="1346">
        <v>12.762309</v>
      </c>
      <c r="K48" s="1347">
        <v>12.762309</v>
      </c>
      <c r="L48" s="1345">
        <v>12.762309</v>
      </c>
      <c r="M48" s="1345">
        <v>12.762309</v>
      </c>
      <c r="N48" s="1345">
        <v>14.36457812000002</v>
      </c>
      <c r="O48" s="1345">
        <v>16.55391013000002</v>
      </c>
      <c r="P48" s="1345">
        <v>21.921374740000022</v>
      </c>
      <c r="Q48" s="1346">
        <v>17.186012840000021</v>
      </c>
      <c r="R48" s="1372">
        <f t="shared" si="2"/>
        <v>-4.7353619000000009</v>
      </c>
      <c r="S48" s="589"/>
      <c r="AB48" s="138"/>
      <c r="AC48" s="138"/>
      <c r="AD48" s="138"/>
    </row>
    <row r="49" spans="2:30" ht="15" customHeight="1">
      <c r="B49" s="97"/>
      <c r="C49" s="97"/>
      <c r="D49" s="1371" t="str">
        <f>IF(Indice_index!$Z$1=1,"Administração Local","Local Government")</f>
        <v>Administração Local</v>
      </c>
      <c r="E49" s="1373">
        <v>56.810747100000007</v>
      </c>
      <c r="F49" s="1373">
        <v>56.810747100000007</v>
      </c>
      <c r="G49" s="1373">
        <v>56.810747100000007</v>
      </c>
      <c r="H49" s="1373">
        <v>56.810747100000007</v>
      </c>
      <c r="I49" s="1373">
        <v>56.810747100000007</v>
      </c>
      <c r="J49" s="1374">
        <v>56.810747100000007</v>
      </c>
      <c r="K49" s="1375">
        <v>56.810747100000007</v>
      </c>
      <c r="L49" s="1373">
        <v>56.810747100000007</v>
      </c>
      <c r="M49" s="1373">
        <v>56.810747100000007</v>
      </c>
      <c r="N49" s="1373">
        <v>56.810747100000007</v>
      </c>
      <c r="O49" s="1373">
        <v>56.810747100000007</v>
      </c>
      <c r="P49" s="1373">
        <v>56.810747100000007</v>
      </c>
      <c r="Q49" s="1374">
        <v>56.810747100000007</v>
      </c>
      <c r="R49" s="1376">
        <f t="shared" si="2"/>
        <v>0</v>
      </c>
      <c r="S49" s="589"/>
      <c r="AB49" s="138"/>
      <c r="AC49" s="138"/>
      <c r="AD49" s="138"/>
    </row>
    <row r="50" spans="2:30" ht="15" customHeight="1">
      <c r="B50" s="97"/>
      <c r="C50" s="97"/>
      <c r="D50" s="1371" t="str">
        <f>IF(Indice_index!$Z$1=1,"Administração Regional","Regional Government")</f>
        <v>Administração Regional</v>
      </c>
      <c r="E50" s="1345">
        <v>114.07843528999997</v>
      </c>
      <c r="F50" s="1345">
        <v>111.68376053000001</v>
      </c>
      <c r="G50" s="1345">
        <v>110.31298755</v>
      </c>
      <c r="H50" s="1345">
        <v>99.649690670000012</v>
      </c>
      <c r="I50" s="1345">
        <v>96.217828280000006</v>
      </c>
      <c r="J50" s="1346">
        <v>91.565004379999991</v>
      </c>
      <c r="K50" s="1347">
        <v>99.913130120000005</v>
      </c>
      <c r="L50" s="1345">
        <v>103.08201233000001</v>
      </c>
      <c r="M50" s="1345">
        <v>95.870412680000044</v>
      </c>
      <c r="N50" s="1345">
        <v>101.52004731000035</v>
      </c>
      <c r="O50" s="1345">
        <v>110.73992841000005</v>
      </c>
      <c r="P50" s="1345">
        <v>102.21907027000003</v>
      </c>
      <c r="Q50" s="1346">
        <v>108.25447348000002</v>
      </c>
      <c r="R50" s="1376">
        <f t="shared" si="2"/>
        <v>6.0354032099999841</v>
      </c>
      <c r="S50" s="589"/>
      <c r="AB50" s="138"/>
      <c r="AC50" s="138"/>
      <c r="AD50" s="138"/>
    </row>
    <row r="51" spans="2:30" s="252" customFormat="1" ht="15" customHeight="1">
      <c r="B51" s="251"/>
      <c r="C51" s="251"/>
      <c r="D51" s="1377" t="str">
        <f>IF(Indice_index!$Z$1=1,"Outras Entidades","Other Entities")</f>
        <v>Outras Entidades</v>
      </c>
      <c r="E51" s="1378">
        <f>E52</f>
        <v>0.44664528999999997</v>
      </c>
      <c r="F51" s="1378">
        <f t="shared" ref="F51:Q51" si="3">F52</f>
        <v>0.44664528999999997</v>
      </c>
      <c r="G51" s="1378">
        <f t="shared" si="3"/>
        <v>0.44664528999999997</v>
      </c>
      <c r="H51" s="1378">
        <f t="shared" si="3"/>
        <v>0.44664528999999997</v>
      </c>
      <c r="I51" s="1378">
        <f t="shared" si="3"/>
        <v>0.44664528999999997</v>
      </c>
      <c r="J51" s="1379">
        <f t="shared" si="3"/>
        <v>0.44664528999999997</v>
      </c>
      <c r="K51" s="1380">
        <f t="shared" si="3"/>
        <v>0.44664528999999997</v>
      </c>
      <c r="L51" s="1378">
        <f t="shared" si="3"/>
        <v>0.44664528999999997</v>
      </c>
      <c r="M51" s="1378">
        <f t="shared" si="3"/>
        <v>0.44664528999999997</v>
      </c>
      <c r="N51" s="1378">
        <f t="shared" si="3"/>
        <v>0.44664528999999997</v>
      </c>
      <c r="O51" s="1378">
        <f>O52</f>
        <v>0.44664528999999997</v>
      </c>
      <c r="P51" s="1378">
        <f t="shared" si="3"/>
        <v>0.44664528999999997</v>
      </c>
      <c r="Q51" s="1381">
        <f t="shared" si="3"/>
        <v>0.44664528999999997</v>
      </c>
      <c r="R51" s="1382">
        <f t="shared" si="2"/>
        <v>0</v>
      </c>
      <c r="S51" s="589"/>
    </row>
    <row r="52" spans="2:30" ht="15" customHeight="1">
      <c r="B52" s="97"/>
      <c r="C52" s="97"/>
      <c r="D52" s="1371" t="str">
        <f>IF(Indice_index!$Z$1=1,"Empr. Públicas Não Reclassificadas","Non-reclassified Public Enterprises")</f>
        <v>Empr. Públicas Não Reclassificadas</v>
      </c>
      <c r="E52" s="1383">
        <v>0.44664528999999997</v>
      </c>
      <c r="F52" s="1383">
        <v>0.44664528999999997</v>
      </c>
      <c r="G52" s="1384">
        <v>0.44664528999999997</v>
      </c>
      <c r="H52" s="1384">
        <v>0.44664528999999997</v>
      </c>
      <c r="I52" s="1384">
        <v>0.44664528999999997</v>
      </c>
      <c r="J52" s="1396">
        <v>0.44664528999999997</v>
      </c>
      <c r="K52" s="1386">
        <v>0.44664528999999997</v>
      </c>
      <c r="L52" s="1384">
        <v>0.44664528999999997</v>
      </c>
      <c r="M52" s="1383">
        <v>0.44664528999999997</v>
      </c>
      <c r="N52" s="1383">
        <v>0.44664528999999997</v>
      </c>
      <c r="O52" s="1383">
        <v>0.44664528999999997</v>
      </c>
      <c r="P52" s="1383">
        <v>0.44664528999999997</v>
      </c>
      <c r="Q52" s="1385">
        <v>0.44664528999999997</v>
      </c>
      <c r="R52" s="895">
        <f>Q52-P52</f>
        <v>0</v>
      </c>
      <c r="S52" s="589"/>
      <c r="AB52" s="138"/>
      <c r="AC52" s="138"/>
      <c r="AD52" s="138"/>
    </row>
    <row r="53" spans="2:30" s="252" customFormat="1" ht="15" customHeight="1">
      <c r="B53" s="251"/>
      <c r="C53" s="251"/>
      <c r="D53" s="891" t="str">
        <f>IF(Indice_index!$Z$1=1,"Total","Total")</f>
        <v>Total</v>
      </c>
      <c r="E53" s="1387">
        <f>E51+E44</f>
        <v>903.98605283999996</v>
      </c>
      <c r="F53" s="1387">
        <f t="shared" ref="F53:M53" si="4">F51+F44</f>
        <v>620.51648468999997</v>
      </c>
      <c r="G53" s="1387">
        <f t="shared" si="4"/>
        <v>694.58538283999997</v>
      </c>
      <c r="H53" s="1387">
        <f t="shared" si="4"/>
        <v>779.1527884300001</v>
      </c>
      <c r="I53" s="1387">
        <f t="shared" si="4"/>
        <v>890.74045922999994</v>
      </c>
      <c r="J53" s="1388">
        <f t="shared" si="4"/>
        <v>299.90618129000001</v>
      </c>
      <c r="K53" s="1389">
        <f t="shared" si="4"/>
        <v>414.62343429000003</v>
      </c>
      <c r="L53" s="1387">
        <f t="shared" si="4"/>
        <v>460.43011360000003</v>
      </c>
      <c r="M53" s="1387">
        <f t="shared" si="4"/>
        <v>507.32444742999996</v>
      </c>
      <c r="N53" s="1387">
        <f>N51+N44</f>
        <v>602.20892848000028</v>
      </c>
      <c r="O53" s="1387">
        <f>O51+O44</f>
        <v>699.62377535000007</v>
      </c>
      <c r="P53" s="1387">
        <f>P51+P44</f>
        <v>835.18246684999997</v>
      </c>
      <c r="Q53" s="1388">
        <f>Q51+Q44</f>
        <v>919.8767052300002</v>
      </c>
      <c r="R53" s="1390">
        <f>Q53-P53</f>
        <v>84.694238380000229</v>
      </c>
      <c r="S53" s="589"/>
      <c r="U53" s="316"/>
    </row>
    <row r="54" spans="2:30" s="252" customFormat="1" ht="4.5" customHeight="1">
      <c r="B54" s="251"/>
      <c r="C54" s="251"/>
      <c r="D54" s="1391"/>
      <c r="E54" s="1392"/>
      <c r="F54" s="1392"/>
      <c r="G54" s="1392"/>
      <c r="H54" s="1392"/>
      <c r="I54" s="1392"/>
      <c r="J54" s="1392"/>
      <c r="K54" s="1392"/>
      <c r="L54" s="1392"/>
      <c r="M54" s="1392"/>
      <c r="N54" s="1392"/>
      <c r="O54" s="1392"/>
      <c r="P54" s="1392"/>
      <c r="Q54" s="1392"/>
      <c r="R54" s="1392"/>
      <c r="S54" s="251"/>
      <c r="U54" s="316"/>
    </row>
    <row r="55" spans="2:30" ht="15" customHeight="1">
      <c r="B55" s="97"/>
      <c r="C55" s="97"/>
      <c r="D55" s="1393" t="str">
        <f>IF(Indice_index!$Z$1=1,"Notas:","Notes:")</f>
        <v>Notas:</v>
      </c>
      <c r="E55" s="1394"/>
      <c r="F55" s="1394"/>
      <c r="G55" s="97"/>
      <c r="H55" s="97"/>
      <c r="I55" s="97"/>
      <c r="J55" s="97"/>
      <c r="K55" s="1394"/>
      <c r="L55" s="97"/>
      <c r="M55" s="97"/>
      <c r="N55" s="97"/>
      <c r="O55" s="97"/>
      <c r="P55" s="97"/>
      <c r="Q55" s="97"/>
      <c r="R55" s="1394"/>
      <c r="S55" s="97"/>
      <c r="U55" s="169"/>
      <c r="AB55" s="138"/>
      <c r="AC55" s="138"/>
      <c r="AD55" s="138"/>
    </row>
    <row r="56" spans="2:30" ht="15" customHeight="1">
      <c r="B56" s="97"/>
      <c r="C56" s="97"/>
      <c r="D56" s="1394" t="str">
        <f>IF(Indice_index!$Z$1=1,"Conceito de pagamentos em atraso no âmbito da Lei de Compromissos e Pagamentos em Atraso (Lei n.º8/2012 de 21 de Fevereiro de 2012).","Definition of arrears according to the Law of Commitment and Arrears (Law no. 8/2012 of 21 February).")</f>
        <v>Conceito de pagamentos em atraso no âmbito da Lei de Compromissos e Pagamentos em Atraso (Lei n.º8/2012 de 21 de Fevereiro de 2012).</v>
      </c>
      <c r="E56" s="1394"/>
      <c r="F56" s="1394"/>
      <c r="G56" s="97"/>
      <c r="H56" s="97"/>
      <c r="I56" s="97"/>
      <c r="J56" s="97"/>
      <c r="K56" s="1394"/>
      <c r="L56" s="97"/>
      <c r="M56" s="97"/>
      <c r="N56" s="97"/>
      <c r="O56" s="97"/>
      <c r="P56" s="97"/>
      <c r="Q56" s="97"/>
      <c r="R56" s="1394"/>
      <c r="S56" s="97"/>
      <c r="U56" s="169"/>
      <c r="AB56" s="138"/>
      <c r="AC56" s="138"/>
      <c r="AD56" s="138"/>
    </row>
    <row r="57" spans="2:30" ht="15" customHeight="1">
      <c r="B57" s="97"/>
      <c r="C57" s="97"/>
      <c r="D57" s="1363" t="str">
        <f>IF(Indice_index!$Z$1=1,"AL(*): Considerou-se o stock de dezembro 2019, para efeitos de análise.","LG(*): December 2019 stock was considered for analysis purposes was considered for the purpose of analysis.")</f>
        <v>AL(*): Considerou-se o stock de dezembro 2019, para efeitos de análise.</v>
      </c>
      <c r="E57" s="1394"/>
      <c r="F57" s="1394"/>
      <c r="G57" s="1394"/>
      <c r="H57" s="97"/>
      <c r="I57" s="97"/>
      <c r="J57" s="97"/>
      <c r="K57" s="97"/>
      <c r="L57" s="1394"/>
      <c r="M57" s="97"/>
      <c r="N57" s="97"/>
      <c r="O57" s="97"/>
      <c r="P57" s="97"/>
      <c r="Q57" s="97"/>
      <c r="R57" s="1394"/>
      <c r="S57" s="97"/>
      <c r="U57" s="169"/>
      <c r="AB57" s="138"/>
      <c r="AC57" s="138"/>
      <c r="AD57" s="138"/>
    </row>
    <row r="58" spans="2:30" ht="15" customHeight="1">
      <c r="B58" s="97"/>
      <c r="C58" s="97"/>
      <c r="D58" s="1767" t="str">
        <f>IF(Indice_index!$Z$1=1,"Fonte: Compilado pela DGO sobre os dados recolhidos pela ACSS, DGAL, DGO, DGTF, DR Orçamento e Tesouro da Madeira e DR Orçamento e Tesouro dos Açores.","Source: Compiled by DGO on data collected by DGAL, DGO,  Azores Autonomous Region Budget and Treasury Regional Directorate and Madeira Autonomous Region Budget and Treasury Regional Directorate.")</f>
        <v>Fonte: Compilado pela DGO sobre os dados recolhidos pela ACSS, DGAL, DGO, DGTF, DR Orçamento e Tesouro da Madeira e DR Orçamento e Tesouro dos Açores.</v>
      </c>
      <c r="E58" s="1767"/>
      <c r="F58" s="1767"/>
      <c r="G58" s="1767"/>
      <c r="H58" s="1767"/>
      <c r="I58" s="1767"/>
      <c r="J58" s="1767"/>
      <c r="K58" s="1767"/>
      <c r="L58" s="1767"/>
      <c r="M58" s="1767"/>
      <c r="N58" s="1767"/>
      <c r="O58" s="1767"/>
      <c r="P58" s="1767"/>
      <c r="Q58" s="1767"/>
      <c r="R58" s="1767"/>
      <c r="S58" s="97"/>
    </row>
    <row r="59" spans="2:30">
      <c r="B59" s="97"/>
      <c r="C59" s="97"/>
      <c r="D59" s="97"/>
      <c r="E59" s="97"/>
      <c r="F59" s="97"/>
      <c r="G59" s="97"/>
      <c r="H59" s="97"/>
      <c r="I59" s="97"/>
      <c r="J59" s="97"/>
      <c r="K59" s="97"/>
      <c r="L59" s="97"/>
      <c r="M59" s="97"/>
      <c r="N59" s="97"/>
      <c r="O59" s="97"/>
      <c r="P59" s="97"/>
      <c r="Q59" s="97"/>
      <c r="R59" s="97"/>
      <c r="S59" s="97"/>
    </row>
    <row r="60" spans="2:30">
      <c r="B60" s="97"/>
      <c r="C60" s="97"/>
      <c r="D60" s="97"/>
      <c r="E60" s="97"/>
      <c r="F60" s="97"/>
      <c r="G60" s="97"/>
      <c r="H60" s="97"/>
      <c r="I60" s="97"/>
      <c r="J60" s="97"/>
      <c r="K60" s="97"/>
      <c r="L60" s="97"/>
      <c r="M60" s="97"/>
      <c r="N60" s="97"/>
      <c r="O60" s="97"/>
      <c r="P60" s="97"/>
      <c r="Q60" s="97"/>
      <c r="R60" s="97"/>
      <c r="S60" s="97"/>
    </row>
    <row r="61" spans="2:30">
      <c r="C61" s="97"/>
      <c r="D61" s="97"/>
      <c r="E61" s="820"/>
      <c r="F61" s="820"/>
      <c r="G61" s="820"/>
      <c r="H61" s="820"/>
      <c r="I61" s="820"/>
      <c r="J61" s="820"/>
      <c r="K61" s="820"/>
      <c r="L61" s="820"/>
      <c r="M61" s="820"/>
      <c r="N61" s="820"/>
      <c r="O61" s="820"/>
      <c r="P61" s="820"/>
      <c r="Q61" s="97"/>
      <c r="R61" s="97"/>
    </row>
    <row r="62" spans="2:30">
      <c r="E62" s="334"/>
      <c r="F62" s="334"/>
      <c r="G62" s="334"/>
      <c r="H62" s="334"/>
      <c r="I62" s="334"/>
      <c r="J62" s="334"/>
      <c r="K62" s="334"/>
      <c r="L62" s="334"/>
      <c r="M62" s="334"/>
      <c r="N62" s="334"/>
      <c r="O62" s="334"/>
    </row>
  </sheetData>
  <mergeCells count="17">
    <mergeCell ref="D58:R58"/>
    <mergeCell ref="T37:AC39"/>
    <mergeCell ref="C21:D21"/>
    <mergeCell ref="C22:C26"/>
    <mergeCell ref="C27:D27"/>
    <mergeCell ref="C28:D28"/>
    <mergeCell ref="D42:D43"/>
    <mergeCell ref="R42:R43"/>
    <mergeCell ref="E42:J42"/>
    <mergeCell ref="K42:Q42"/>
    <mergeCell ref="R8:R9"/>
    <mergeCell ref="C8:D9"/>
    <mergeCell ref="C10:C14"/>
    <mergeCell ref="C15:D15"/>
    <mergeCell ref="C16:C20"/>
    <mergeCell ref="E8:J8"/>
    <mergeCell ref="K8:Q8"/>
  </mergeCells>
  <printOptions horizontalCentered="1"/>
  <pageMargins left="0.70866141732283472" right="0.70866141732283472" top="0.74803149606299213" bottom="0.74803149606299213" header="0.74803149606299213" footer="0.35433070866141736"/>
  <pageSetup paperSize="9" scale="55" orientation="portrait" r:id="rId1"/>
  <headerFooter differentOddEven="1">
    <oddFooter>&amp;R&amp;G</oddFooter>
    <evenFooter>&amp;L&amp;G</evenFooter>
  </headerFooter>
  <drawing r:id="rId2"/>
  <legacyDrawingHF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Folha23"/>
  <dimension ref="A1:AP601"/>
  <sheetViews>
    <sheetView showGridLines="0" zoomScaleNormal="100" zoomScaleSheetLayoutView="100" workbookViewId="0">
      <selection activeCell="B2" sqref="B2"/>
    </sheetView>
  </sheetViews>
  <sheetFormatPr defaultColWidth="6.5703125" defaultRowHeight="12"/>
  <cols>
    <col min="1" max="1" width="2.5703125" style="62" customWidth="1"/>
    <col min="2" max="2" width="4.42578125" style="62" customWidth="1"/>
    <col min="3" max="3" width="5.42578125" style="62" customWidth="1"/>
    <col min="4" max="4" width="9.5703125" style="62" customWidth="1"/>
    <col min="5" max="5" width="11" style="62" customWidth="1"/>
    <col min="6" max="6" width="9.42578125" style="62" customWidth="1"/>
    <col min="7" max="7" width="11" style="62" customWidth="1"/>
    <col min="8" max="8" width="9.5703125" style="62" customWidth="1"/>
    <col min="9" max="9" width="10.85546875" style="62" customWidth="1"/>
    <col min="10" max="10" width="9.85546875" style="62" customWidth="1"/>
    <col min="11" max="11" width="9.42578125" style="62" customWidth="1"/>
    <col min="12" max="12" width="10.140625" style="172" customWidth="1"/>
    <col min="13" max="13" width="9.42578125" style="172" customWidth="1"/>
    <col min="14" max="14" width="9.5703125" style="172" customWidth="1"/>
    <col min="15" max="15" width="10" style="172" customWidth="1"/>
    <col min="16" max="16" width="10.42578125" style="172" customWidth="1"/>
    <col min="17" max="17" width="13" style="62" customWidth="1"/>
    <col min="18" max="18" width="8.5703125" style="62" customWidth="1"/>
    <col min="19" max="19" width="7.5703125" style="62" customWidth="1"/>
    <col min="20" max="20" width="8.85546875" style="62" customWidth="1"/>
    <col min="21" max="21" width="11.5703125" style="62" customWidth="1"/>
    <col min="22" max="22" width="8.140625" style="62" customWidth="1"/>
    <col min="23" max="23" width="13" style="62" customWidth="1"/>
    <col min="24" max="24" width="9.140625" style="50" customWidth="1"/>
    <col min="25" max="25" width="10.85546875" style="50" customWidth="1"/>
    <col min="26" max="26" width="9.140625" style="50" customWidth="1"/>
    <col min="27" max="27" width="9.140625" style="171" customWidth="1"/>
    <col min="28" max="29" width="6.5703125" style="62"/>
    <col min="30" max="30" width="7" style="62" bestFit="1" customWidth="1"/>
    <col min="31" max="31" width="6.5703125" style="62" bestFit="1" customWidth="1"/>
    <col min="32" max="34" width="7" style="62" bestFit="1" customWidth="1"/>
    <col min="35" max="35" width="6.5703125" style="62" bestFit="1" customWidth="1"/>
    <col min="36" max="37" width="7" style="62" bestFit="1" customWidth="1"/>
    <col min="38" max="38" width="6.5703125" style="62" bestFit="1" customWidth="1"/>
    <col min="39" max="41" width="7" style="62" bestFit="1" customWidth="1"/>
    <col min="42" max="16384" width="6.5703125" style="62"/>
  </cols>
  <sheetData>
    <row r="1" spans="2:34" s="50" customFormat="1" ht="15" customHeight="1">
      <c r="B1" s="49"/>
      <c r="H1" s="156"/>
      <c r="I1" s="156"/>
    </row>
    <row r="2" spans="2:34" ht="24" customHeight="1">
      <c r="B2" s="8"/>
      <c r="C2" s="51" t="str">
        <f>IF(Indice_index!$Z$1=1,"19 - Indicadores Físicos e Financeiros do Sistema de Proteção Social da Função Pública","19 - Public Servants Social Scheme - Flows")</f>
        <v>19 - Indicadores Físicos e Financeiros do Sistema de Proteção Social da Função Pública</v>
      </c>
      <c r="D2" s="51"/>
      <c r="E2" s="51"/>
      <c r="F2" s="51"/>
      <c r="G2" s="51"/>
      <c r="H2" s="51"/>
      <c r="I2" s="51"/>
      <c r="J2" s="51"/>
      <c r="K2" s="51"/>
      <c r="L2" s="51"/>
      <c r="M2" s="51"/>
      <c r="N2" s="51"/>
      <c r="O2" s="51"/>
      <c r="P2" s="51"/>
      <c r="X2" s="81"/>
      <c r="Z2" s="81"/>
    </row>
    <row r="3" spans="2:34" ht="15" customHeight="1">
      <c r="C3" s="230"/>
      <c r="D3" s="230"/>
      <c r="E3" s="230"/>
      <c r="F3" s="230"/>
      <c r="G3" s="230"/>
      <c r="H3" s="230"/>
      <c r="I3" s="230"/>
      <c r="J3" s="230"/>
      <c r="K3" s="230"/>
      <c r="X3" s="81"/>
    </row>
    <row r="4" spans="2:34" ht="15" customHeight="1">
      <c r="C4" s="230"/>
      <c r="D4" s="230"/>
      <c r="E4" s="230"/>
      <c r="F4" s="230"/>
      <c r="G4" s="230"/>
      <c r="H4" s="230"/>
      <c r="I4" s="230"/>
      <c r="J4" s="230"/>
      <c r="K4" s="230"/>
    </row>
    <row r="5" spans="2:34" s="243" customFormat="1" ht="15" customHeight="1">
      <c r="C5" s="984" t="str">
        <f>IF(Indice_index!$Z$1=1,"Pensionistas","Pensioners")</f>
        <v>Pensionistas</v>
      </c>
      <c r="D5" s="448"/>
      <c r="E5" s="448"/>
      <c r="F5" s="448"/>
      <c r="G5" s="448"/>
      <c r="H5" s="985"/>
      <c r="I5" s="985"/>
      <c r="J5" s="985"/>
      <c r="K5" s="986" t="str">
        <f>IF(Indice_index!$Z$1=1,"Subscritores","Subscribers")</f>
        <v>Subscritores</v>
      </c>
      <c r="L5" s="985"/>
      <c r="M5" s="985"/>
      <c r="N5" s="985"/>
      <c r="O5" s="985"/>
      <c r="P5" s="985"/>
      <c r="Q5" s="448"/>
      <c r="X5" s="241"/>
      <c r="Y5" s="241"/>
      <c r="Z5" s="241"/>
      <c r="AA5" s="244"/>
    </row>
    <row r="6" spans="2:34" s="230" customFormat="1" ht="11.25" customHeight="1">
      <c r="C6" s="987"/>
      <c r="D6" s="988"/>
      <c r="E6" s="1775" t="str">
        <f>IF(Indice_index!$Z$1=1,"Número","Number")</f>
        <v>Número</v>
      </c>
      <c r="F6" s="1775"/>
      <c r="G6" s="1775"/>
      <c r="H6" s="1775"/>
      <c r="I6" s="1777" t="str">
        <f>IF(Indice_index!$Z$1=1,"Valor médio pago por pensionista (€)","Average Value paid per Pensioner (€)")</f>
        <v>Valor médio pago por pensionista (€)</v>
      </c>
      <c r="K6" s="1778" t="str">
        <f>IF(Indice_index!$Z$1=1,"Número","Number")</f>
        <v>Número</v>
      </c>
      <c r="R6" s="50"/>
      <c r="S6" s="50"/>
      <c r="T6" s="50"/>
      <c r="U6" s="171"/>
    </row>
    <row r="7" spans="2:34" s="230" customFormat="1" ht="33.75">
      <c r="C7" s="989"/>
      <c r="D7" s="990"/>
      <c r="E7" s="991" t="str">
        <f>IF(Indice_index!$Z$1=1,"Velhice e Outros Motivos","Old age and other Reasons")</f>
        <v>Velhice e Outros Motivos</v>
      </c>
      <c r="F7" s="992" t="str">
        <f>IF(Indice_index!$Z$1=1,"Invalidez","Disability")</f>
        <v>Invalidez</v>
      </c>
      <c r="G7" s="991" t="str">
        <f>IF(Indice_index!$Z$1=1,"Sobrevivência e Outros","Survival and Others")</f>
        <v>Sobrevivência e Outros</v>
      </c>
      <c r="H7" s="991" t="str">
        <f>IF(Indice_index!$Z$1=1,"Total de Pensionistas","Total of Pensioners")</f>
        <v>Total de Pensionistas</v>
      </c>
      <c r="I7" s="1777"/>
      <c r="K7" s="1779"/>
      <c r="R7" s="50"/>
      <c r="S7" s="50"/>
      <c r="T7" s="50"/>
      <c r="U7" s="171"/>
    </row>
    <row r="8" spans="2:34" s="230" customFormat="1" hidden="1">
      <c r="C8" s="993" t="s">
        <v>10</v>
      </c>
      <c r="D8" s="685"/>
      <c r="E8" s="173"/>
      <c r="F8" s="173"/>
      <c r="G8" s="173"/>
      <c r="H8" s="173"/>
      <c r="I8" s="172"/>
      <c r="K8" s="172"/>
      <c r="R8" s="50"/>
      <c r="S8" s="50"/>
      <c r="T8" s="50"/>
      <c r="U8" s="171"/>
      <c r="V8" s="171"/>
      <c r="W8" s="171"/>
      <c r="X8" s="171"/>
      <c r="Y8" s="171"/>
      <c r="Z8" s="171"/>
      <c r="AA8" s="171"/>
      <c r="AB8" s="171"/>
      <c r="AC8" s="171"/>
      <c r="AD8" s="171"/>
      <c r="AE8" s="171"/>
      <c r="AF8" s="171"/>
      <c r="AG8" s="171"/>
      <c r="AH8" s="171"/>
    </row>
    <row r="9" spans="2:34" s="230" customFormat="1" hidden="1">
      <c r="C9" s="993"/>
      <c r="D9" s="173" t="str">
        <f>IF(Indice_index!$Z$1=1,"janeiro","January")</f>
        <v>janeiro</v>
      </c>
      <c r="E9" s="173">
        <v>378477</v>
      </c>
      <c r="F9" s="173">
        <v>75381</v>
      </c>
      <c r="G9" s="173">
        <v>138644</v>
      </c>
      <c r="H9" s="173">
        <v>592502</v>
      </c>
      <c r="I9" s="172">
        <v>1074.8</v>
      </c>
      <c r="K9" s="173">
        <v>556738</v>
      </c>
      <c r="R9" s="50"/>
      <c r="S9" s="50"/>
      <c r="T9" s="50"/>
      <c r="U9" s="171"/>
      <c r="V9" s="171"/>
      <c r="W9" s="171"/>
      <c r="X9" s="171"/>
      <c r="Y9" s="171"/>
      <c r="Z9" s="171"/>
      <c r="AA9" s="171"/>
      <c r="AB9" s="171"/>
      <c r="AC9" s="171"/>
      <c r="AD9" s="171"/>
      <c r="AE9" s="171"/>
      <c r="AF9" s="171"/>
      <c r="AG9" s="171"/>
      <c r="AH9" s="171"/>
    </row>
    <row r="10" spans="2:34" s="230" customFormat="1" hidden="1">
      <c r="C10" s="993"/>
      <c r="D10" s="173" t="str">
        <f>IF(Indice_index!$Z$1=1,"fevereiro","February")</f>
        <v>fevereiro</v>
      </c>
      <c r="E10" s="173">
        <v>379557</v>
      </c>
      <c r="F10" s="173">
        <v>75384</v>
      </c>
      <c r="G10" s="173">
        <v>138827</v>
      </c>
      <c r="H10" s="173">
        <v>593768</v>
      </c>
      <c r="I10" s="172">
        <v>1080.9000000000001</v>
      </c>
      <c r="K10" s="173">
        <v>555064</v>
      </c>
      <c r="R10" s="50"/>
      <c r="S10" s="50"/>
      <c r="T10" s="50"/>
      <c r="U10" s="171"/>
      <c r="V10" s="171"/>
      <c r="W10" s="171"/>
      <c r="X10" s="171"/>
      <c r="Y10" s="171"/>
      <c r="Z10" s="171"/>
      <c r="AA10" s="171"/>
      <c r="AB10" s="171"/>
      <c r="AC10" s="171"/>
      <c r="AD10" s="171"/>
      <c r="AE10" s="171"/>
      <c r="AF10" s="171"/>
      <c r="AG10" s="171"/>
      <c r="AH10" s="171"/>
    </row>
    <row r="11" spans="2:34" s="230" customFormat="1" hidden="1">
      <c r="C11" s="993"/>
      <c r="D11" s="173" t="str">
        <f>IF(Indice_index!$Z$1=1,"março","March")</f>
        <v>março</v>
      </c>
      <c r="E11" s="173">
        <v>380009</v>
      </c>
      <c r="F11" s="173">
        <v>75439</v>
      </c>
      <c r="G11" s="173">
        <v>139183</v>
      </c>
      <c r="H11" s="173">
        <v>594631</v>
      </c>
      <c r="I11" s="172">
        <v>1083.2</v>
      </c>
      <c r="K11" s="173">
        <v>550279</v>
      </c>
      <c r="R11" s="50"/>
      <c r="S11" s="50"/>
      <c r="T11" s="50"/>
      <c r="U11" s="171"/>
      <c r="V11" s="171"/>
      <c r="W11" s="171"/>
      <c r="X11" s="171"/>
      <c r="Y11" s="171"/>
      <c r="Z11" s="171"/>
      <c r="AA11" s="171"/>
      <c r="AB11" s="171"/>
      <c r="AC11" s="171"/>
      <c r="AD11" s="171"/>
      <c r="AE11" s="171"/>
      <c r="AF11" s="171"/>
      <c r="AG11" s="171"/>
      <c r="AH11" s="171"/>
    </row>
    <row r="12" spans="2:34" s="230" customFormat="1" hidden="1">
      <c r="C12" s="993"/>
      <c r="D12" s="173" t="str">
        <f>IF(Indice_index!$Z$1=1,"abril","April")</f>
        <v>abril</v>
      </c>
      <c r="E12" s="173">
        <v>380486</v>
      </c>
      <c r="F12" s="173">
        <v>75467</v>
      </c>
      <c r="G12" s="173">
        <v>139319</v>
      </c>
      <c r="H12" s="173">
        <v>595272</v>
      </c>
      <c r="I12" s="172">
        <v>1078.8</v>
      </c>
      <c r="K12" s="173">
        <v>548983</v>
      </c>
      <c r="R12" s="50"/>
      <c r="S12" s="50"/>
      <c r="T12" s="50"/>
      <c r="U12" s="171"/>
      <c r="V12" s="171"/>
      <c r="W12" s="171"/>
      <c r="X12" s="171"/>
      <c r="Y12" s="171"/>
      <c r="Z12" s="171"/>
      <c r="AA12" s="171"/>
      <c r="AB12" s="171"/>
      <c r="AC12" s="171"/>
      <c r="AD12" s="171"/>
      <c r="AE12" s="171"/>
      <c r="AF12" s="171"/>
      <c r="AG12" s="171"/>
      <c r="AH12" s="171"/>
    </row>
    <row r="13" spans="2:34" s="230" customFormat="1" hidden="1">
      <c r="C13" s="993"/>
      <c r="D13" s="173" t="str">
        <f>IF(Indice_index!$Z$1=1,"maio","May")</f>
        <v>maio</v>
      </c>
      <c r="E13" s="173">
        <v>381329</v>
      </c>
      <c r="F13" s="173">
        <v>75435</v>
      </c>
      <c r="G13" s="173">
        <v>139536</v>
      </c>
      <c r="H13" s="173">
        <v>596300</v>
      </c>
      <c r="I13" s="172">
        <v>1078.8</v>
      </c>
      <c r="K13" s="173">
        <v>547338</v>
      </c>
      <c r="R13" s="50"/>
      <c r="S13" s="50"/>
      <c r="T13" s="50"/>
      <c r="U13" s="171"/>
      <c r="V13" s="171"/>
      <c r="W13" s="171"/>
      <c r="X13" s="171"/>
      <c r="Y13" s="171"/>
      <c r="Z13" s="171"/>
      <c r="AA13" s="171"/>
      <c r="AB13" s="171"/>
      <c r="AC13" s="171"/>
      <c r="AD13" s="171"/>
      <c r="AE13" s="171"/>
      <c r="AF13" s="171"/>
      <c r="AG13" s="171"/>
      <c r="AH13" s="171"/>
    </row>
    <row r="14" spans="2:34" s="230" customFormat="1" hidden="1">
      <c r="C14" s="993"/>
      <c r="D14" s="173" t="str">
        <f>IF(Indice_index!$Z$1=1,"junho","June")</f>
        <v>junho</v>
      </c>
      <c r="E14" s="173">
        <v>382265</v>
      </c>
      <c r="F14" s="173">
        <v>75476</v>
      </c>
      <c r="G14" s="173">
        <v>139869</v>
      </c>
      <c r="H14" s="173">
        <v>597610</v>
      </c>
      <c r="I14" s="172">
        <v>1080.4000000000001</v>
      </c>
      <c r="K14" s="173">
        <v>545729</v>
      </c>
      <c r="R14" s="50"/>
      <c r="S14" s="50"/>
      <c r="T14" s="50"/>
      <c r="U14" s="171"/>
      <c r="V14" s="171"/>
      <c r="W14" s="171"/>
      <c r="X14" s="171"/>
      <c r="Y14" s="171"/>
      <c r="Z14" s="171"/>
      <c r="AA14" s="171"/>
      <c r="AB14" s="171"/>
      <c r="AC14" s="171"/>
      <c r="AD14" s="171"/>
      <c r="AE14" s="171"/>
      <c r="AF14" s="171"/>
      <c r="AG14" s="171"/>
      <c r="AH14" s="171"/>
    </row>
    <row r="15" spans="2:34" s="230" customFormat="1" hidden="1">
      <c r="C15" s="993"/>
      <c r="D15" s="173" t="str">
        <f>IF(Indice_index!$Z$1=1,"julho","July")</f>
        <v>julho</v>
      </c>
      <c r="E15" s="173">
        <v>383153</v>
      </c>
      <c r="F15" s="173">
        <v>75502</v>
      </c>
      <c r="G15" s="173">
        <v>140055</v>
      </c>
      <c r="H15" s="173">
        <v>598710</v>
      </c>
      <c r="I15" s="172">
        <v>1269.3</v>
      </c>
      <c r="K15" s="173">
        <v>544153</v>
      </c>
      <c r="R15" s="50"/>
      <c r="S15" s="50"/>
      <c r="T15" s="50"/>
      <c r="U15" s="171"/>
      <c r="V15" s="171"/>
      <c r="W15" s="171"/>
      <c r="X15" s="171"/>
      <c r="Y15" s="171"/>
      <c r="Z15" s="171"/>
      <c r="AA15" s="171"/>
      <c r="AB15" s="171"/>
      <c r="AC15" s="171"/>
      <c r="AD15" s="171"/>
      <c r="AE15" s="171"/>
      <c r="AF15" s="171"/>
      <c r="AG15" s="171"/>
      <c r="AH15" s="171"/>
    </row>
    <row r="16" spans="2:34" s="230" customFormat="1" hidden="1">
      <c r="C16" s="993"/>
      <c r="D16" s="173" t="str">
        <f>IF(Indice_index!$Z$1=1,"agosto","August")</f>
        <v>agosto</v>
      </c>
      <c r="E16" s="173">
        <v>384236</v>
      </c>
      <c r="F16" s="173">
        <v>75505</v>
      </c>
      <c r="G16" s="173">
        <v>140413</v>
      </c>
      <c r="H16" s="173">
        <v>600154</v>
      </c>
      <c r="I16" s="172">
        <v>1077.3</v>
      </c>
      <c r="K16" s="173">
        <v>542325</v>
      </c>
      <c r="R16" s="50"/>
      <c r="S16" s="50"/>
      <c r="T16" s="50"/>
      <c r="U16" s="171"/>
      <c r="V16" s="171"/>
      <c r="W16" s="171"/>
      <c r="X16" s="171"/>
      <c r="Y16" s="171"/>
      <c r="Z16" s="171"/>
      <c r="AA16" s="171"/>
      <c r="AB16" s="171"/>
      <c r="AC16" s="171"/>
      <c r="AD16" s="171"/>
      <c r="AE16" s="171"/>
      <c r="AF16" s="171"/>
      <c r="AG16" s="171"/>
      <c r="AH16" s="171"/>
    </row>
    <row r="17" spans="3:34" s="230" customFormat="1" hidden="1">
      <c r="C17" s="993"/>
      <c r="D17" s="173" t="str">
        <f>IF(Indice_index!$Z$1=1,"setembro","September")</f>
        <v>setembro</v>
      </c>
      <c r="E17" s="173">
        <v>385392</v>
      </c>
      <c r="F17" s="173">
        <v>75465</v>
      </c>
      <c r="G17" s="173">
        <v>140308</v>
      </c>
      <c r="H17" s="173">
        <v>601165</v>
      </c>
      <c r="I17" s="172">
        <v>1076.2</v>
      </c>
      <c r="K17" s="173">
        <v>537842</v>
      </c>
      <c r="R17" s="50"/>
      <c r="S17" s="50"/>
      <c r="T17" s="50"/>
      <c r="U17" s="171"/>
      <c r="V17" s="171"/>
      <c r="W17" s="171"/>
      <c r="X17" s="171"/>
      <c r="Y17" s="171"/>
      <c r="Z17" s="171"/>
      <c r="AA17" s="171"/>
      <c r="AB17" s="171"/>
      <c r="AC17" s="171"/>
      <c r="AD17" s="171"/>
      <c r="AE17" s="171"/>
      <c r="AF17" s="171"/>
      <c r="AG17" s="171"/>
      <c r="AH17" s="171"/>
    </row>
    <row r="18" spans="3:34" s="230" customFormat="1" hidden="1">
      <c r="C18" s="993"/>
      <c r="D18" s="173" t="str">
        <f>IF(Indice_index!$Z$1=1,"outubro","October")</f>
        <v>outubro</v>
      </c>
      <c r="E18" s="173">
        <v>386355</v>
      </c>
      <c r="F18" s="173">
        <v>75419</v>
      </c>
      <c r="G18" s="173">
        <v>140373</v>
      </c>
      <c r="H18" s="173">
        <v>602147</v>
      </c>
      <c r="I18" s="172">
        <v>1085.5999999999999</v>
      </c>
      <c r="K18" s="173">
        <v>536095</v>
      </c>
      <c r="R18" s="50"/>
      <c r="S18" s="50"/>
      <c r="T18" s="50"/>
      <c r="U18" s="171"/>
      <c r="V18" s="171"/>
      <c r="W18" s="171"/>
      <c r="X18" s="171"/>
      <c r="Y18" s="171"/>
      <c r="Z18" s="171"/>
      <c r="AA18" s="171"/>
      <c r="AB18" s="171"/>
      <c r="AC18" s="171"/>
      <c r="AD18" s="171"/>
      <c r="AE18" s="171"/>
      <c r="AF18" s="171"/>
      <c r="AG18" s="171"/>
      <c r="AH18" s="171"/>
    </row>
    <row r="19" spans="3:34" s="230" customFormat="1" hidden="1">
      <c r="C19" s="993"/>
      <c r="D19" s="173" t="str">
        <f>IF(Indice_index!$Z$1=1,"novembro","November")</f>
        <v>novembro</v>
      </c>
      <c r="E19" s="173">
        <v>386944</v>
      </c>
      <c r="F19" s="173">
        <v>75313</v>
      </c>
      <c r="G19" s="173">
        <v>140552</v>
      </c>
      <c r="H19" s="173">
        <v>602809</v>
      </c>
      <c r="I19" s="172">
        <v>1272.2</v>
      </c>
      <c r="K19" s="173">
        <v>534270</v>
      </c>
      <c r="R19" s="50"/>
      <c r="S19" s="50"/>
      <c r="T19" s="50"/>
      <c r="U19" s="171"/>
      <c r="V19" s="171"/>
      <c r="W19" s="171"/>
      <c r="X19" s="171"/>
      <c r="Y19" s="171"/>
      <c r="Z19" s="171"/>
      <c r="AA19" s="171"/>
      <c r="AB19" s="171"/>
      <c r="AC19" s="171"/>
      <c r="AD19" s="171"/>
      <c r="AE19" s="171"/>
      <c r="AF19" s="171"/>
      <c r="AG19" s="171"/>
      <c r="AH19" s="171"/>
    </row>
    <row r="20" spans="3:34" s="230" customFormat="1" hidden="1">
      <c r="C20" s="993"/>
      <c r="D20" s="173" t="str">
        <f>IF(Indice_index!$Z$1=1,"dezembro","December")</f>
        <v>dezembro</v>
      </c>
      <c r="E20" s="173">
        <v>387210</v>
      </c>
      <c r="F20" s="173">
        <v>75236</v>
      </c>
      <c r="G20" s="173">
        <v>140821</v>
      </c>
      <c r="H20" s="173">
        <v>603267</v>
      </c>
      <c r="I20" s="172">
        <v>1084.5</v>
      </c>
      <c r="K20" s="173">
        <v>531814</v>
      </c>
      <c r="R20" s="50"/>
      <c r="S20" s="50"/>
      <c r="T20" s="50"/>
      <c r="U20" s="171"/>
      <c r="V20" s="171"/>
      <c r="W20" s="171"/>
      <c r="X20" s="171"/>
      <c r="Y20" s="171"/>
      <c r="Z20" s="171"/>
      <c r="AA20" s="171"/>
      <c r="AB20" s="171"/>
      <c r="AC20" s="171"/>
      <c r="AD20" s="171"/>
      <c r="AE20" s="171"/>
      <c r="AF20" s="171"/>
      <c r="AG20" s="171"/>
      <c r="AH20" s="171"/>
    </row>
    <row r="21" spans="3:34" s="230" customFormat="1" hidden="1">
      <c r="C21" s="993" t="s">
        <v>11</v>
      </c>
      <c r="D21" s="172"/>
      <c r="E21" s="173"/>
      <c r="F21" s="173"/>
      <c r="G21" s="173"/>
      <c r="H21" s="173"/>
      <c r="I21" s="172"/>
      <c r="K21" s="173"/>
      <c r="R21" s="50"/>
      <c r="S21" s="50"/>
      <c r="T21" s="50"/>
      <c r="U21" s="171"/>
      <c r="V21" s="171"/>
      <c r="W21" s="171"/>
      <c r="X21" s="171"/>
      <c r="Y21" s="171"/>
      <c r="Z21" s="171"/>
      <c r="AA21" s="171"/>
      <c r="AB21" s="171"/>
      <c r="AC21" s="171"/>
      <c r="AD21" s="171"/>
      <c r="AE21" s="171"/>
      <c r="AF21" s="171"/>
      <c r="AG21" s="171"/>
      <c r="AH21" s="171"/>
    </row>
    <row r="22" spans="3:34" s="230" customFormat="1" hidden="1">
      <c r="C22" s="993"/>
      <c r="D22" s="173" t="str">
        <f>IF(Indice_index!$Z$1=1,"janeiro","January")</f>
        <v>janeiro</v>
      </c>
      <c r="E22" s="173">
        <v>388145</v>
      </c>
      <c r="F22" s="173">
        <v>75252</v>
      </c>
      <c r="G22" s="173">
        <v>140963</v>
      </c>
      <c r="H22" s="173">
        <v>604360</v>
      </c>
      <c r="I22" s="172">
        <v>1077.0999999999999</v>
      </c>
      <c r="K22" s="173">
        <v>529560</v>
      </c>
      <c r="R22" s="50"/>
      <c r="S22" s="50"/>
      <c r="T22" s="50"/>
      <c r="U22" s="171"/>
      <c r="V22" s="171"/>
      <c r="W22" s="171"/>
      <c r="X22" s="171"/>
      <c r="Y22" s="171"/>
      <c r="Z22" s="171"/>
      <c r="AA22" s="171"/>
      <c r="AB22" s="171"/>
      <c r="AC22" s="171"/>
      <c r="AD22" s="171"/>
      <c r="AE22" s="171"/>
      <c r="AF22" s="171"/>
      <c r="AG22" s="171"/>
      <c r="AH22" s="171"/>
    </row>
    <row r="23" spans="3:34" s="230" customFormat="1" hidden="1">
      <c r="C23" s="994"/>
      <c r="D23" s="173" t="str">
        <f>IF(Indice_index!$Z$1=1,"fevereiro","February")</f>
        <v>fevereiro</v>
      </c>
      <c r="E23" s="173">
        <v>388784</v>
      </c>
      <c r="F23" s="173">
        <v>75256</v>
      </c>
      <c r="G23" s="173">
        <v>141107</v>
      </c>
      <c r="H23" s="173">
        <v>605147</v>
      </c>
      <c r="I23" s="172">
        <v>1260</v>
      </c>
      <c r="K23" s="173">
        <v>528161</v>
      </c>
      <c r="R23" s="50"/>
      <c r="S23" s="50"/>
      <c r="T23" s="50"/>
      <c r="U23" s="171"/>
      <c r="V23" s="171"/>
      <c r="W23" s="171"/>
      <c r="X23" s="171"/>
      <c r="Y23" s="171"/>
      <c r="Z23" s="171"/>
      <c r="AA23" s="171"/>
      <c r="AB23" s="171"/>
      <c r="AC23" s="171"/>
      <c r="AD23" s="171"/>
      <c r="AE23" s="171"/>
      <c r="AF23" s="171"/>
      <c r="AG23" s="171"/>
      <c r="AH23" s="171"/>
    </row>
    <row r="24" spans="3:34" s="230" customFormat="1" hidden="1">
      <c r="C24" s="994"/>
      <c r="D24" s="173" t="str">
        <f>IF(Indice_index!$Z$1=1,"março","March")</f>
        <v>março</v>
      </c>
      <c r="E24" s="173">
        <v>389591</v>
      </c>
      <c r="F24" s="173">
        <v>75178</v>
      </c>
      <c r="G24" s="173">
        <v>140973</v>
      </c>
      <c r="H24" s="173">
        <v>605742</v>
      </c>
      <c r="I24" s="172">
        <v>1167</v>
      </c>
      <c r="K24" s="173">
        <v>527141</v>
      </c>
      <c r="R24" s="50"/>
      <c r="S24" s="50"/>
      <c r="T24" s="50"/>
      <c r="U24" s="171"/>
      <c r="V24" s="171"/>
      <c r="W24" s="171"/>
      <c r="X24" s="171"/>
      <c r="Y24" s="171"/>
      <c r="Z24" s="171"/>
      <c r="AA24" s="171"/>
      <c r="AB24" s="171"/>
      <c r="AC24" s="171"/>
      <c r="AD24" s="171"/>
      <c r="AE24" s="171"/>
      <c r="AF24" s="171"/>
      <c r="AG24" s="171"/>
      <c r="AH24" s="171"/>
    </row>
    <row r="25" spans="3:34" s="230" customFormat="1" hidden="1">
      <c r="C25" s="994"/>
      <c r="D25" s="173" t="str">
        <f>IF(Indice_index!$Z$1=1,"abril","April")</f>
        <v>abril</v>
      </c>
      <c r="E25" s="173">
        <v>390630</v>
      </c>
      <c r="F25" s="173">
        <v>75166</v>
      </c>
      <c r="G25" s="173">
        <v>141087</v>
      </c>
      <c r="H25" s="173">
        <v>606883</v>
      </c>
      <c r="I25" s="172">
        <v>1175.7</v>
      </c>
      <c r="K25" s="173">
        <v>525479</v>
      </c>
      <c r="R25" s="50"/>
      <c r="S25" s="50"/>
      <c r="T25" s="50"/>
      <c r="U25" s="171"/>
      <c r="V25" s="171"/>
      <c r="W25" s="171"/>
      <c r="X25" s="171"/>
      <c r="Y25" s="171"/>
      <c r="Z25" s="171"/>
      <c r="AA25" s="171"/>
      <c r="AB25" s="171"/>
      <c r="AC25" s="171"/>
      <c r="AD25" s="171"/>
      <c r="AE25" s="171"/>
      <c r="AF25" s="171"/>
      <c r="AG25" s="171"/>
      <c r="AH25" s="171"/>
    </row>
    <row r="26" spans="3:34" s="230" customFormat="1" hidden="1">
      <c r="C26" s="994"/>
      <c r="D26" s="173" t="str">
        <f>IF(Indice_index!$Z$1=1,"maio","May")</f>
        <v>maio</v>
      </c>
      <c r="E26" s="173">
        <v>391666</v>
      </c>
      <c r="F26" s="173">
        <v>75184</v>
      </c>
      <c r="G26" s="173">
        <v>141293</v>
      </c>
      <c r="H26" s="173">
        <v>608143</v>
      </c>
      <c r="I26" s="172">
        <v>1168.3</v>
      </c>
      <c r="K26" s="173">
        <v>524195</v>
      </c>
      <c r="R26" s="50"/>
      <c r="S26" s="50"/>
      <c r="T26" s="50"/>
      <c r="U26" s="171"/>
      <c r="V26" s="171"/>
      <c r="W26" s="171"/>
      <c r="X26" s="171"/>
      <c r="Y26" s="171"/>
      <c r="Z26" s="171"/>
      <c r="AA26" s="171"/>
      <c r="AB26" s="171"/>
      <c r="AC26" s="171"/>
      <c r="AD26" s="171"/>
      <c r="AE26" s="171"/>
      <c r="AF26" s="171"/>
      <c r="AG26" s="171"/>
      <c r="AH26" s="171"/>
    </row>
    <row r="27" spans="3:34" s="230" customFormat="1" hidden="1">
      <c r="C27" s="994"/>
      <c r="D27" s="173" t="str">
        <f>IF(Indice_index!$Z$1=1,"junho","June")</f>
        <v>junho</v>
      </c>
      <c r="E27" s="173">
        <v>392161</v>
      </c>
      <c r="F27" s="173">
        <v>75379</v>
      </c>
      <c r="G27" s="173">
        <v>141509</v>
      </c>
      <c r="H27" s="173">
        <v>609049</v>
      </c>
      <c r="I27" s="172">
        <v>1168.9000000000001</v>
      </c>
      <c r="K27" s="173">
        <v>522518</v>
      </c>
      <c r="R27" s="50"/>
      <c r="S27" s="50"/>
      <c r="T27" s="50"/>
      <c r="U27" s="171"/>
      <c r="V27" s="171"/>
      <c r="W27" s="171"/>
      <c r="X27" s="171"/>
      <c r="Y27" s="171"/>
      <c r="Z27" s="171"/>
      <c r="AA27" s="171"/>
      <c r="AB27" s="171"/>
      <c r="AC27" s="171"/>
      <c r="AD27" s="171"/>
      <c r="AE27" s="171"/>
      <c r="AF27" s="171"/>
      <c r="AG27" s="171"/>
      <c r="AH27" s="171"/>
    </row>
    <row r="28" spans="3:34" s="230" customFormat="1" hidden="1">
      <c r="C28" s="994"/>
      <c r="D28" s="173" t="str">
        <f>IF(Indice_index!$Z$1=1,"julho","July")</f>
        <v>julho</v>
      </c>
      <c r="E28" s="173">
        <v>392681</v>
      </c>
      <c r="F28" s="173">
        <v>75366</v>
      </c>
      <c r="G28" s="173">
        <v>141588</v>
      </c>
      <c r="H28" s="173">
        <v>609635</v>
      </c>
      <c r="I28" s="172">
        <v>1455.6</v>
      </c>
      <c r="K28" s="173">
        <v>520906</v>
      </c>
      <c r="R28" s="50"/>
      <c r="S28" s="50"/>
      <c r="T28" s="50"/>
      <c r="U28" s="171"/>
      <c r="V28" s="171"/>
      <c r="W28" s="171"/>
      <c r="X28" s="171"/>
      <c r="Y28" s="171"/>
      <c r="Z28" s="171"/>
      <c r="AA28" s="171"/>
      <c r="AB28" s="171"/>
      <c r="AC28" s="171"/>
      <c r="AD28" s="171"/>
      <c r="AE28" s="171"/>
      <c r="AF28" s="171"/>
      <c r="AG28" s="171"/>
      <c r="AH28" s="171"/>
    </row>
    <row r="29" spans="3:34" s="230" customFormat="1" hidden="1">
      <c r="C29" s="994"/>
      <c r="D29" s="173" t="str">
        <f>IF(Indice_index!$Z$1=1,"agosto","August")</f>
        <v>agosto</v>
      </c>
      <c r="E29" s="173">
        <v>392934</v>
      </c>
      <c r="F29" s="173">
        <v>75334</v>
      </c>
      <c r="G29" s="173">
        <v>141928</v>
      </c>
      <c r="H29" s="173">
        <v>610196</v>
      </c>
      <c r="I29" s="172">
        <v>1170</v>
      </c>
      <c r="K29" s="173">
        <v>518485</v>
      </c>
      <c r="R29" s="50"/>
      <c r="S29" s="50"/>
      <c r="T29" s="50"/>
      <c r="U29" s="171"/>
      <c r="V29" s="171"/>
      <c r="W29" s="171"/>
      <c r="X29" s="171"/>
      <c r="Y29" s="171"/>
      <c r="Z29" s="171"/>
      <c r="AA29" s="171"/>
      <c r="AB29" s="171"/>
      <c r="AC29" s="171"/>
      <c r="AD29" s="171"/>
      <c r="AE29" s="171"/>
      <c r="AF29" s="171"/>
      <c r="AG29" s="171"/>
      <c r="AH29" s="171"/>
    </row>
    <row r="30" spans="3:34" s="230" customFormat="1" hidden="1">
      <c r="C30" s="994"/>
      <c r="D30" s="173" t="str">
        <f>IF(Indice_index!$Z$1=1,"setembro","September")</f>
        <v>setembro</v>
      </c>
      <c r="E30" s="173">
        <v>393003</v>
      </c>
      <c r="F30" s="173">
        <v>75221</v>
      </c>
      <c r="G30" s="173">
        <v>141747</v>
      </c>
      <c r="H30" s="173">
        <v>609971</v>
      </c>
      <c r="I30" s="172">
        <v>1168.3</v>
      </c>
      <c r="K30" s="173">
        <v>514324</v>
      </c>
      <c r="R30" s="50"/>
      <c r="S30" s="50"/>
      <c r="T30" s="50"/>
      <c r="U30" s="171"/>
      <c r="V30" s="171"/>
      <c r="W30" s="171"/>
      <c r="X30" s="171"/>
      <c r="Y30" s="171"/>
      <c r="Z30" s="171"/>
      <c r="AA30" s="171"/>
      <c r="AB30" s="171"/>
      <c r="AC30" s="171"/>
      <c r="AD30" s="171"/>
      <c r="AE30" s="171"/>
      <c r="AF30" s="171"/>
      <c r="AG30" s="171"/>
      <c r="AH30" s="171"/>
    </row>
    <row r="31" spans="3:34" s="230" customFormat="1" hidden="1">
      <c r="C31" s="994"/>
      <c r="D31" s="173" t="str">
        <f>IF(Indice_index!$Z$1=1,"outubro","October")</f>
        <v>outubro</v>
      </c>
      <c r="E31" s="173">
        <v>393366</v>
      </c>
      <c r="F31" s="173">
        <v>75145</v>
      </c>
      <c r="G31" s="173">
        <v>141879</v>
      </c>
      <c r="H31" s="173">
        <v>610390</v>
      </c>
      <c r="I31" s="172">
        <v>1191.9000000000001</v>
      </c>
      <c r="K31" s="173">
        <v>512853</v>
      </c>
      <c r="R31" s="50"/>
      <c r="S31" s="50"/>
      <c r="T31" s="50"/>
      <c r="U31" s="171"/>
      <c r="V31" s="171"/>
      <c r="W31" s="171"/>
      <c r="X31" s="171"/>
      <c r="Y31" s="171"/>
      <c r="Z31" s="171"/>
      <c r="AA31" s="171"/>
      <c r="AB31" s="171"/>
      <c r="AC31" s="171"/>
      <c r="AD31" s="171"/>
      <c r="AE31" s="171"/>
      <c r="AF31" s="171"/>
      <c r="AG31" s="171"/>
      <c r="AH31" s="171"/>
    </row>
    <row r="32" spans="3:34" s="230" customFormat="1" hidden="1">
      <c r="C32" s="994"/>
      <c r="D32" s="173" t="str">
        <f>IF(Indice_index!$Z$1=1,"novembro","November")</f>
        <v>novembro</v>
      </c>
      <c r="E32" s="173">
        <v>394675</v>
      </c>
      <c r="F32" s="173">
        <v>75318</v>
      </c>
      <c r="G32" s="173">
        <v>142341</v>
      </c>
      <c r="H32" s="173">
        <v>612334</v>
      </c>
      <c r="I32" s="172">
        <v>1947.9</v>
      </c>
      <c r="K32" s="173">
        <v>511640</v>
      </c>
      <c r="R32" s="50"/>
      <c r="S32" s="50"/>
      <c r="T32" s="50"/>
      <c r="U32" s="171"/>
      <c r="V32" s="171"/>
      <c r="W32" s="171"/>
      <c r="X32" s="171"/>
      <c r="Y32" s="171"/>
      <c r="Z32" s="171"/>
      <c r="AA32" s="171"/>
      <c r="AB32" s="171"/>
      <c r="AC32" s="171"/>
      <c r="AD32" s="171"/>
      <c r="AE32" s="171"/>
      <c r="AF32" s="171"/>
      <c r="AG32" s="171"/>
      <c r="AH32" s="171"/>
    </row>
    <row r="33" spans="3:34" s="230" customFormat="1" hidden="1">
      <c r="C33" s="994"/>
      <c r="D33" s="173" t="str">
        <f>IF(Indice_index!$Z$1=1,"dezembro","December")</f>
        <v>dezembro</v>
      </c>
      <c r="E33" s="173">
        <v>395901</v>
      </c>
      <c r="F33" s="173">
        <v>75248</v>
      </c>
      <c r="G33" s="173">
        <v>142747</v>
      </c>
      <c r="H33" s="173">
        <v>613896</v>
      </c>
      <c r="I33" s="172">
        <v>1179.4000000000001</v>
      </c>
      <c r="K33" s="173">
        <v>509869</v>
      </c>
      <c r="R33" s="50"/>
      <c r="S33" s="50"/>
      <c r="T33" s="50"/>
      <c r="U33" s="171"/>
      <c r="V33" s="171"/>
      <c r="W33" s="171"/>
      <c r="X33" s="171"/>
      <c r="Y33" s="171"/>
      <c r="Z33" s="171"/>
      <c r="AA33" s="171"/>
      <c r="AB33" s="171"/>
      <c r="AC33" s="171"/>
      <c r="AD33" s="171"/>
      <c r="AE33" s="171"/>
      <c r="AF33" s="171"/>
      <c r="AG33" s="171"/>
      <c r="AH33" s="171"/>
    </row>
    <row r="34" spans="3:34" s="230" customFormat="1" hidden="1">
      <c r="C34" s="993" t="s">
        <v>12</v>
      </c>
      <c r="D34" s="173"/>
      <c r="E34" s="173"/>
      <c r="F34" s="173"/>
      <c r="G34" s="173"/>
      <c r="H34" s="173"/>
      <c r="I34" s="172"/>
      <c r="K34" s="172"/>
      <c r="R34" s="50"/>
      <c r="S34" s="50"/>
      <c r="T34" s="50"/>
      <c r="U34" s="171"/>
      <c r="V34" s="171"/>
      <c r="W34" s="171"/>
      <c r="X34" s="171"/>
      <c r="Y34" s="171"/>
      <c r="Z34" s="171"/>
      <c r="AA34" s="171"/>
      <c r="AB34" s="171"/>
      <c r="AC34" s="171"/>
      <c r="AD34" s="171"/>
      <c r="AE34" s="171"/>
      <c r="AF34" s="171"/>
      <c r="AG34" s="171"/>
      <c r="AH34" s="171"/>
    </row>
    <row r="35" spans="3:34" s="230" customFormat="1" hidden="1">
      <c r="C35" s="994"/>
      <c r="D35" s="173" t="str">
        <f>IF(Indice_index!$Z$1=1,"janeiro","January")</f>
        <v>janeiro</v>
      </c>
      <c r="E35" s="173">
        <v>396763</v>
      </c>
      <c r="F35" s="173">
        <v>75359</v>
      </c>
      <c r="G35" s="173">
        <v>142835</v>
      </c>
      <c r="H35" s="173">
        <v>614957</v>
      </c>
      <c r="I35" s="172">
        <v>1186.4000000000001</v>
      </c>
      <c r="K35" s="173">
        <v>506394</v>
      </c>
      <c r="R35" s="50"/>
      <c r="S35" s="50"/>
      <c r="T35" s="50"/>
      <c r="U35" s="171"/>
      <c r="V35" s="171"/>
      <c r="W35" s="171"/>
      <c r="X35" s="171"/>
      <c r="Y35" s="171"/>
      <c r="Z35" s="171"/>
      <c r="AA35" s="171"/>
      <c r="AB35" s="171"/>
      <c r="AC35" s="171"/>
      <c r="AD35" s="171"/>
      <c r="AE35" s="171"/>
      <c r="AF35" s="171"/>
      <c r="AG35" s="171"/>
      <c r="AH35" s="171"/>
    </row>
    <row r="36" spans="3:34" s="230" customFormat="1" hidden="1">
      <c r="C36" s="994"/>
      <c r="D36" s="173" t="str">
        <f>IF(Indice_index!$Z$1=1,"fevereiro","February")</f>
        <v>fevereiro</v>
      </c>
      <c r="E36" s="173">
        <v>397263</v>
      </c>
      <c r="F36" s="173">
        <v>75266</v>
      </c>
      <c r="G36" s="173">
        <v>142920</v>
      </c>
      <c r="H36" s="173">
        <v>615449</v>
      </c>
      <c r="I36" s="172">
        <v>1159.7</v>
      </c>
      <c r="K36" s="173">
        <v>504549</v>
      </c>
      <c r="R36" s="50"/>
      <c r="S36" s="50"/>
      <c r="T36" s="50"/>
      <c r="U36" s="171"/>
      <c r="V36" s="171"/>
      <c r="W36" s="171"/>
      <c r="X36" s="171"/>
      <c r="Y36" s="171"/>
      <c r="Z36" s="171"/>
      <c r="AA36" s="171"/>
      <c r="AB36" s="171"/>
      <c r="AC36" s="171"/>
      <c r="AD36" s="171"/>
      <c r="AE36" s="171"/>
      <c r="AF36" s="171"/>
      <c r="AG36" s="171"/>
      <c r="AH36" s="171"/>
    </row>
    <row r="37" spans="3:34" s="230" customFormat="1" hidden="1">
      <c r="C37" s="994"/>
      <c r="D37" s="173" t="str">
        <f>IF(Indice_index!$Z$1=1,"março","March")</f>
        <v>março</v>
      </c>
      <c r="E37" s="173">
        <v>397932</v>
      </c>
      <c r="F37" s="173">
        <v>75141</v>
      </c>
      <c r="G37" s="173">
        <v>143128</v>
      </c>
      <c r="H37" s="173">
        <v>616201</v>
      </c>
      <c r="I37" s="172">
        <v>1159.0999999999999</v>
      </c>
      <c r="K37" s="173">
        <v>502632</v>
      </c>
      <c r="R37" s="50"/>
      <c r="S37" s="50"/>
      <c r="T37" s="50"/>
      <c r="U37" s="171"/>
      <c r="V37" s="171"/>
      <c r="W37" s="171"/>
      <c r="X37" s="171"/>
      <c r="Y37" s="171"/>
      <c r="Z37" s="171"/>
      <c r="AA37" s="171"/>
      <c r="AB37" s="171"/>
      <c r="AC37" s="171"/>
      <c r="AD37" s="171"/>
      <c r="AE37" s="171"/>
      <c r="AF37" s="171"/>
      <c r="AG37" s="171"/>
      <c r="AH37" s="171"/>
    </row>
    <row r="38" spans="3:34" s="230" customFormat="1" hidden="1">
      <c r="C38" s="994"/>
      <c r="D38" s="173" t="str">
        <f>IF(Indice_index!$Z$1=1,"abril","April")</f>
        <v>abril</v>
      </c>
      <c r="E38" s="173">
        <v>398439</v>
      </c>
      <c r="F38" s="173">
        <v>75278</v>
      </c>
      <c r="G38" s="173">
        <v>143389</v>
      </c>
      <c r="H38" s="173">
        <v>617106</v>
      </c>
      <c r="I38" s="172">
        <v>1162.0999999999999</v>
      </c>
      <c r="K38" s="173">
        <v>500432</v>
      </c>
      <c r="R38" s="50"/>
      <c r="S38" s="50"/>
      <c r="T38" s="50"/>
      <c r="U38" s="171"/>
      <c r="V38" s="171"/>
      <c r="W38" s="171"/>
      <c r="X38" s="171"/>
      <c r="Y38" s="171"/>
      <c r="Z38" s="171"/>
      <c r="AA38" s="171"/>
      <c r="AB38" s="171"/>
      <c r="AC38" s="171"/>
      <c r="AD38" s="171"/>
      <c r="AE38" s="171"/>
      <c r="AF38" s="171"/>
      <c r="AG38" s="171"/>
      <c r="AH38" s="171"/>
    </row>
    <row r="39" spans="3:34" s="230" customFormat="1" hidden="1">
      <c r="C39" s="994"/>
      <c r="D39" s="173" t="str">
        <f>IF(Indice_index!$Z$1=1,"maio","May")</f>
        <v>maio</v>
      </c>
      <c r="E39" s="173">
        <v>399256</v>
      </c>
      <c r="F39" s="173">
        <v>75235</v>
      </c>
      <c r="G39" s="173">
        <v>143535</v>
      </c>
      <c r="H39" s="173">
        <v>618026</v>
      </c>
      <c r="I39" s="172">
        <v>1157.7</v>
      </c>
      <c r="K39" s="173">
        <v>498495</v>
      </c>
      <c r="R39" s="50"/>
      <c r="S39" s="50"/>
      <c r="T39" s="50"/>
      <c r="U39" s="171"/>
      <c r="V39" s="171"/>
      <c r="W39" s="171"/>
      <c r="X39" s="171"/>
      <c r="Y39" s="171"/>
      <c r="Z39" s="171"/>
      <c r="AA39" s="171"/>
      <c r="AB39" s="171"/>
      <c r="AC39" s="171"/>
      <c r="AD39" s="171"/>
      <c r="AE39" s="171"/>
      <c r="AF39" s="171"/>
      <c r="AG39" s="171"/>
      <c r="AH39" s="171"/>
    </row>
    <row r="40" spans="3:34" s="230" customFormat="1" hidden="1">
      <c r="C40" s="994"/>
      <c r="D40" s="173" t="str">
        <f>IF(Indice_index!$Z$1=1,"junho","June")</f>
        <v>junho</v>
      </c>
      <c r="E40" s="173">
        <v>400007</v>
      </c>
      <c r="F40" s="173">
        <v>75203</v>
      </c>
      <c r="G40" s="173">
        <v>143766</v>
      </c>
      <c r="H40" s="173">
        <v>618976</v>
      </c>
      <c r="I40" s="172">
        <v>1158.5</v>
      </c>
      <c r="K40" s="173">
        <v>496204</v>
      </c>
      <c r="R40" s="50"/>
      <c r="S40" s="50"/>
      <c r="T40" s="50"/>
      <c r="U40" s="171"/>
      <c r="V40" s="171"/>
      <c r="W40" s="171"/>
      <c r="X40" s="171"/>
      <c r="Y40" s="171"/>
      <c r="Z40" s="171"/>
      <c r="AA40" s="171"/>
      <c r="AB40" s="171"/>
      <c r="AC40" s="171"/>
      <c r="AD40" s="171"/>
      <c r="AE40" s="171"/>
      <c r="AF40" s="171"/>
      <c r="AG40" s="171"/>
      <c r="AH40" s="171"/>
    </row>
    <row r="41" spans="3:34" s="230" customFormat="1" hidden="1">
      <c r="C41" s="994"/>
      <c r="D41" s="173" t="str">
        <f>IF(Indice_index!$Z$1=1,"julho","July")</f>
        <v>julho</v>
      </c>
      <c r="E41" s="173">
        <v>401116</v>
      </c>
      <c r="F41" s="173">
        <v>75124</v>
      </c>
      <c r="G41" s="173">
        <v>156493</v>
      </c>
      <c r="H41" s="173">
        <v>632733</v>
      </c>
      <c r="I41" s="172">
        <v>2155.4</v>
      </c>
      <c r="K41" s="173">
        <v>493968</v>
      </c>
      <c r="R41" s="50"/>
      <c r="S41" s="50"/>
      <c r="T41" s="50"/>
      <c r="U41" s="171"/>
      <c r="V41" s="171"/>
      <c r="W41" s="171"/>
      <c r="X41" s="171"/>
      <c r="Y41" s="171"/>
      <c r="Z41" s="171"/>
      <c r="AA41" s="171"/>
      <c r="AB41" s="171"/>
      <c r="AC41" s="171"/>
      <c r="AD41" s="171"/>
      <c r="AE41" s="171"/>
      <c r="AF41" s="171"/>
      <c r="AG41" s="171"/>
      <c r="AH41" s="171"/>
    </row>
    <row r="42" spans="3:34" s="230" customFormat="1" hidden="1">
      <c r="C42" s="994"/>
      <c r="D42" s="173" t="str">
        <f>IF(Indice_index!$Z$1=1,"agosto","August")</f>
        <v>agosto</v>
      </c>
      <c r="E42" s="173">
        <v>403188</v>
      </c>
      <c r="F42" s="173">
        <v>75226</v>
      </c>
      <c r="G42" s="173">
        <v>156768</v>
      </c>
      <c r="H42" s="173">
        <v>635182</v>
      </c>
      <c r="I42" s="172">
        <v>1185.7</v>
      </c>
      <c r="K42" s="173">
        <v>492048</v>
      </c>
      <c r="R42" s="50"/>
      <c r="S42" s="50"/>
      <c r="T42" s="50"/>
      <c r="U42" s="171"/>
      <c r="V42" s="171"/>
      <c r="W42" s="171"/>
      <c r="X42" s="171"/>
      <c r="Y42" s="171"/>
      <c r="Z42" s="171"/>
      <c r="AA42" s="171"/>
      <c r="AB42" s="171"/>
      <c r="AC42" s="171"/>
      <c r="AD42" s="171"/>
      <c r="AE42" s="171"/>
      <c r="AF42" s="171"/>
      <c r="AG42" s="171"/>
      <c r="AH42" s="171"/>
    </row>
    <row r="43" spans="3:34" s="230" customFormat="1" hidden="1">
      <c r="C43" s="994"/>
      <c r="D43" s="173" t="str">
        <f>IF(Indice_index!$Z$1=1,"setembro","September")</f>
        <v>setembro</v>
      </c>
      <c r="E43" s="173">
        <v>404943</v>
      </c>
      <c r="F43" s="173">
        <v>75323</v>
      </c>
      <c r="G43" s="173">
        <v>156636</v>
      </c>
      <c r="H43" s="173">
        <v>636902</v>
      </c>
      <c r="I43" s="172">
        <v>1141.7</v>
      </c>
      <c r="K43" s="173">
        <v>488783</v>
      </c>
      <c r="R43" s="50"/>
      <c r="S43" s="50"/>
      <c r="T43" s="50"/>
      <c r="U43" s="171"/>
      <c r="V43" s="171"/>
      <c r="W43" s="171"/>
      <c r="X43" s="171"/>
      <c r="Y43" s="171"/>
      <c r="Z43" s="171"/>
      <c r="AA43" s="171"/>
      <c r="AB43" s="171"/>
      <c r="AC43" s="171"/>
      <c r="AD43" s="171"/>
      <c r="AE43" s="171"/>
      <c r="AF43" s="171"/>
      <c r="AG43" s="171"/>
      <c r="AH43" s="171"/>
    </row>
    <row r="44" spans="3:34" s="230" customFormat="1" hidden="1">
      <c r="C44" s="994"/>
      <c r="D44" s="173" t="str">
        <f>IF(Indice_index!$Z$1=1,"outubro","October")</f>
        <v>outubro</v>
      </c>
      <c r="E44" s="173">
        <v>405843</v>
      </c>
      <c r="F44" s="173">
        <v>75237</v>
      </c>
      <c r="G44" s="173">
        <v>156863</v>
      </c>
      <c r="H44" s="173">
        <v>637943</v>
      </c>
      <c r="I44" s="172">
        <v>1151.4000000000001</v>
      </c>
      <c r="K44" s="173">
        <v>487328</v>
      </c>
      <c r="R44" s="50"/>
      <c r="S44" s="50"/>
      <c r="T44" s="50"/>
      <c r="U44" s="171"/>
      <c r="V44" s="171"/>
      <c r="W44" s="171"/>
      <c r="X44" s="171"/>
      <c r="Y44" s="171"/>
      <c r="Z44" s="171"/>
      <c r="AA44" s="171"/>
      <c r="AB44" s="171"/>
      <c r="AC44" s="171"/>
      <c r="AD44" s="171"/>
      <c r="AE44" s="171"/>
      <c r="AF44" s="171"/>
      <c r="AG44" s="171"/>
      <c r="AH44" s="171"/>
    </row>
    <row r="45" spans="3:34" s="230" customFormat="1" hidden="1">
      <c r="C45" s="994"/>
      <c r="D45" s="173" t="str">
        <f>IF(Indice_index!$Z$1=1,"novembro","November")</f>
        <v>novembro</v>
      </c>
      <c r="E45" s="173">
        <v>406835</v>
      </c>
      <c r="F45" s="173">
        <v>75169</v>
      </c>
      <c r="G45" s="173">
        <v>157124</v>
      </c>
      <c r="H45" s="173">
        <v>639128</v>
      </c>
      <c r="I45" s="172">
        <v>1146.0999999999999</v>
      </c>
      <c r="K45" s="173">
        <v>485819</v>
      </c>
      <c r="R45" s="50"/>
      <c r="S45" s="50"/>
      <c r="T45" s="50"/>
      <c r="U45" s="171"/>
      <c r="V45" s="171"/>
      <c r="W45" s="171"/>
      <c r="X45" s="171"/>
      <c r="Y45" s="171"/>
      <c r="Z45" s="171"/>
      <c r="AA45" s="171"/>
      <c r="AB45" s="171"/>
      <c r="AC45" s="171"/>
      <c r="AD45" s="171"/>
      <c r="AE45" s="171"/>
      <c r="AF45" s="171"/>
      <c r="AG45" s="171"/>
      <c r="AH45" s="171"/>
    </row>
    <row r="46" spans="3:34" s="230" customFormat="1" hidden="1">
      <c r="C46" s="994"/>
      <c r="D46" s="173" t="str">
        <f>IF(Indice_index!$Z$1=1,"dezembro","December")</f>
        <v>dezembro</v>
      </c>
      <c r="E46" s="173">
        <v>407620</v>
      </c>
      <c r="F46" s="173">
        <v>75086</v>
      </c>
      <c r="G46" s="173">
        <v>157273</v>
      </c>
      <c r="H46" s="173">
        <v>639979</v>
      </c>
      <c r="I46" s="172">
        <v>1187.0999999999999</v>
      </c>
      <c r="K46" s="173">
        <v>484526</v>
      </c>
      <c r="R46" s="50"/>
      <c r="S46" s="50"/>
      <c r="T46" s="50"/>
      <c r="U46" s="171"/>
      <c r="V46" s="171"/>
      <c r="W46" s="171"/>
      <c r="X46" s="171"/>
      <c r="Y46" s="171"/>
      <c r="Z46" s="171"/>
      <c r="AA46" s="171"/>
      <c r="AB46" s="171"/>
      <c r="AC46" s="171"/>
      <c r="AD46" s="171"/>
      <c r="AE46" s="171"/>
      <c r="AF46" s="171"/>
      <c r="AG46" s="171"/>
      <c r="AH46" s="171"/>
    </row>
    <row r="47" spans="3:34" s="230" customFormat="1" hidden="1">
      <c r="C47" s="993" t="s">
        <v>13</v>
      </c>
      <c r="D47" s="173"/>
      <c r="E47" s="173"/>
      <c r="F47" s="173"/>
      <c r="G47" s="173"/>
      <c r="H47" s="173"/>
      <c r="I47" s="172"/>
      <c r="K47" s="173"/>
      <c r="R47" s="50"/>
      <c r="S47" s="50"/>
      <c r="T47" s="50"/>
      <c r="U47" s="171"/>
      <c r="V47" s="171"/>
      <c r="W47" s="171"/>
      <c r="X47" s="171"/>
      <c r="Y47" s="171"/>
      <c r="Z47" s="171"/>
      <c r="AA47" s="171"/>
      <c r="AB47" s="171"/>
      <c r="AC47" s="171"/>
      <c r="AD47" s="171"/>
      <c r="AE47" s="171"/>
      <c r="AF47" s="171"/>
      <c r="AG47" s="171"/>
      <c r="AH47" s="171"/>
    </row>
    <row r="48" spans="3:34" s="230" customFormat="1" hidden="1">
      <c r="C48" s="994"/>
      <c r="D48" s="173" t="str">
        <f>IF(Indice_index!$Z$1=1,"janeiro","January")</f>
        <v>janeiro</v>
      </c>
      <c r="E48" s="173">
        <v>408667</v>
      </c>
      <c r="F48" s="173">
        <v>75024</v>
      </c>
      <c r="G48" s="173">
        <v>157314</v>
      </c>
      <c r="H48" s="173">
        <v>641005</v>
      </c>
      <c r="I48" s="172">
        <v>1164.4000000000001</v>
      </c>
      <c r="K48" s="173">
        <v>482823</v>
      </c>
      <c r="R48" s="50"/>
      <c r="S48" s="50"/>
      <c r="T48" s="50"/>
      <c r="U48" s="171"/>
      <c r="V48" s="171"/>
      <c r="W48" s="171"/>
      <c r="X48" s="171"/>
      <c r="Y48" s="171"/>
      <c r="Z48" s="171"/>
      <c r="AA48" s="171"/>
      <c r="AB48" s="171"/>
      <c r="AC48" s="171"/>
      <c r="AD48" s="171"/>
      <c r="AE48" s="171"/>
      <c r="AF48" s="171"/>
      <c r="AG48" s="171"/>
      <c r="AH48" s="171"/>
    </row>
    <row r="49" spans="3:34" s="230" customFormat="1" hidden="1">
      <c r="C49" s="994"/>
      <c r="D49" s="173" t="str">
        <f>IF(Indice_index!$Z$1=1,"fevereiro","February")</f>
        <v>fevereiro</v>
      </c>
      <c r="E49" s="173">
        <v>409396</v>
      </c>
      <c r="F49" s="173">
        <v>74874</v>
      </c>
      <c r="G49" s="173">
        <v>157126</v>
      </c>
      <c r="H49" s="173">
        <v>641396</v>
      </c>
      <c r="I49" s="172">
        <v>1145.4000000000001</v>
      </c>
      <c r="K49" s="173">
        <v>482096</v>
      </c>
      <c r="R49" s="50"/>
      <c r="S49" s="50"/>
      <c r="T49" s="50"/>
      <c r="U49" s="171"/>
      <c r="V49" s="171"/>
      <c r="W49" s="171"/>
      <c r="X49" s="171"/>
      <c r="Y49" s="171"/>
      <c r="Z49" s="171"/>
      <c r="AA49" s="171"/>
      <c r="AB49" s="171"/>
      <c r="AC49" s="171"/>
      <c r="AD49" s="171"/>
      <c r="AE49" s="171"/>
      <c r="AF49" s="171"/>
      <c r="AG49" s="171"/>
      <c r="AH49" s="171"/>
    </row>
    <row r="50" spans="3:34" s="230" customFormat="1" hidden="1">
      <c r="C50" s="994"/>
      <c r="D50" s="173" t="str">
        <f>IF(Indice_index!$Z$1=1,"março","March")</f>
        <v>março</v>
      </c>
      <c r="E50" s="173">
        <v>410091</v>
      </c>
      <c r="F50" s="173">
        <v>74722</v>
      </c>
      <c r="G50" s="173">
        <v>156983</v>
      </c>
      <c r="H50" s="173">
        <v>641796</v>
      </c>
      <c r="I50" s="172">
        <v>1145.5999999999999</v>
      </c>
      <c r="K50" s="173">
        <v>481344</v>
      </c>
      <c r="R50" s="50"/>
      <c r="S50" s="50"/>
      <c r="T50" s="50"/>
      <c r="U50" s="171"/>
      <c r="V50" s="171"/>
      <c r="W50" s="171"/>
      <c r="X50" s="171"/>
      <c r="Y50" s="171"/>
      <c r="Z50" s="171"/>
      <c r="AA50" s="171"/>
      <c r="AB50" s="171"/>
      <c r="AC50" s="171"/>
      <c r="AD50" s="171"/>
      <c r="AE50" s="171"/>
      <c r="AF50" s="171"/>
      <c r="AG50" s="171"/>
      <c r="AH50" s="171"/>
    </row>
    <row r="51" spans="3:34" s="230" customFormat="1" hidden="1">
      <c r="C51" s="994"/>
      <c r="D51" s="173" t="str">
        <f>IF(Indice_index!$Z$1=1,"abril","April")</f>
        <v>abril</v>
      </c>
      <c r="E51" s="173">
        <v>410488</v>
      </c>
      <c r="F51" s="173">
        <v>74660</v>
      </c>
      <c r="G51" s="173">
        <v>157177</v>
      </c>
      <c r="H51" s="173">
        <v>642325</v>
      </c>
      <c r="I51" s="172">
        <v>1151</v>
      </c>
      <c r="K51" s="173">
        <v>480229</v>
      </c>
      <c r="R51" s="50"/>
      <c r="S51" s="50"/>
      <c r="T51" s="50"/>
      <c r="U51" s="171"/>
      <c r="V51" s="171"/>
      <c r="W51" s="171"/>
      <c r="X51" s="171"/>
      <c r="Y51" s="171"/>
      <c r="Z51" s="171"/>
      <c r="AA51" s="171"/>
      <c r="AB51" s="171"/>
      <c r="AC51" s="171"/>
      <c r="AD51" s="171"/>
      <c r="AE51" s="171"/>
      <c r="AF51" s="171"/>
      <c r="AG51" s="171"/>
      <c r="AH51" s="171"/>
    </row>
    <row r="52" spans="3:34" s="230" customFormat="1" hidden="1">
      <c r="C52" s="994"/>
      <c r="D52" s="173" t="str">
        <f>IF(Indice_index!$Z$1=1,"maio","May")</f>
        <v>maio</v>
      </c>
      <c r="E52" s="173">
        <v>411009</v>
      </c>
      <c r="F52" s="173">
        <v>74591</v>
      </c>
      <c r="G52" s="173">
        <v>158931</v>
      </c>
      <c r="H52" s="173">
        <v>644531</v>
      </c>
      <c r="I52" s="172">
        <v>1145.7</v>
      </c>
      <c r="K52" s="173">
        <v>479986</v>
      </c>
      <c r="R52" s="50"/>
      <c r="S52" s="50"/>
      <c r="T52" s="50"/>
      <c r="U52" s="171"/>
      <c r="V52" s="171"/>
      <c r="W52" s="171"/>
      <c r="X52" s="171"/>
      <c r="Y52" s="171"/>
      <c r="Z52" s="171"/>
      <c r="AA52" s="171"/>
      <c r="AB52" s="171"/>
      <c r="AC52" s="171"/>
      <c r="AD52" s="171"/>
      <c r="AE52" s="171"/>
      <c r="AF52" s="171"/>
      <c r="AG52" s="171"/>
      <c r="AH52" s="171"/>
    </row>
    <row r="53" spans="3:34" s="230" customFormat="1" hidden="1">
      <c r="C53" s="994"/>
      <c r="D53" s="173" t="str">
        <f>IF(Indice_index!$Z$1=1,"junho","June")</f>
        <v>junho</v>
      </c>
      <c r="E53" s="173">
        <v>411477</v>
      </c>
      <c r="F53" s="173">
        <v>74573</v>
      </c>
      <c r="G53" s="173">
        <v>159067</v>
      </c>
      <c r="H53" s="173">
        <v>645117</v>
      </c>
      <c r="I53" s="172">
        <v>1144</v>
      </c>
      <c r="K53" s="173">
        <v>479407</v>
      </c>
      <c r="R53" s="50"/>
      <c r="S53" s="50"/>
      <c r="T53" s="50"/>
      <c r="U53" s="171"/>
      <c r="V53" s="171"/>
      <c r="W53" s="171"/>
      <c r="X53" s="171"/>
      <c r="Y53" s="171"/>
      <c r="Z53" s="171"/>
      <c r="AA53" s="171"/>
      <c r="AB53" s="171"/>
      <c r="AC53" s="171"/>
      <c r="AD53" s="171"/>
      <c r="AE53" s="171"/>
      <c r="AF53" s="171"/>
      <c r="AG53" s="171"/>
      <c r="AH53" s="171"/>
    </row>
    <row r="54" spans="3:34" s="230" customFormat="1" hidden="1">
      <c r="C54" s="994"/>
      <c r="D54" s="173" t="str">
        <f>IF(Indice_index!$Z$1=1,"julho","July")</f>
        <v>julho</v>
      </c>
      <c r="E54" s="173">
        <v>411370</v>
      </c>
      <c r="F54" s="173">
        <v>74549</v>
      </c>
      <c r="G54" s="173">
        <v>159339</v>
      </c>
      <c r="H54" s="173">
        <v>645258</v>
      </c>
      <c r="I54" s="172">
        <v>2159.5</v>
      </c>
      <c r="K54" s="173">
        <v>478593</v>
      </c>
      <c r="R54" s="50"/>
      <c r="S54" s="50"/>
      <c r="T54" s="50"/>
      <c r="U54" s="171"/>
      <c r="V54" s="171"/>
      <c r="W54" s="171"/>
      <c r="X54" s="171"/>
      <c r="Y54" s="171"/>
      <c r="Z54" s="171"/>
      <c r="AA54" s="171"/>
      <c r="AB54" s="171"/>
      <c r="AC54" s="171"/>
      <c r="AD54" s="171"/>
      <c r="AE54" s="171"/>
      <c r="AF54" s="171"/>
      <c r="AG54" s="171"/>
      <c r="AH54" s="171"/>
    </row>
    <row r="55" spans="3:34" s="230" customFormat="1" hidden="1">
      <c r="C55" s="994"/>
      <c r="D55" s="173" t="str">
        <f>IF(Indice_index!$Z$1=1,"agosto","August")</f>
        <v>agosto</v>
      </c>
      <c r="E55" s="173">
        <v>411859</v>
      </c>
      <c r="F55" s="173">
        <v>74524</v>
      </c>
      <c r="G55" s="173">
        <v>159580</v>
      </c>
      <c r="H55" s="173">
        <v>645963</v>
      </c>
      <c r="I55" s="172">
        <v>1142.5</v>
      </c>
      <c r="K55" s="173">
        <v>477503</v>
      </c>
      <c r="R55" s="50"/>
      <c r="S55" s="50"/>
      <c r="T55" s="50"/>
      <c r="U55" s="171"/>
      <c r="V55" s="171"/>
      <c r="W55" s="171"/>
      <c r="X55" s="171"/>
      <c r="Y55" s="171"/>
      <c r="Z55" s="171"/>
      <c r="AA55" s="171"/>
      <c r="AB55" s="171"/>
      <c r="AC55" s="171"/>
      <c r="AD55" s="171"/>
      <c r="AE55" s="171"/>
      <c r="AF55" s="171"/>
      <c r="AG55" s="171"/>
      <c r="AH55" s="171"/>
    </row>
    <row r="56" spans="3:34" s="230" customFormat="1" hidden="1">
      <c r="C56" s="994"/>
      <c r="D56" s="173" t="str">
        <f>IF(Indice_index!$Z$1=1,"setembro","September")</f>
        <v>setembro</v>
      </c>
      <c r="E56" s="173">
        <v>412056</v>
      </c>
      <c r="F56" s="173">
        <v>74525</v>
      </c>
      <c r="G56" s="173">
        <v>159606</v>
      </c>
      <c r="H56" s="173">
        <v>646187</v>
      </c>
      <c r="I56" s="172">
        <v>1143.3</v>
      </c>
      <c r="K56" s="173">
        <v>476137</v>
      </c>
      <c r="R56" s="50"/>
      <c r="S56" s="50"/>
      <c r="T56" s="50"/>
      <c r="U56" s="171"/>
      <c r="V56" s="171"/>
      <c r="W56" s="171"/>
      <c r="X56" s="171"/>
      <c r="Y56" s="171"/>
      <c r="Z56" s="171"/>
      <c r="AA56" s="171"/>
      <c r="AB56" s="171"/>
      <c r="AC56" s="171"/>
      <c r="AD56" s="171"/>
      <c r="AE56" s="171"/>
      <c r="AF56" s="171"/>
      <c r="AG56" s="171"/>
      <c r="AH56" s="171"/>
    </row>
    <row r="57" spans="3:34" s="230" customFormat="1" hidden="1">
      <c r="C57" s="994"/>
      <c r="D57" s="173" t="str">
        <f>IF(Indice_index!$Z$1=1,"outubro","October")</f>
        <v>outubro</v>
      </c>
      <c r="E57" s="173">
        <v>412131</v>
      </c>
      <c r="F57" s="173">
        <v>74487</v>
      </c>
      <c r="G57" s="173">
        <v>159530</v>
      </c>
      <c r="H57" s="173">
        <v>646148</v>
      </c>
      <c r="I57" s="172">
        <v>1152.2</v>
      </c>
      <c r="K57" s="173">
        <v>475241</v>
      </c>
      <c r="R57" s="50"/>
      <c r="S57" s="50"/>
      <c r="T57" s="50"/>
      <c r="U57" s="171"/>
      <c r="V57" s="171"/>
      <c r="W57" s="171"/>
      <c r="X57" s="171"/>
      <c r="Y57" s="171"/>
      <c r="Z57" s="171"/>
      <c r="AA57" s="171"/>
      <c r="AB57" s="171"/>
      <c r="AC57" s="171"/>
      <c r="AD57" s="171"/>
      <c r="AE57" s="171"/>
      <c r="AF57" s="171"/>
      <c r="AG57" s="171"/>
      <c r="AH57" s="171"/>
    </row>
    <row r="58" spans="3:34" s="230" customFormat="1" hidden="1">
      <c r="C58" s="994"/>
      <c r="D58" s="173" t="str">
        <f>IF(Indice_index!$Z$1=1,"novembro","November")</f>
        <v>novembro</v>
      </c>
      <c r="E58" s="173">
        <v>411979</v>
      </c>
      <c r="F58" s="173">
        <v>74393</v>
      </c>
      <c r="G58" s="173">
        <v>159755</v>
      </c>
      <c r="H58" s="173">
        <v>646127</v>
      </c>
      <c r="I58" s="172">
        <v>1141.4000000000001</v>
      </c>
      <c r="K58" s="173">
        <v>474462</v>
      </c>
      <c r="R58" s="50"/>
      <c r="S58" s="50"/>
      <c r="T58" s="50"/>
      <c r="U58" s="171"/>
      <c r="V58" s="171"/>
      <c r="W58" s="171"/>
      <c r="X58" s="171"/>
      <c r="Y58" s="171"/>
      <c r="Z58" s="171"/>
      <c r="AA58" s="171"/>
      <c r="AB58" s="171"/>
      <c r="AC58" s="171"/>
      <c r="AD58" s="171"/>
      <c r="AE58" s="171"/>
      <c r="AF58" s="171"/>
      <c r="AG58" s="171"/>
      <c r="AH58" s="171"/>
    </row>
    <row r="59" spans="3:34" s="230" customFormat="1" hidden="1">
      <c r="C59" s="994"/>
      <c r="D59" s="173" t="str">
        <f>IF(Indice_index!$Z$1=1,"dezembro","December")</f>
        <v>dezembro</v>
      </c>
      <c r="E59" s="173">
        <v>411870</v>
      </c>
      <c r="F59" s="173">
        <v>74399</v>
      </c>
      <c r="G59" s="173">
        <v>159924</v>
      </c>
      <c r="H59" s="173">
        <v>646193</v>
      </c>
      <c r="I59" s="172">
        <v>1108.3</v>
      </c>
      <c r="K59" s="173">
        <v>473446</v>
      </c>
      <c r="R59" s="50"/>
      <c r="S59" s="50"/>
      <c r="T59" s="50"/>
      <c r="U59" s="171"/>
      <c r="V59" s="171"/>
      <c r="W59" s="171"/>
      <c r="X59" s="171"/>
      <c r="Y59" s="171"/>
      <c r="Z59" s="171"/>
      <c r="AA59" s="171"/>
      <c r="AB59" s="171"/>
      <c r="AC59" s="171"/>
      <c r="AD59" s="171"/>
      <c r="AE59" s="171"/>
      <c r="AF59" s="171"/>
      <c r="AG59" s="171"/>
      <c r="AH59" s="171"/>
    </row>
    <row r="60" spans="3:34" s="230" customFormat="1" hidden="1">
      <c r="C60" s="995">
        <v>2016</v>
      </c>
      <c r="D60" s="173"/>
      <c r="E60" s="173"/>
      <c r="F60" s="173"/>
      <c r="G60" s="173"/>
      <c r="H60" s="173"/>
      <c r="I60" s="172"/>
      <c r="K60" s="173"/>
      <c r="R60" s="50"/>
      <c r="S60" s="50"/>
      <c r="T60" s="50"/>
      <c r="U60" s="171"/>
      <c r="V60" s="171"/>
      <c r="W60" s="171"/>
      <c r="X60" s="171"/>
      <c r="Y60" s="171"/>
      <c r="Z60" s="171"/>
      <c r="AA60" s="171"/>
      <c r="AB60" s="171"/>
      <c r="AC60" s="171"/>
      <c r="AD60" s="171"/>
      <c r="AE60" s="171"/>
      <c r="AF60" s="171"/>
      <c r="AG60" s="171"/>
      <c r="AH60" s="171"/>
    </row>
    <row r="61" spans="3:34" s="230" customFormat="1" hidden="1">
      <c r="C61" s="994"/>
      <c r="D61" s="173" t="str">
        <f>IF(Indice_index!$Z$1=1,"janeiro","January")</f>
        <v>janeiro</v>
      </c>
      <c r="E61" s="173">
        <v>411718</v>
      </c>
      <c r="F61" s="173">
        <v>74348</v>
      </c>
      <c r="G61" s="173">
        <v>159909</v>
      </c>
      <c r="H61" s="173">
        <v>645975</v>
      </c>
      <c r="I61" s="172">
        <v>1166.4000000000001</v>
      </c>
      <c r="J61" s="172"/>
      <c r="K61" s="173">
        <v>472236</v>
      </c>
      <c r="R61" s="50"/>
      <c r="S61" s="50"/>
      <c r="T61" s="50"/>
      <c r="U61" s="171"/>
      <c r="V61" s="171"/>
      <c r="W61" s="171"/>
      <c r="X61" s="171"/>
      <c r="Y61" s="171"/>
      <c r="Z61" s="171"/>
      <c r="AA61" s="171"/>
      <c r="AB61" s="171"/>
      <c r="AC61" s="171"/>
      <c r="AD61" s="171"/>
      <c r="AE61" s="171"/>
      <c r="AF61" s="171"/>
      <c r="AG61" s="171"/>
      <c r="AH61" s="171"/>
    </row>
    <row r="62" spans="3:34" s="230" customFormat="1" hidden="1">
      <c r="C62" s="994"/>
      <c r="D62" s="173" t="str">
        <f>IF(Indice_index!$Z$1=1,"fevereiro","February")</f>
        <v>fevereiro</v>
      </c>
      <c r="E62" s="173">
        <v>411422</v>
      </c>
      <c r="F62" s="173">
        <v>74216</v>
      </c>
      <c r="G62" s="173">
        <v>159832</v>
      </c>
      <c r="H62" s="173">
        <v>645470</v>
      </c>
      <c r="I62" s="172">
        <v>1174</v>
      </c>
      <c r="J62" s="172"/>
      <c r="K62" s="173">
        <v>471532</v>
      </c>
      <c r="R62" s="50"/>
      <c r="S62" s="50"/>
      <c r="T62" s="50"/>
      <c r="U62" s="171"/>
      <c r="V62" s="171"/>
      <c r="W62" s="171"/>
      <c r="X62" s="171"/>
      <c r="Y62" s="171"/>
      <c r="Z62" s="171"/>
      <c r="AA62" s="171"/>
      <c r="AB62" s="171"/>
      <c r="AC62" s="171"/>
      <c r="AD62" s="171"/>
      <c r="AE62" s="171"/>
      <c r="AF62" s="171"/>
      <c r="AG62" s="171"/>
      <c r="AH62" s="171"/>
    </row>
    <row r="63" spans="3:34" s="230" customFormat="1" hidden="1">
      <c r="C63" s="994"/>
      <c r="D63" s="173" t="str">
        <f>IF(Indice_index!$Z$1=1,"março","March")</f>
        <v>março</v>
      </c>
      <c r="E63" s="173">
        <v>411217</v>
      </c>
      <c r="F63" s="173">
        <v>74134</v>
      </c>
      <c r="G63" s="173">
        <v>159822</v>
      </c>
      <c r="H63" s="173">
        <v>645173</v>
      </c>
      <c r="I63" s="172">
        <v>1142.2</v>
      </c>
      <c r="J63" s="172"/>
      <c r="K63" s="173">
        <v>470960</v>
      </c>
      <c r="R63" s="50"/>
      <c r="S63" s="50"/>
      <c r="T63" s="50"/>
      <c r="U63" s="171"/>
      <c r="V63" s="171"/>
      <c r="W63" s="171"/>
      <c r="X63" s="171"/>
      <c r="Y63" s="171"/>
      <c r="Z63" s="171"/>
      <c r="AA63" s="171"/>
      <c r="AB63" s="171"/>
      <c r="AC63" s="171"/>
      <c r="AD63" s="171"/>
      <c r="AE63" s="171"/>
      <c r="AF63" s="171"/>
      <c r="AG63" s="171"/>
      <c r="AH63" s="171"/>
    </row>
    <row r="64" spans="3:34" s="230" customFormat="1" hidden="1">
      <c r="C64" s="994"/>
      <c r="D64" s="173" t="str">
        <f>IF(Indice_index!$Z$1=1,"abril","April")</f>
        <v>abril</v>
      </c>
      <c r="E64" s="173">
        <v>411066</v>
      </c>
      <c r="F64" s="173">
        <v>74063</v>
      </c>
      <c r="G64" s="173">
        <v>159895</v>
      </c>
      <c r="H64" s="173">
        <v>645024</v>
      </c>
      <c r="I64" s="172">
        <v>1149.5</v>
      </c>
      <c r="J64" s="172"/>
      <c r="K64" s="173">
        <v>470289</v>
      </c>
      <c r="R64" s="50"/>
      <c r="S64" s="50"/>
      <c r="T64" s="50"/>
      <c r="U64" s="171"/>
      <c r="V64" s="171"/>
      <c r="W64" s="171"/>
      <c r="X64" s="171"/>
      <c r="Y64" s="171"/>
      <c r="Z64" s="171"/>
      <c r="AA64" s="171"/>
      <c r="AB64" s="171"/>
      <c r="AC64" s="171"/>
      <c r="AD64" s="171"/>
      <c r="AE64" s="171"/>
      <c r="AF64" s="171"/>
      <c r="AG64" s="171"/>
      <c r="AH64" s="171"/>
    </row>
    <row r="65" spans="3:34" s="230" customFormat="1" hidden="1">
      <c r="C65" s="994"/>
      <c r="D65" s="173" t="str">
        <f>IF(Indice_index!$Z$1=1,"maio","May")</f>
        <v>maio</v>
      </c>
      <c r="E65" s="173">
        <v>410687</v>
      </c>
      <c r="F65" s="173">
        <v>73966</v>
      </c>
      <c r="G65" s="173">
        <v>159648</v>
      </c>
      <c r="H65" s="173">
        <v>644301</v>
      </c>
      <c r="I65" s="172">
        <v>1142.8</v>
      </c>
      <c r="J65" s="172"/>
      <c r="K65" s="173">
        <v>469543</v>
      </c>
      <c r="R65" s="50"/>
      <c r="S65" s="50"/>
      <c r="T65" s="50"/>
      <c r="U65" s="171"/>
      <c r="V65" s="171"/>
      <c r="W65" s="171"/>
      <c r="X65" s="171"/>
      <c r="Y65" s="171"/>
      <c r="Z65" s="171"/>
      <c r="AA65" s="171"/>
      <c r="AB65" s="171"/>
      <c r="AC65" s="171"/>
      <c r="AD65" s="171"/>
      <c r="AE65" s="171"/>
      <c r="AF65" s="171"/>
      <c r="AG65" s="171"/>
      <c r="AH65" s="171"/>
    </row>
    <row r="66" spans="3:34" s="230" customFormat="1" hidden="1">
      <c r="C66" s="994"/>
      <c r="D66" s="173" t="str">
        <f>IF(Indice_index!$Z$1=1,"junho","June")</f>
        <v>junho</v>
      </c>
      <c r="E66" s="173">
        <v>410431</v>
      </c>
      <c r="F66" s="173">
        <v>73883</v>
      </c>
      <c r="G66" s="173">
        <v>159884</v>
      </c>
      <c r="H66" s="173">
        <v>644198</v>
      </c>
      <c r="I66" s="172">
        <v>1161.0999999999999</v>
      </c>
      <c r="J66" s="172"/>
      <c r="K66" s="173">
        <v>469096</v>
      </c>
      <c r="R66" s="50"/>
      <c r="S66" s="50"/>
      <c r="T66" s="50"/>
      <c r="U66" s="171"/>
      <c r="V66" s="171"/>
      <c r="W66" s="171"/>
      <c r="X66" s="171"/>
      <c r="Y66" s="171"/>
      <c r="Z66" s="171"/>
      <c r="AA66" s="171"/>
      <c r="AB66" s="171"/>
      <c r="AC66" s="171"/>
      <c r="AD66" s="171"/>
      <c r="AE66" s="171"/>
      <c r="AF66" s="171"/>
      <c r="AG66" s="171"/>
      <c r="AH66" s="171"/>
    </row>
    <row r="67" spans="3:34" s="230" customFormat="1" hidden="1">
      <c r="C67" s="994"/>
      <c r="D67" s="173" t="str">
        <f>IF(Indice_index!$Z$1=1,"julho","July")</f>
        <v>julho</v>
      </c>
      <c r="E67" s="173">
        <v>410147</v>
      </c>
      <c r="F67" s="173">
        <v>73871</v>
      </c>
      <c r="G67" s="173">
        <v>159990</v>
      </c>
      <c r="H67" s="173">
        <v>644008</v>
      </c>
      <c r="I67" s="172">
        <v>2187.1</v>
      </c>
      <c r="J67" s="172"/>
      <c r="K67" s="173">
        <v>468440</v>
      </c>
      <c r="R67" s="50"/>
      <c r="S67" s="50"/>
      <c r="T67" s="50"/>
      <c r="U67" s="171"/>
      <c r="V67" s="171"/>
      <c r="W67" s="171"/>
      <c r="X67" s="171"/>
      <c r="Y67" s="171"/>
      <c r="Z67" s="171"/>
      <c r="AA67" s="171"/>
      <c r="AB67" s="171"/>
      <c r="AC67" s="171"/>
      <c r="AD67" s="171"/>
      <c r="AE67" s="171"/>
      <c r="AF67" s="171"/>
      <c r="AG67" s="171"/>
      <c r="AH67" s="171"/>
    </row>
    <row r="68" spans="3:34" s="230" customFormat="1" hidden="1">
      <c r="C68" s="994"/>
      <c r="D68" s="173" t="str">
        <f>IF(Indice_index!$Z$1=1,"agosto","August")</f>
        <v>agosto</v>
      </c>
      <c r="E68" s="173">
        <v>409927</v>
      </c>
      <c r="F68" s="173">
        <v>73850</v>
      </c>
      <c r="G68" s="173">
        <v>160048</v>
      </c>
      <c r="H68" s="173">
        <v>643825</v>
      </c>
      <c r="I68" s="172">
        <v>1169.9000000000001</v>
      </c>
      <c r="J68" s="172"/>
      <c r="K68" s="173">
        <v>467630</v>
      </c>
      <c r="R68" s="50"/>
      <c r="S68" s="50"/>
      <c r="T68" s="50"/>
      <c r="U68" s="171"/>
      <c r="V68" s="171"/>
      <c r="W68" s="171"/>
      <c r="X68" s="171"/>
      <c r="Y68" s="171"/>
      <c r="Z68" s="171"/>
      <c r="AA68" s="171"/>
      <c r="AB68" s="171"/>
      <c r="AC68" s="171"/>
      <c r="AD68" s="171"/>
      <c r="AE68" s="171"/>
      <c r="AF68" s="171"/>
      <c r="AG68" s="171"/>
      <c r="AH68" s="171"/>
    </row>
    <row r="69" spans="3:34" s="230" customFormat="1" hidden="1">
      <c r="C69" s="994"/>
      <c r="D69" s="173" t="str">
        <f>IF(Indice_index!$Z$1=1,"setembro","September")</f>
        <v>setembro</v>
      </c>
      <c r="E69" s="173">
        <v>409714</v>
      </c>
      <c r="F69" s="173">
        <v>73855</v>
      </c>
      <c r="G69" s="173">
        <v>159934</v>
      </c>
      <c r="H69" s="173">
        <v>643503</v>
      </c>
      <c r="I69" s="172">
        <v>1161.8</v>
      </c>
      <c r="J69" s="172"/>
      <c r="K69" s="173">
        <v>466384</v>
      </c>
      <c r="R69" s="50"/>
      <c r="S69" s="50"/>
      <c r="T69" s="50"/>
      <c r="U69" s="171"/>
      <c r="V69" s="171"/>
      <c r="W69" s="171"/>
      <c r="X69" s="171"/>
      <c r="Y69" s="171"/>
      <c r="Z69" s="171"/>
      <c r="AA69" s="171"/>
      <c r="AB69" s="171"/>
      <c r="AC69" s="171"/>
      <c r="AD69" s="171"/>
      <c r="AE69" s="171"/>
      <c r="AF69" s="171"/>
      <c r="AG69" s="171"/>
      <c r="AH69" s="171"/>
    </row>
    <row r="70" spans="3:34" s="230" customFormat="1" hidden="1">
      <c r="C70" s="994"/>
      <c r="D70" s="173" t="str">
        <f>IF(Indice_index!$Z$1=1,"outubro","October")</f>
        <v>outubro</v>
      </c>
      <c r="E70" s="173">
        <v>409434</v>
      </c>
      <c r="F70" s="173">
        <v>73800</v>
      </c>
      <c r="G70" s="173">
        <v>159797</v>
      </c>
      <c r="H70" s="173">
        <v>643031</v>
      </c>
      <c r="I70" s="172">
        <v>1171.3</v>
      </c>
      <c r="J70" s="172"/>
      <c r="K70" s="173">
        <v>465559</v>
      </c>
      <c r="R70" s="50"/>
      <c r="S70" s="50"/>
      <c r="T70" s="50"/>
      <c r="U70" s="171"/>
      <c r="V70" s="171"/>
      <c r="W70" s="171"/>
      <c r="X70" s="171"/>
      <c r="Y70" s="171"/>
      <c r="Z70" s="171"/>
      <c r="AA70" s="171"/>
      <c r="AB70" s="171"/>
      <c r="AC70" s="171"/>
      <c r="AD70" s="171"/>
      <c r="AE70" s="171"/>
      <c r="AF70" s="171"/>
      <c r="AG70" s="171"/>
      <c r="AH70" s="171"/>
    </row>
    <row r="71" spans="3:34" s="172" customFormat="1" hidden="1">
      <c r="C71" s="994"/>
      <c r="D71" s="173" t="str">
        <f>IF(Indice_index!$Z$1=1,"novembro","November")</f>
        <v>novembro</v>
      </c>
      <c r="E71" s="173">
        <v>409108</v>
      </c>
      <c r="F71" s="173">
        <v>73710</v>
      </c>
      <c r="G71" s="173">
        <v>159949</v>
      </c>
      <c r="H71" s="173">
        <v>642767</v>
      </c>
      <c r="I71" s="172">
        <v>1159</v>
      </c>
      <c r="K71" s="173">
        <v>464885</v>
      </c>
      <c r="R71" s="162"/>
      <c r="S71" s="162"/>
      <c r="T71" s="162"/>
      <c r="U71" s="173"/>
      <c r="V71" s="173"/>
      <c r="W71" s="173"/>
      <c r="X71" s="173"/>
      <c r="Y71" s="173"/>
      <c r="Z71" s="173"/>
      <c r="AA71" s="173"/>
      <c r="AB71" s="173"/>
      <c r="AC71" s="173"/>
      <c r="AD71" s="173"/>
      <c r="AE71" s="173"/>
      <c r="AF71" s="173"/>
      <c r="AG71" s="173"/>
      <c r="AH71" s="173"/>
    </row>
    <row r="72" spans="3:34" s="230" customFormat="1" hidden="1">
      <c r="C72" s="994"/>
      <c r="D72" s="173" t="str">
        <f>IF(Indice_index!$Z$1=1,"dezembro","December")</f>
        <v>dezembro</v>
      </c>
      <c r="E72" s="173">
        <v>408924</v>
      </c>
      <c r="F72" s="173">
        <v>73690</v>
      </c>
      <c r="G72" s="173">
        <v>160016</v>
      </c>
      <c r="H72" s="173">
        <v>642630</v>
      </c>
      <c r="I72" s="172">
        <v>1159.5</v>
      </c>
      <c r="J72" s="172"/>
      <c r="K72" s="173">
        <v>463861</v>
      </c>
      <c r="R72" s="50"/>
      <c r="S72" s="50"/>
      <c r="T72" s="50"/>
      <c r="U72" s="171"/>
      <c r="V72" s="171"/>
      <c r="W72" s="171"/>
      <c r="X72" s="171"/>
      <c r="Y72" s="171"/>
      <c r="Z72" s="171"/>
      <c r="AA72" s="171"/>
      <c r="AB72" s="171"/>
      <c r="AC72" s="171"/>
      <c r="AD72" s="171"/>
      <c r="AE72" s="171"/>
      <c r="AF72" s="171"/>
      <c r="AG72" s="171"/>
      <c r="AH72" s="171"/>
    </row>
    <row r="73" spans="3:34" s="230" customFormat="1" hidden="1">
      <c r="C73" s="995">
        <v>2017</v>
      </c>
      <c r="D73" s="173"/>
      <c r="E73" s="173"/>
      <c r="F73" s="173"/>
      <c r="G73" s="173"/>
      <c r="H73" s="173"/>
      <c r="I73" s="172"/>
      <c r="K73" s="173"/>
      <c r="R73" s="50"/>
      <c r="S73" s="50"/>
      <c r="T73" s="50"/>
      <c r="U73" s="171"/>
      <c r="V73" s="171"/>
      <c r="W73" s="171"/>
      <c r="X73" s="171"/>
      <c r="Y73" s="171"/>
      <c r="Z73" s="171"/>
      <c r="AA73" s="171"/>
      <c r="AB73" s="171"/>
      <c r="AC73" s="171"/>
      <c r="AD73" s="171"/>
      <c r="AE73" s="171"/>
      <c r="AF73" s="171"/>
      <c r="AG73" s="171"/>
      <c r="AH73" s="171"/>
    </row>
    <row r="74" spans="3:34" s="172" customFormat="1" hidden="1">
      <c r="C74" s="994"/>
      <c r="D74" s="173" t="str">
        <f>IF(Indice_index!$Z$1=1,"janeiro","January")</f>
        <v>janeiro</v>
      </c>
      <c r="E74" s="173">
        <v>408939</v>
      </c>
      <c r="F74" s="173">
        <v>73624</v>
      </c>
      <c r="G74" s="173">
        <v>160065</v>
      </c>
      <c r="H74" s="173">
        <v>642628</v>
      </c>
      <c r="I74" s="172">
        <v>1143.5</v>
      </c>
      <c r="K74" s="173">
        <v>462411</v>
      </c>
      <c r="M74" s="230"/>
      <c r="R74" s="162"/>
      <c r="S74" s="162"/>
      <c r="T74" s="162"/>
      <c r="U74" s="173"/>
      <c r="V74" s="173"/>
      <c r="W74" s="173"/>
      <c r="X74" s="173"/>
      <c r="Y74" s="173"/>
      <c r="Z74" s="173"/>
      <c r="AA74" s="173"/>
      <c r="AB74" s="173"/>
      <c r="AC74" s="173"/>
      <c r="AD74" s="173"/>
      <c r="AE74" s="173"/>
      <c r="AF74" s="173"/>
      <c r="AG74" s="173"/>
      <c r="AH74" s="173"/>
    </row>
    <row r="75" spans="3:34" s="230" customFormat="1" hidden="1">
      <c r="C75" s="994"/>
      <c r="D75" s="173" t="str">
        <f>IF(Indice_index!$Z$1=1,"fevereiro","February")</f>
        <v>fevereiro</v>
      </c>
      <c r="E75" s="173">
        <v>408288</v>
      </c>
      <c r="F75" s="173">
        <v>73455</v>
      </c>
      <c r="G75" s="173">
        <v>159914</v>
      </c>
      <c r="H75" s="173">
        <v>641657</v>
      </c>
      <c r="I75" s="172">
        <v>1119.4000000000001</v>
      </c>
      <c r="J75" s="172"/>
      <c r="K75" s="173">
        <v>461805</v>
      </c>
      <c r="R75" s="50"/>
      <c r="S75" s="50"/>
      <c r="T75" s="50"/>
      <c r="U75" s="171"/>
      <c r="V75" s="171"/>
      <c r="W75" s="171"/>
      <c r="X75" s="171"/>
      <c r="Y75" s="171"/>
      <c r="Z75" s="171"/>
      <c r="AA75" s="171"/>
      <c r="AB75" s="171"/>
      <c r="AC75" s="171"/>
      <c r="AD75" s="171"/>
      <c r="AE75" s="171"/>
      <c r="AF75" s="171"/>
      <c r="AG75" s="171"/>
      <c r="AH75" s="171"/>
    </row>
    <row r="76" spans="3:34" s="172" customFormat="1" hidden="1">
      <c r="C76" s="994"/>
      <c r="D76" s="173" t="str">
        <f>IF(Indice_index!$Z$1=1,"março","March")</f>
        <v>março</v>
      </c>
      <c r="E76" s="173">
        <v>407540</v>
      </c>
      <c r="F76" s="173">
        <v>73348</v>
      </c>
      <c r="G76" s="173">
        <v>159347</v>
      </c>
      <c r="H76" s="173">
        <v>640235</v>
      </c>
      <c r="I76" s="172">
        <v>1130.3</v>
      </c>
      <c r="K76" s="173">
        <v>461332</v>
      </c>
      <c r="R76" s="162"/>
      <c r="S76" s="162"/>
      <c r="T76" s="162"/>
      <c r="U76" s="173"/>
      <c r="V76" s="173"/>
      <c r="W76" s="173"/>
      <c r="X76" s="173"/>
      <c r="Y76" s="173"/>
      <c r="Z76" s="173"/>
      <c r="AA76" s="173"/>
      <c r="AB76" s="173"/>
      <c r="AC76" s="173"/>
      <c r="AD76" s="173"/>
      <c r="AE76" s="173"/>
      <c r="AF76" s="173"/>
      <c r="AG76" s="173"/>
      <c r="AH76" s="173"/>
    </row>
    <row r="77" spans="3:34" s="230" customFormat="1" hidden="1">
      <c r="C77" s="994"/>
      <c r="D77" s="173" t="str">
        <f>IF(Indice_index!$Z$1=1,"abril","April")</f>
        <v>abril</v>
      </c>
      <c r="E77" s="173">
        <v>407110</v>
      </c>
      <c r="F77" s="173">
        <v>73249</v>
      </c>
      <c r="G77" s="173">
        <v>160092</v>
      </c>
      <c r="H77" s="173">
        <v>640451</v>
      </c>
      <c r="I77" s="172">
        <v>1126.4000000000001</v>
      </c>
      <c r="J77" s="172"/>
      <c r="K77" s="173">
        <v>460761</v>
      </c>
      <c r="R77" s="50"/>
      <c r="S77" s="50"/>
      <c r="T77" s="50"/>
      <c r="U77" s="171"/>
      <c r="V77" s="171"/>
      <c r="W77" s="171"/>
      <c r="X77" s="171"/>
      <c r="Y77" s="171"/>
      <c r="Z77" s="171"/>
      <c r="AA77" s="171"/>
      <c r="AB77" s="171"/>
      <c r="AC77" s="171"/>
      <c r="AD77" s="171"/>
      <c r="AE77" s="171"/>
      <c r="AF77" s="171"/>
      <c r="AG77" s="171"/>
      <c r="AH77" s="171"/>
    </row>
    <row r="78" spans="3:34" s="172" customFormat="1" hidden="1">
      <c r="C78" s="994"/>
      <c r="D78" s="173" t="str">
        <f>IF(Indice_index!$Z$1=1,"maio","May")</f>
        <v>maio</v>
      </c>
      <c r="E78" s="173">
        <v>407141</v>
      </c>
      <c r="F78" s="173">
        <v>73177</v>
      </c>
      <c r="G78" s="173">
        <v>159861</v>
      </c>
      <c r="H78" s="173">
        <v>640179</v>
      </c>
      <c r="I78" s="172">
        <v>1122.4000000000001</v>
      </c>
      <c r="K78" s="173">
        <v>460119</v>
      </c>
      <c r="R78" s="162"/>
      <c r="S78" s="162"/>
      <c r="T78" s="162"/>
      <c r="U78" s="173"/>
      <c r="V78" s="173"/>
      <c r="W78" s="173"/>
      <c r="X78" s="173"/>
      <c r="Y78" s="173"/>
      <c r="Z78" s="173"/>
      <c r="AA78" s="173"/>
      <c r="AB78" s="173"/>
      <c r="AC78" s="173"/>
      <c r="AD78" s="173"/>
      <c r="AE78" s="173"/>
      <c r="AF78" s="173"/>
      <c r="AG78" s="173"/>
      <c r="AH78" s="173"/>
    </row>
    <row r="79" spans="3:34" s="172" customFormat="1" hidden="1">
      <c r="C79" s="994"/>
      <c r="D79" s="173" t="str">
        <f>IF(Indice_index!$Z$1=1,"junho","June")</f>
        <v>junho</v>
      </c>
      <c r="E79" s="173">
        <v>407346</v>
      </c>
      <c r="F79" s="173">
        <v>73104</v>
      </c>
      <c r="G79" s="173">
        <v>160094</v>
      </c>
      <c r="H79" s="173">
        <v>640544</v>
      </c>
      <c r="I79" s="172">
        <v>1121.5999999999999</v>
      </c>
      <c r="K79" s="173">
        <v>459273</v>
      </c>
      <c r="R79" s="162"/>
      <c r="S79" s="162"/>
      <c r="T79" s="162"/>
      <c r="U79" s="173"/>
      <c r="V79" s="173"/>
      <c r="W79" s="173"/>
      <c r="X79" s="173"/>
      <c r="Y79" s="173"/>
      <c r="Z79" s="173"/>
      <c r="AA79" s="173"/>
      <c r="AB79" s="173"/>
      <c r="AC79" s="173"/>
      <c r="AD79" s="173"/>
      <c r="AE79" s="173"/>
      <c r="AF79" s="173"/>
      <c r="AG79" s="173"/>
      <c r="AH79" s="173"/>
    </row>
    <row r="80" spans="3:34" s="230" customFormat="1" hidden="1">
      <c r="C80" s="994"/>
      <c r="D80" s="173" t="str">
        <f>IF(Indice_index!$Z$1=1,"julho","July")</f>
        <v>julho</v>
      </c>
      <c r="E80" s="173">
        <v>407953</v>
      </c>
      <c r="F80" s="173">
        <v>73062</v>
      </c>
      <c r="G80" s="173">
        <v>160095</v>
      </c>
      <c r="H80" s="173">
        <v>641110</v>
      </c>
      <c r="I80" s="172">
        <v>2155.1999999999998</v>
      </c>
      <c r="J80" s="172"/>
      <c r="K80" s="173">
        <v>458272</v>
      </c>
      <c r="R80" s="50"/>
      <c r="S80" s="50"/>
      <c r="T80" s="50"/>
      <c r="U80" s="171"/>
      <c r="V80" s="171"/>
      <c r="W80" s="171"/>
      <c r="X80" s="171"/>
      <c r="Y80" s="171"/>
      <c r="Z80" s="171"/>
      <c r="AA80" s="171"/>
      <c r="AB80" s="171"/>
      <c r="AC80" s="171"/>
      <c r="AD80" s="171"/>
      <c r="AE80" s="171"/>
      <c r="AF80" s="171"/>
      <c r="AG80" s="171"/>
      <c r="AH80" s="171"/>
    </row>
    <row r="81" spans="3:34" s="230" customFormat="1" hidden="1">
      <c r="C81" s="994"/>
      <c r="D81" s="173" t="str">
        <f>IF(Indice_index!$Z$1=1,"agosto","August")</f>
        <v>agosto</v>
      </c>
      <c r="E81" s="173">
        <v>408428</v>
      </c>
      <c r="F81" s="173">
        <v>72982</v>
      </c>
      <c r="G81" s="173">
        <v>160151</v>
      </c>
      <c r="H81" s="173">
        <v>641561</v>
      </c>
      <c r="I81" s="172">
        <v>1131.8</v>
      </c>
      <c r="J81" s="172"/>
      <c r="K81" s="173">
        <v>457677</v>
      </c>
      <c r="R81" s="50"/>
      <c r="S81" s="50"/>
      <c r="T81" s="50"/>
      <c r="U81" s="171"/>
      <c r="V81" s="171"/>
      <c r="W81" s="171"/>
      <c r="X81" s="171"/>
      <c r="Y81" s="171"/>
      <c r="Z81" s="171"/>
      <c r="AA81" s="171"/>
      <c r="AB81" s="171"/>
      <c r="AC81" s="171"/>
      <c r="AD81" s="171"/>
      <c r="AE81" s="171"/>
      <c r="AF81" s="171"/>
      <c r="AG81" s="171"/>
      <c r="AH81" s="171"/>
    </row>
    <row r="82" spans="3:34" s="230" customFormat="1" hidden="1">
      <c r="C82" s="994"/>
      <c r="D82" s="173" t="str">
        <f>IF(Indice_index!$Z$1=1,"setembro","September")</f>
        <v>setembro</v>
      </c>
      <c r="E82" s="173">
        <v>408630</v>
      </c>
      <c r="F82" s="173">
        <v>72970</v>
      </c>
      <c r="G82" s="173">
        <v>160113</v>
      </c>
      <c r="H82" s="173">
        <v>641713</v>
      </c>
      <c r="I82" s="172">
        <v>1126.4000000000001</v>
      </c>
      <c r="J82" s="172"/>
      <c r="K82" s="173">
        <v>456190</v>
      </c>
      <c r="R82" s="50"/>
      <c r="S82" s="50"/>
      <c r="T82" s="50"/>
      <c r="U82" s="171"/>
      <c r="V82" s="171"/>
      <c r="W82" s="171"/>
      <c r="X82" s="171"/>
      <c r="Y82" s="171"/>
      <c r="Z82" s="171"/>
      <c r="AA82" s="171"/>
      <c r="AB82" s="171"/>
      <c r="AC82" s="171"/>
      <c r="AD82" s="171"/>
      <c r="AE82" s="171"/>
      <c r="AF82" s="171"/>
      <c r="AG82" s="171"/>
      <c r="AH82" s="171"/>
    </row>
    <row r="83" spans="3:34" s="230" customFormat="1" hidden="1">
      <c r="C83" s="994"/>
      <c r="D83" s="173" t="str">
        <f>IF(Indice_index!$Z$1=1,"outubro","October")</f>
        <v>outubro</v>
      </c>
      <c r="E83" s="173">
        <v>408900</v>
      </c>
      <c r="F83" s="173">
        <v>72837</v>
      </c>
      <c r="G83" s="173">
        <v>163540</v>
      </c>
      <c r="H83" s="173">
        <v>645277</v>
      </c>
      <c r="I83" s="172">
        <v>1128.7</v>
      </c>
      <c r="J83" s="172"/>
      <c r="K83" s="173">
        <v>455463</v>
      </c>
      <c r="R83" s="50"/>
      <c r="S83" s="50"/>
      <c r="T83" s="50"/>
      <c r="U83" s="171"/>
      <c r="V83" s="171"/>
      <c r="W83" s="171"/>
      <c r="X83" s="171"/>
      <c r="Y83" s="171"/>
      <c r="Z83" s="171"/>
      <c r="AA83" s="171"/>
      <c r="AB83" s="171"/>
      <c r="AC83" s="171"/>
      <c r="AD83" s="171"/>
      <c r="AE83" s="171"/>
      <c r="AF83" s="171"/>
      <c r="AG83" s="171"/>
      <c r="AH83" s="171"/>
    </row>
    <row r="84" spans="3:34" s="230" customFormat="1" hidden="1">
      <c r="C84" s="994"/>
      <c r="D84" s="173" t="str">
        <f>IF(Indice_index!$Z$1=1,"novembro","November")</f>
        <v>novembro</v>
      </c>
      <c r="E84" s="173">
        <v>409275</v>
      </c>
      <c r="F84" s="173">
        <v>72804</v>
      </c>
      <c r="G84" s="173">
        <v>163607</v>
      </c>
      <c r="H84" s="173">
        <v>645686</v>
      </c>
      <c r="I84" s="172">
        <v>1647.8</v>
      </c>
      <c r="J84" s="172"/>
      <c r="K84" s="173">
        <v>454775</v>
      </c>
      <c r="R84" s="50"/>
      <c r="S84" s="50"/>
      <c r="T84" s="50"/>
      <c r="U84" s="171"/>
      <c r="V84" s="171"/>
      <c r="W84" s="171"/>
      <c r="X84" s="171"/>
      <c r="Y84" s="171"/>
      <c r="Z84" s="171"/>
      <c r="AA84" s="171"/>
      <c r="AB84" s="171"/>
      <c r="AC84" s="171"/>
      <c r="AD84" s="171"/>
      <c r="AE84" s="171"/>
      <c r="AF84" s="171"/>
      <c r="AG84" s="171"/>
      <c r="AH84" s="171"/>
    </row>
    <row r="85" spans="3:34" s="230" customFormat="1" hidden="1">
      <c r="C85" s="994"/>
      <c r="D85" s="173" t="str">
        <f>IF(Indice_index!$Z$1=1,"dezembro","December")</f>
        <v>dezembro</v>
      </c>
      <c r="E85" s="173">
        <v>409132</v>
      </c>
      <c r="F85" s="173">
        <v>72745</v>
      </c>
      <c r="G85" s="173">
        <v>163836</v>
      </c>
      <c r="H85" s="173">
        <v>645713</v>
      </c>
      <c r="I85" s="172">
        <v>1132.8</v>
      </c>
      <c r="J85" s="172"/>
      <c r="K85" s="173">
        <v>453977</v>
      </c>
      <c r="R85" s="50"/>
      <c r="S85" s="50"/>
      <c r="T85" s="50"/>
      <c r="U85" s="171"/>
      <c r="V85" s="171"/>
      <c r="W85" s="171"/>
      <c r="X85" s="171"/>
      <c r="Y85" s="171"/>
      <c r="Z85" s="171"/>
      <c r="AA85" s="171"/>
      <c r="AB85" s="171"/>
      <c r="AC85" s="171"/>
      <c r="AD85" s="171"/>
      <c r="AE85" s="171"/>
      <c r="AF85" s="171"/>
      <c r="AG85" s="171"/>
      <c r="AH85" s="171"/>
    </row>
    <row r="86" spans="3:34" s="230" customFormat="1" ht="15" hidden="1" customHeight="1">
      <c r="C86" s="995">
        <v>2018</v>
      </c>
      <c r="D86" s="173"/>
      <c r="E86" s="173"/>
      <c r="F86" s="173"/>
      <c r="G86" s="173"/>
      <c r="H86" s="173"/>
      <c r="I86" s="172"/>
      <c r="J86" s="172"/>
      <c r="K86" s="173"/>
      <c r="R86" s="50"/>
      <c r="S86" s="50"/>
      <c r="T86" s="50"/>
      <c r="U86" s="171"/>
      <c r="V86" s="171"/>
      <c r="W86" s="171"/>
      <c r="X86" s="171"/>
      <c r="Y86" s="171"/>
      <c r="Z86" s="171"/>
      <c r="AA86" s="171"/>
      <c r="AB86" s="171"/>
      <c r="AC86" s="171"/>
      <c r="AD86" s="171"/>
      <c r="AE86" s="171"/>
      <c r="AF86" s="171"/>
      <c r="AG86" s="171"/>
      <c r="AH86" s="171"/>
    </row>
    <row r="87" spans="3:34" s="230" customFormat="1" ht="15" hidden="1" customHeight="1">
      <c r="C87" s="994"/>
      <c r="D87" s="173" t="str">
        <f>IF(Indice_index!$Z$1=1,"janeiro","January")</f>
        <v>janeiro</v>
      </c>
      <c r="E87" s="171">
        <v>409052</v>
      </c>
      <c r="F87" s="171">
        <v>72672</v>
      </c>
      <c r="G87" s="171">
        <v>163845</v>
      </c>
      <c r="H87" s="171">
        <v>645569</v>
      </c>
      <c r="I87" s="230">
        <v>1116.3</v>
      </c>
      <c r="K87" s="171">
        <v>452574</v>
      </c>
      <c r="M87" s="233"/>
      <c r="N87" s="233"/>
      <c r="O87" s="233"/>
      <c r="P87" s="233"/>
      <c r="Q87" s="233"/>
      <c r="R87" s="233"/>
      <c r="S87" s="233"/>
      <c r="T87" s="50"/>
      <c r="U87" s="171"/>
      <c r="V87" s="171"/>
      <c r="W87" s="171"/>
      <c r="X87" s="171"/>
      <c r="Y87" s="171"/>
      <c r="Z87" s="171"/>
      <c r="AA87" s="171"/>
      <c r="AB87" s="171"/>
      <c r="AC87" s="171"/>
      <c r="AD87" s="171"/>
      <c r="AE87" s="171"/>
      <c r="AF87" s="171"/>
      <c r="AG87" s="171"/>
      <c r="AH87" s="171"/>
    </row>
    <row r="88" spans="3:34" s="230" customFormat="1" ht="15" hidden="1" customHeight="1">
      <c r="C88" s="994"/>
      <c r="D88" s="173" t="str">
        <f>IF(Indice_index!$Z$1=1,"fevereiro","February")</f>
        <v>fevereiro</v>
      </c>
      <c r="E88" s="171">
        <v>408712</v>
      </c>
      <c r="F88" s="171">
        <v>72479</v>
      </c>
      <c r="G88" s="171">
        <v>163737</v>
      </c>
      <c r="H88" s="171">
        <v>644928</v>
      </c>
      <c r="I88" s="230">
        <v>1102.5</v>
      </c>
      <c r="K88" s="171">
        <v>451857</v>
      </c>
      <c r="M88" s="233"/>
      <c r="N88" s="233"/>
      <c r="O88" s="233"/>
      <c r="P88" s="233"/>
      <c r="Q88" s="233"/>
      <c r="R88" s="233"/>
      <c r="S88" s="233"/>
      <c r="T88" s="50"/>
      <c r="U88" s="171"/>
      <c r="V88" s="171"/>
      <c r="W88" s="171"/>
      <c r="X88" s="171"/>
      <c r="Y88" s="171"/>
      <c r="Z88" s="171"/>
      <c r="AA88" s="171"/>
      <c r="AB88" s="171"/>
      <c r="AC88" s="171"/>
      <c r="AD88" s="171"/>
      <c r="AE88" s="171"/>
      <c r="AF88" s="171"/>
      <c r="AG88" s="171"/>
      <c r="AH88" s="171"/>
    </row>
    <row r="89" spans="3:34" s="230" customFormat="1" ht="15" hidden="1" customHeight="1">
      <c r="C89" s="994"/>
      <c r="D89" s="173" t="str">
        <f>IF(Indice_index!$Z$1=1,"março","March")</f>
        <v>março</v>
      </c>
      <c r="E89" s="171">
        <v>408346</v>
      </c>
      <c r="F89" s="171">
        <v>72372</v>
      </c>
      <c r="G89" s="171">
        <v>163498</v>
      </c>
      <c r="H89" s="171">
        <v>644216</v>
      </c>
      <c r="I89" s="230">
        <v>1090.8</v>
      </c>
      <c r="K89" s="171">
        <v>451216</v>
      </c>
      <c r="M89" s="233"/>
      <c r="N89" s="233"/>
      <c r="O89" s="233"/>
      <c r="P89" s="233"/>
      <c r="Q89" s="233"/>
      <c r="R89" s="233"/>
      <c r="S89" s="233"/>
      <c r="T89" s="50"/>
      <c r="U89" s="171"/>
      <c r="V89" s="171"/>
      <c r="W89" s="171"/>
      <c r="X89" s="171"/>
      <c r="Y89" s="171"/>
      <c r="Z89" s="171"/>
      <c r="AA89" s="171"/>
      <c r="AB89" s="171"/>
      <c r="AC89" s="171"/>
      <c r="AD89" s="171"/>
      <c r="AE89" s="171"/>
      <c r="AF89" s="171"/>
      <c r="AG89" s="171"/>
      <c r="AH89" s="171"/>
    </row>
    <row r="90" spans="3:34" s="230" customFormat="1" ht="15" hidden="1" customHeight="1">
      <c r="C90" s="994"/>
      <c r="D90" s="173" t="str">
        <f>IF(Indice_index!$Z$1=1,"abril","April")</f>
        <v>abril</v>
      </c>
      <c r="E90" s="171">
        <v>407815</v>
      </c>
      <c r="F90" s="171">
        <v>72188</v>
      </c>
      <c r="G90" s="171">
        <v>163281</v>
      </c>
      <c r="H90" s="171">
        <v>643284</v>
      </c>
      <c r="I90" s="230">
        <v>1100.2</v>
      </c>
      <c r="K90" s="171">
        <v>450496</v>
      </c>
      <c r="M90" s="233"/>
      <c r="N90" s="233"/>
      <c r="O90" s="233"/>
      <c r="P90" s="233"/>
      <c r="Q90" s="233"/>
      <c r="R90" s="233"/>
      <c r="S90" s="233"/>
      <c r="T90" s="50"/>
      <c r="U90" s="171"/>
      <c r="V90" s="171"/>
      <c r="W90" s="171"/>
      <c r="X90" s="171"/>
      <c r="Y90" s="171"/>
      <c r="Z90" s="171"/>
      <c r="AA90" s="171"/>
      <c r="AB90" s="171"/>
      <c r="AC90" s="171"/>
      <c r="AD90" s="171"/>
      <c r="AE90" s="171"/>
      <c r="AF90" s="171"/>
      <c r="AG90" s="171"/>
      <c r="AH90" s="171"/>
    </row>
    <row r="91" spans="3:34" s="230" customFormat="1" ht="15" hidden="1" customHeight="1">
      <c r="C91" s="994"/>
      <c r="D91" s="173" t="str">
        <f>IF(Indice_index!$Z$1=1,"maio","May")</f>
        <v>maio</v>
      </c>
      <c r="E91" s="171">
        <v>407971</v>
      </c>
      <c r="F91" s="171">
        <v>72134</v>
      </c>
      <c r="G91" s="171">
        <v>162934</v>
      </c>
      <c r="H91" s="171">
        <v>643039</v>
      </c>
      <c r="I91" s="230">
        <v>1095.9000000000001</v>
      </c>
      <c r="K91" s="171">
        <v>449662</v>
      </c>
      <c r="M91" s="233"/>
      <c r="N91" s="233"/>
      <c r="O91" s="233"/>
      <c r="P91" s="233"/>
      <c r="Q91" s="233"/>
      <c r="R91" s="233"/>
      <c r="S91" s="233"/>
      <c r="T91" s="50"/>
      <c r="U91" s="171"/>
      <c r="V91" s="171"/>
      <c r="W91" s="171"/>
      <c r="X91" s="171"/>
      <c r="Y91" s="171"/>
      <c r="Z91" s="171"/>
      <c r="AA91" s="171"/>
      <c r="AB91" s="171"/>
      <c r="AC91" s="171"/>
      <c r="AD91" s="171"/>
      <c r="AE91" s="171"/>
      <c r="AF91" s="171"/>
      <c r="AG91" s="171"/>
      <c r="AH91" s="171"/>
    </row>
    <row r="92" spans="3:34" s="230" customFormat="1" ht="15" hidden="1" customHeight="1">
      <c r="C92" s="994"/>
      <c r="D92" s="173" t="str">
        <f>IF(Indice_index!$Z$1=1,"junho","June")</f>
        <v>junho</v>
      </c>
      <c r="E92" s="171">
        <v>407744</v>
      </c>
      <c r="F92" s="171">
        <v>72014</v>
      </c>
      <c r="G92" s="171">
        <v>162816</v>
      </c>
      <c r="H92" s="171">
        <v>642574</v>
      </c>
      <c r="I92" s="230">
        <v>1096.5999999999999</v>
      </c>
      <c r="K92" s="171">
        <v>448884</v>
      </c>
      <c r="M92" s="233"/>
      <c r="N92" s="233"/>
      <c r="O92" s="233"/>
      <c r="P92" s="233"/>
      <c r="Q92" s="233"/>
      <c r="R92" s="233"/>
      <c r="S92" s="233"/>
      <c r="T92" s="50"/>
      <c r="U92" s="171"/>
      <c r="V92" s="171"/>
      <c r="W92" s="171"/>
      <c r="X92" s="171"/>
      <c r="Y92" s="171"/>
      <c r="Z92" s="171"/>
      <c r="AA92" s="171"/>
      <c r="AB92" s="171"/>
      <c r="AC92" s="171"/>
      <c r="AD92" s="171"/>
      <c r="AE92" s="171"/>
      <c r="AF92" s="171"/>
      <c r="AG92" s="171"/>
      <c r="AH92" s="171"/>
    </row>
    <row r="93" spans="3:34" s="230" customFormat="1" ht="15" hidden="1" customHeight="1">
      <c r="C93" s="994"/>
      <c r="D93" s="173" t="str">
        <f>IF(Indice_index!$Z$1=1,"julho","July")</f>
        <v>julho</v>
      </c>
      <c r="E93" s="171">
        <v>407647</v>
      </c>
      <c r="F93" s="171">
        <v>71945</v>
      </c>
      <c r="G93" s="171">
        <v>162897</v>
      </c>
      <c r="H93" s="171">
        <v>642489</v>
      </c>
      <c r="I93" s="230">
        <v>2144.1999999999998</v>
      </c>
      <c r="K93" s="171">
        <v>448063</v>
      </c>
      <c r="M93" s="233"/>
      <c r="N93" s="233"/>
      <c r="O93" s="233"/>
      <c r="P93" s="233"/>
      <c r="Q93" s="233"/>
      <c r="R93" s="233"/>
      <c r="S93" s="233"/>
      <c r="T93" s="50"/>
      <c r="U93" s="171"/>
      <c r="V93" s="171"/>
      <c r="W93" s="171"/>
      <c r="X93" s="171"/>
      <c r="Y93" s="171"/>
      <c r="Z93" s="171"/>
      <c r="AA93" s="171"/>
      <c r="AB93" s="171"/>
      <c r="AC93" s="171"/>
      <c r="AD93" s="171"/>
      <c r="AE93" s="171"/>
      <c r="AF93" s="171"/>
      <c r="AG93" s="171"/>
      <c r="AH93" s="171"/>
    </row>
    <row r="94" spans="3:34" s="230" customFormat="1" ht="15" hidden="1" customHeight="1">
      <c r="C94" s="994"/>
      <c r="D94" s="173" t="str">
        <f>IF(Indice_index!$Z$1=1,"agosto","August")</f>
        <v>agosto</v>
      </c>
      <c r="E94" s="173">
        <v>407684</v>
      </c>
      <c r="F94" s="173">
        <v>71867</v>
      </c>
      <c r="G94" s="173">
        <v>162936</v>
      </c>
      <c r="H94" s="173">
        <v>642487</v>
      </c>
      <c r="I94" s="172">
        <v>1097.7</v>
      </c>
      <c r="J94" s="172"/>
      <c r="K94" s="173">
        <v>447165</v>
      </c>
      <c r="M94" s="233"/>
      <c r="N94" s="233"/>
      <c r="O94" s="233"/>
      <c r="P94" s="233"/>
      <c r="Q94" s="233"/>
      <c r="R94" s="233"/>
      <c r="S94" s="233"/>
      <c r="T94" s="50"/>
      <c r="U94" s="171"/>
      <c r="V94" s="171"/>
      <c r="W94" s="171"/>
      <c r="X94" s="171"/>
      <c r="Y94" s="171"/>
      <c r="Z94" s="171"/>
      <c r="AA94" s="171"/>
      <c r="AB94" s="171"/>
      <c r="AC94" s="171"/>
      <c r="AD94" s="171"/>
      <c r="AE94" s="171"/>
      <c r="AF94" s="171"/>
      <c r="AG94" s="171"/>
      <c r="AH94" s="171"/>
    </row>
    <row r="95" spans="3:34" s="230" customFormat="1" ht="15" hidden="1" customHeight="1">
      <c r="C95" s="994"/>
      <c r="D95" s="173" t="str">
        <f>IF(Indice_index!$Z$1=1,"setembro","September")</f>
        <v>setembro</v>
      </c>
      <c r="E95" s="173">
        <v>407781</v>
      </c>
      <c r="F95" s="173">
        <v>71807</v>
      </c>
      <c r="G95" s="173">
        <v>162807</v>
      </c>
      <c r="H95" s="173">
        <v>642395</v>
      </c>
      <c r="I95" s="172">
        <v>1098.4000000000001</v>
      </c>
      <c r="J95" s="172"/>
      <c r="K95" s="173">
        <v>446011</v>
      </c>
      <c r="M95" s="233"/>
      <c r="N95" s="233"/>
      <c r="O95" s="233"/>
      <c r="P95" s="233"/>
      <c r="Q95" s="233"/>
      <c r="R95" s="233"/>
      <c r="S95" s="233"/>
      <c r="T95" s="50"/>
      <c r="U95" s="171"/>
      <c r="V95" s="171"/>
      <c r="W95" s="171"/>
      <c r="X95" s="171"/>
      <c r="Y95" s="171"/>
      <c r="Z95" s="171"/>
      <c r="AA95" s="171"/>
      <c r="AB95" s="171"/>
      <c r="AC95" s="171"/>
      <c r="AD95" s="171"/>
      <c r="AE95" s="171"/>
      <c r="AF95" s="171"/>
      <c r="AG95" s="171"/>
      <c r="AH95" s="171"/>
    </row>
    <row r="96" spans="3:34" s="230" customFormat="1" ht="15" hidden="1" customHeight="1">
      <c r="C96" s="994"/>
      <c r="D96" s="173" t="str">
        <f>IF(Indice_index!$Z$1=1,"outubro","October")</f>
        <v>outubro</v>
      </c>
      <c r="E96" s="173">
        <v>407480</v>
      </c>
      <c r="F96" s="173">
        <v>71695</v>
      </c>
      <c r="G96" s="173">
        <v>162615</v>
      </c>
      <c r="H96" s="173">
        <v>641790</v>
      </c>
      <c r="I96" s="172">
        <v>1108.7</v>
      </c>
      <c r="J96" s="172"/>
      <c r="K96" s="173">
        <v>445215</v>
      </c>
      <c r="M96" s="233"/>
      <c r="N96" s="233"/>
      <c r="O96" s="233"/>
      <c r="P96" s="233"/>
      <c r="Q96" s="233"/>
      <c r="R96" s="233"/>
      <c r="S96" s="233"/>
      <c r="T96" s="50"/>
      <c r="U96" s="171"/>
      <c r="V96" s="171"/>
      <c r="W96" s="171"/>
      <c r="X96" s="171"/>
      <c r="Y96" s="171"/>
      <c r="Z96" s="171"/>
      <c r="AA96" s="171"/>
      <c r="AB96" s="171"/>
      <c r="AC96" s="171"/>
      <c r="AD96" s="171"/>
      <c r="AE96" s="171"/>
      <c r="AF96" s="171"/>
      <c r="AG96" s="171"/>
      <c r="AH96" s="171"/>
    </row>
    <row r="97" spans="3:34" s="230" customFormat="1" ht="15" hidden="1" customHeight="1">
      <c r="C97" s="994"/>
      <c r="D97" s="173" t="str">
        <f>IF(Indice_index!$Z$1=1,"novembro","November")</f>
        <v>novembro</v>
      </c>
      <c r="E97" s="173">
        <v>407421</v>
      </c>
      <c r="F97" s="173">
        <v>71630</v>
      </c>
      <c r="G97" s="173">
        <v>162922</v>
      </c>
      <c r="H97" s="173">
        <v>641973</v>
      </c>
      <c r="I97" s="172">
        <v>2172.6999999999998</v>
      </c>
      <c r="J97" s="172"/>
      <c r="K97" s="173">
        <v>444449</v>
      </c>
      <c r="M97" s="233"/>
      <c r="N97" s="233"/>
      <c r="O97" s="233"/>
      <c r="P97" s="233"/>
      <c r="Q97" s="233"/>
      <c r="R97" s="233"/>
      <c r="S97" s="233"/>
      <c r="T97" s="50"/>
      <c r="U97" s="171"/>
      <c r="V97" s="171"/>
      <c r="W97" s="171"/>
      <c r="X97" s="171"/>
      <c r="Y97" s="171"/>
      <c r="Z97" s="171"/>
      <c r="AA97" s="171"/>
      <c r="AB97" s="171"/>
      <c r="AC97" s="171"/>
      <c r="AD97" s="171"/>
      <c r="AE97" s="171"/>
      <c r="AF97" s="171"/>
      <c r="AG97" s="171"/>
      <c r="AH97" s="171"/>
    </row>
    <row r="98" spans="3:34" s="172" customFormat="1" ht="15" hidden="1" customHeight="1">
      <c r="C98" s="996"/>
      <c r="D98" s="173" t="str">
        <f>IF(Indice_index!$Z$1=1,"dezembro","December")</f>
        <v>dezembro</v>
      </c>
      <c r="E98" s="173">
        <v>407476</v>
      </c>
      <c r="F98" s="173">
        <v>71656</v>
      </c>
      <c r="G98" s="173">
        <v>163168</v>
      </c>
      <c r="H98" s="173">
        <v>642300</v>
      </c>
      <c r="I98" s="172">
        <v>1119.8</v>
      </c>
      <c r="J98" s="173"/>
      <c r="K98" s="173">
        <v>443528</v>
      </c>
      <c r="M98" s="233"/>
      <c r="N98" s="233"/>
      <c r="O98" s="233"/>
      <c r="P98" s="233"/>
      <c r="Q98" s="233"/>
      <c r="R98" s="233"/>
      <c r="S98" s="233"/>
      <c r="T98" s="162"/>
      <c r="U98" s="173"/>
      <c r="V98" s="173"/>
      <c r="W98" s="173"/>
      <c r="X98" s="173"/>
      <c r="Y98" s="173"/>
      <c r="Z98" s="173"/>
      <c r="AA98" s="173"/>
      <c r="AB98" s="173"/>
      <c r="AC98" s="173"/>
      <c r="AD98" s="173"/>
      <c r="AE98" s="173"/>
      <c r="AF98" s="173"/>
      <c r="AG98" s="173"/>
      <c r="AH98" s="173"/>
    </row>
    <row r="99" spans="3:34" s="230" customFormat="1" ht="15" customHeight="1">
      <c r="C99" s="995">
        <v>2019</v>
      </c>
      <c r="D99" s="173"/>
      <c r="E99" s="173"/>
      <c r="F99" s="173"/>
      <c r="G99" s="173"/>
      <c r="H99" s="173"/>
      <c r="I99" s="172"/>
      <c r="J99" s="172"/>
      <c r="K99" s="173"/>
      <c r="M99" s="233"/>
      <c r="N99" s="233"/>
      <c r="O99" s="233"/>
      <c r="P99" s="233"/>
      <c r="Q99" s="233"/>
      <c r="R99" s="233"/>
      <c r="S99" s="233"/>
      <c r="T99" s="50"/>
      <c r="U99" s="171"/>
      <c r="V99" s="171"/>
      <c r="W99" s="171"/>
      <c r="X99" s="171"/>
      <c r="Y99" s="171"/>
      <c r="Z99" s="171"/>
      <c r="AA99" s="171"/>
      <c r="AB99" s="171"/>
      <c r="AC99" s="171"/>
      <c r="AD99" s="171"/>
      <c r="AE99" s="171"/>
      <c r="AF99" s="171"/>
      <c r="AG99" s="171"/>
      <c r="AH99" s="171"/>
    </row>
    <row r="100" spans="3:34" s="230" customFormat="1" ht="15" customHeight="1">
      <c r="C100" s="994"/>
      <c r="D100" s="173" t="str">
        <f>IF(Indice_index!$Z$1=1,"janeiro","January")</f>
        <v>janeiro</v>
      </c>
      <c r="E100" s="997">
        <v>407457</v>
      </c>
      <c r="F100" s="997">
        <v>71632</v>
      </c>
      <c r="G100" s="997">
        <v>163301</v>
      </c>
      <c r="H100" s="997">
        <v>642390</v>
      </c>
      <c r="I100" s="998">
        <v>1144.9000000000001</v>
      </c>
      <c r="J100" s="998"/>
      <c r="K100" s="997">
        <v>442491</v>
      </c>
      <c r="M100" s="233"/>
      <c r="N100" s="233"/>
      <c r="O100" s="233"/>
      <c r="P100" s="233"/>
      <c r="Q100" s="233"/>
      <c r="R100" s="233"/>
      <c r="S100" s="233"/>
      <c r="T100" s="50"/>
      <c r="U100" s="171"/>
      <c r="V100" s="171"/>
      <c r="W100" s="171"/>
      <c r="X100" s="171"/>
      <c r="Y100" s="171"/>
      <c r="Z100" s="171"/>
      <c r="AA100" s="171"/>
      <c r="AB100" s="171"/>
      <c r="AC100" s="171"/>
      <c r="AD100" s="171"/>
      <c r="AE100" s="171"/>
      <c r="AF100" s="171"/>
      <c r="AG100" s="171"/>
      <c r="AH100" s="171"/>
    </row>
    <row r="101" spans="3:34" s="230" customFormat="1" ht="15" customHeight="1">
      <c r="C101" s="994"/>
      <c r="D101" s="173" t="str">
        <f>IF(Indice_index!$Z$1=1,"fevereiro","February")</f>
        <v>fevereiro</v>
      </c>
      <c r="E101" s="997">
        <v>407174</v>
      </c>
      <c r="F101" s="997">
        <v>71523</v>
      </c>
      <c r="G101" s="997">
        <v>163477</v>
      </c>
      <c r="H101" s="997">
        <v>642174</v>
      </c>
      <c r="I101" s="998">
        <v>1120.0999999999999</v>
      </c>
      <c r="J101" s="998"/>
      <c r="K101" s="997">
        <v>441603</v>
      </c>
      <c r="M101" s="233"/>
      <c r="N101" s="233"/>
      <c r="O101" s="233"/>
      <c r="P101" s="233"/>
      <c r="Q101" s="233"/>
      <c r="R101" s="233"/>
      <c r="S101" s="233"/>
      <c r="T101" s="50"/>
      <c r="U101" s="171"/>
      <c r="V101" s="171"/>
      <c r="W101" s="171"/>
      <c r="X101" s="171"/>
      <c r="Y101" s="171"/>
      <c r="Z101" s="171"/>
      <c r="AA101" s="171"/>
      <c r="AB101" s="171"/>
      <c r="AC101" s="171"/>
      <c r="AD101" s="171"/>
      <c r="AE101" s="171"/>
      <c r="AF101" s="171"/>
      <c r="AG101" s="171"/>
      <c r="AH101" s="171"/>
    </row>
    <row r="102" spans="3:34" s="230" customFormat="1" ht="15" customHeight="1">
      <c r="C102" s="994"/>
      <c r="D102" s="173" t="str">
        <f>IF(Indice_index!$Z$1=1,"março","March")</f>
        <v>março</v>
      </c>
      <c r="E102" s="997">
        <v>406468</v>
      </c>
      <c r="F102" s="997">
        <v>71486</v>
      </c>
      <c r="G102" s="997">
        <v>163448</v>
      </c>
      <c r="H102" s="997">
        <v>641402</v>
      </c>
      <c r="I102" s="998">
        <v>1108.9000000000001</v>
      </c>
      <c r="J102" s="998"/>
      <c r="K102" s="997">
        <v>440601</v>
      </c>
      <c r="M102" s="233"/>
      <c r="N102" s="233"/>
      <c r="O102" s="233"/>
      <c r="P102" s="233"/>
      <c r="Q102" s="233"/>
      <c r="R102" s="233"/>
      <c r="S102" s="233"/>
      <c r="T102" s="50"/>
      <c r="U102" s="171"/>
      <c r="V102" s="171"/>
      <c r="W102" s="171"/>
      <c r="X102" s="171"/>
      <c r="Y102" s="171"/>
      <c r="Z102" s="171"/>
      <c r="AA102" s="171"/>
      <c r="AB102" s="171"/>
      <c r="AC102" s="171"/>
      <c r="AD102" s="171"/>
      <c r="AE102" s="171"/>
      <c r="AF102" s="171"/>
      <c r="AG102" s="171"/>
      <c r="AH102" s="171"/>
    </row>
    <row r="103" spans="3:34" s="230" customFormat="1" ht="15" customHeight="1">
      <c r="C103" s="994"/>
      <c r="D103" s="173" t="str">
        <f>IF(Indice_index!$Z$1=1,"abril","April")</f>
        <v>abril</v>
      </c>
      <c r="E103" s="997">
        <v>406554</v>
      </c>
      <c r="F103" s="997">
        <v>71547</v>
      </c>
      <c r="G103" s="997">
        <v>163401</v>
      </c>
      <c r="H103" s="997">
        <v>641502</v>
      </c>
      <c r="I103" s="998">
        <v>1115.8</v>
      </c>
      <c r="J103" s="998"/>
      <c r="K103" s="997">
        <v>439717</v>
      </c>
      <c r="M103" s="233"/>
      <c r="N103" s="233"/>
      <c r="O103" s="233"/>
      <c r="P103" s="233"/>
      <c r="Q103" s="233"/>
      <c r="R103" s="233"/>
      <c r="S103" s="233"/>
      <c r="T103" s="50"/>
      <c r="U103" s="171"/>
      <c r="V103" s="171"/>
      <c r="W103" s="171"/>
      <c r="X103" s="171"/>
      <c r="Y103" s="171"/>
      <c r="Z103" s="171"/>
      <c r="AA103" s="171"/>
      <c r="AB103" s="171"/>
      <c r="AC103" s="171"/>
      <c r="AD103" s="171"/>
      <c r="AE103" s="171"/>
      <c r="AF103" s="171"/>
      <c r="AG103" s="171"/>
      <c r="AH103" s="171"/>
    </row>
    <row r="104" spans="3:34" s="230" customFormat="1" ht="15" customHeight="1">
      <c r="C104" s="994"/>
      <c r="D104" s="173" t="str">
        <f>IF(Indice_index!$Z$1=1,"maio","May")</f>
        <v>maio</v>
      </c>
      <c r="E104" s="997">
        <v>406842</v>
      </c>
      <c r="F104" s="997">
        <v>71546</v>
      </c>
      <c r="G104" s="997">
        <v>163306</v>
      </c>
      <c r="H104" s="997">
        <v>641694</v>
      </c>
      <c r="I104" s="998">
        <v>1112.3</v>
      </c>
      <c r="J104" s="998"/>
      <c r="K104" s="997">
        <v>438794</v>
      </c>
      <c r="M104" s="233"/>
      <c r="N104" s="233"/>
      <c r="O104" s="233"/>
      <c r="P104" s="233"/>
      <c r="Q104" s="233"/>
      <c r="R104" s="233"/>
      <c r="S104" s="233"/>
      <c r="T104" s="50"/>
      <c r="U104" s="171"/>
      <c r="V104" s="171"/>
      <c r="W104" s="171"/>
      <c r="X104" s="171"/>
      <c r="Y104" s="171"/>
      <c r="Z104" s="171"/>
      <c r="AA104" s="171"/>
      <c r="AB104" s="171"/>
      <c r="AC104" s="171"/>
      <c r="AD104" s="171"/>
      <c r="AE104" s="171"/>
      <c r="AF104" s="171"/>
      <c r="AG104" s="171"/>
      <c r="AH104" s="171"/>
    </row>
    <row r="105" spans="3:34" s="230" customFormat="1" ht="15" customHeight="1">
      <c r="C105" s="994"/>
      <c r="D105" s="173" t="str">
        <f>IF(Indice_index!$Z$1=1,"junho","June")</f>
        <v>junho</v>
      </c>
      <c r="E105" s="997">
        <v>406804</v>
      </c>
      <c r="F105" s="997">
        <v>71532</v>
      </c>
      <c r="G105" s="997">
        <v>163596</v>
      </c>
      <c r="H105" s="997">
        <v>641932</v>
      </c>
      <c r="I105" s="998">
        <v>1113.0999999999999</v>
      </c>
      <c r="J105" s="998"/>
      <c r="K105" s="997">
        <v>437767</v>
      </c>
      <c r="M105" s="233"/>
      <c r="N105" s="233"/>
      <c r="O105" s="233"/>
      <c r="P105" s="233"/>
      <c r="Q105" s="233"/>
      <c r="R105" s="233"/>
      <c r="S105" s="233"/>
      <c r="T105" s="50"/>
      <c r="U105" s="171"/>
      <c r="V105" s="171"/>
      <c r="W105" s="171"/>
      <c r="X105" s="171"/>
      <c r="Y105" s="171"/>
      <c r="Z105" s="171"/>
      <c r="AA105" s="171"/>
      <c r="AB105" s="171"/>
      <c r="AC105" s="171"/>
      <c r="AD105" s="171"/>
      <c r="AE105" s="171"/>
      <c r="AF105" s="171"/>
      <c r="AG105" s="171"/>
      <c r="AH105" s="171"/>
    </row>
    <row r="106" spans="3:34" s="230" customFormat="1" ht="15" customHeight="1">
      <c r="C106" s="994"/>
      <c r="D106" s="173" t="str">
        <f>IF(Indice_index!$Z$1=1,"julho","July")</f>
        <v>julho</v>
      </c>
      <c r="E106" s="997">
        <v>407083</v>
      </c>
      <c r="F106" s="997">
        <v>71510</v>
      </c>
      <c r="G106" s="997">
        <v>163772</v>
      </c>
      <c r="H106" s="997">
        <v>642365</v>
      </c>
      <c r="I106" s="998">
        <v>2173.6</v>
      </c>
      <c r="J106" s="998"/>
      <c r="K106" s="997">
        <v>436900</v>
      </c>
      <c r="M106" s="233"/>
      <c r="N106" s="233"/>
      <c r="O106" s="233"/>
      <c r="P106" s="233"/>
      <c r="Q106" s="233"/>
      <c r="R106" s="233"/>
      <c r="S106" s="233"/>
      <c r="T106" s="50"/>
      <c r="U106" s="171"/>
      <c r="V106" s="171"/>
      <c r="W106" s="171"/>
      <c r="X106" s="171"/>
      <c r="Y106" s="171"/>
      <c r="Z106" s="171"/>
      <c r="AA106" s="171"/>
      <c r="AB106" s="171"/>
      <c r="AC106" s="171"/>
      <c r="AD106" s="171"/>
      <c r="AE106" s="171"/>
      <c r="AF106" s="171"/>
      <c r="AG106" s="171"/>
      <c r="AH106" s="171"/>
    </row>
    <row r="107" spans="3:34" s="230" customFormat="1" ht="15" customHeight="1">
      <c r="C107" s="994"/>
      <c r="D107" s="173" t="str">
        <f>IF(Indice_index!$Z$1=1,"agosto","August")</f>
        <v>agosto</v>
      </c>
      <c r="E107" s="997">
        <v>407210</v>
      </c>
      <c r="F107" s="997">
        <v>71452</v>
      </c>
      <c r="G107" s="997">
        <v>164027</v>
      </c>
      <c r="H107" s="997">
        <v>642689</v>
      </c>
      <c r="I107" s="998">
        <v>1132.9000000000001</v>
      </c>
      <c r="J107" s="998"/>
      <c r="K107" s="997">
        <v>435837</v>
      </c>
      <c r="M107" s="228"/>
      <c r="N107" s="228"/>
      <c r="O107" s="228"/>
      <c r="P107" s="228"/>
      <c r="Q107" s="228"/>
      <c r="R107" s="228"/>
      <c r="S107" s="228"/>
      <c r="T107" s="50"/>
      <c r="U107" s="171"/>
      <c r="V107" s="171"/>
      <c r="W107" s="171"/>
      <c r="X107" s="171"/>
      <c r="Y107" s="171"/>
      <c r="Z107" s="171"/>
      <c r="AA107" s="171"/>
      <c r="AB107" s="171"/>
      <c r="AC107" s="171"/>
      <c r="AD107" s="171"/>
      <c r="AE107" s="171"/>
      <c r="AF107" s="171"/>
      <c r="AG107" s="171"/>
      <c r="AH107" s="171"/>
    </row>
    <row r="108" spans="3:34" s="230" customFormat="1" ht="15" customHeight="1">
      <c r="C108" s="994"/>
      <c r="D108" s="173" t="str">
        <f>IF(Indice_index!$Z$1=1,"setembro","September")</f>
        <v>setembro</v>
      </c>
      <c r="E108" s="997">
        <v>407461</v>
      </c>
      <c r="F108" s="997">
        <v>71450</v>
      </c>
      <c r="G108" s="997">
        <v>164231</v>
      </c>
      <c r="H108" s="997">
        <v>643142</v>
      </c>
      <c r="I108" s="998">
        <v>1113.5999999999999</v>
      </c>
      <c r="J108" s="998"/>
      <c r="K108" s="997">
        <v>434703</v>
      </c>
      <c r="M108" s="228"/>
      <c r="N108" s="228"/>
      <c r="O108" s="228"/>
      <c r="P108" s="228"/>
      <c r="Q108" s="228"/>
      <c r="R108" s="228"/>
      <c r="S108" s="228"/>
      <c r="T108" s="50"/>
      <c r="U108" s="171"/>
      <c r="V108" s="171"/>
      <c r="W108" s="171"/>
      <c r="X108" s="171"/>
      <c r="Y108" s="171"/>
      <c r="Z108" s="171"/>
      <c r="AA108" s="171"/>
      <c r="AB108" s="171"/>
      <c r="AC108" s="171"/>
      <c r="AD108" s="171"/>
      <c r="AE108" s="171"/>
      <c r="AF108" s="171"/>
      <c r="AG108" s="171"/>
      <c r="AH108" s="171"/>
    </row>
    <row r="109" spans="3:34" s="230" customFormat="1" ht="15" customHeight="1">
      <c r="C109" s="994"/>
      <c r="D109" s="173" t="str">
        <f>IF(Indice_index!$Z$1=1,"outubro","October")</f>
        <v>outubro</v>
      </c>
      <c r="E109" s="999">
        <v>407389</v>
      </c>
      <c r="F109" s="999">
        <v>71309</v>
      </c>
      <c r="G109" s="999">
        <v>164320</v>
      </c>
      <c r="H109" s="999">
        <v>643018</v>
      </c>
      <c r="I109" s="1000">
        <v>1111.7</v>
      </c>
      <c r="J109" s="1000"/>
      <c r="K109" s="999">
        <v>433596</v>
      </c>
      <c r="M109" s="228"/>
      <c r="N109" s="228"/>
      <c r="O109" s="228"/>
      <c r="P109" s="228"/>
      <c r="Q109" s="228"/>
      <c r="R109" s="228"/>
      <c r="S109" s="228"/>
      <c r="T109" s="50"/>
      <c r="U109" s="171"/>
      <c r="V109" s="171"/>
      <c r="W109" s="171"/>
      <c r="X109" s="171"/>
      <c r="Y109" s="171"/>
      <c r="Z109" s="171"/>
      <c r="AA109" s="171"/>
      <c r="AB109" s="171"/>
      <c r="AC109" s="171"/>
      <c r="AD109" s="171"/>
      <c r="AE109" s="171"/>
      <c r="AF109" s="171"/>
      <c r="AG109" s="171"/>
      <c r="AH109" s="171"/>
    </row>
    <row r="110" spans="3:34" s="230" customFormat="1" ht="15" customHeight="1">
      <c r="C110" s="994"/>
      <c r="D110" s="173" t="str">
        <f>IF(Indice_index!$Z$1=1,"novembro","November")</f>
        <v>novembro</v>
      </c>
      <c r="E110" s="1001">
        <v>408592</v>
      </c>
      <c r="F110" s="1001">
        <v>71287</v>
      </c>
      <c r="G110" s="1001">
        <v>164693</v>
      </c>
      <c r="H110" s="1001">
        <v>644572</v>
      </c>
      <c r="I110" s="1002">
        <v>2221.3000000000002</v>
      </c>
      <c r="J110" s="1002"/>
      <c r="K110" s="1001">
        <v>432386</v>
      </c>
      <c r="M110" s="228"/>
      <c r="N110" s="228"/>
      <c r="O110" s="228"/>
      <c r="P110" s="228"/>
      <c r="Q110" s="228"/>
      <c r="R110" s="228"/>
      <c r="S110" s="228"/>
      <c r="T110" s="50"/>
      <c r="U110" s="171"/>
      <c r="V110" s="171"/>
      <c r="W110" s="171"/>
      <c r="X110" s="171"/>
      <c r="Y110" s="171"/>
      <c r="Z110" s="171"/>
      <c r="AA110" s="171"/>
      <c r="AB110" s="171"/>
      <c r="AC110" s="171"/>
      <c r="AD110" s="171"/>
      <c r="AE110" s="171"/>
      <c r="AF110" s="171"/>
      <c r="AG110" s="171"/>
      <c r="AH110" s="171"/>
    </row>
    <row r="111" spans="3:34" s="172" customFormat="1" ht="15" customHeight="1">
      <c r="C111" s="996"/>
      <c r="D111" s="173" t="str">
        <f>IF(Indice_index!$Z$1=1,"dezembro","December")</f>
        <v>dezembro</v>
      </c>
      <c r="E111" s="173">
        <v>409789</v>
      </c>
      <c r="F111" s="173">
        <v>71225</v>
      </c>
      <c r="G111" s="173">
        <v>164514</v>
      </c>
      <c r="H111" s="173">
        <v>645528</v>
      </c>
      <c r="I111" s="172">
        <v>1129.8</v>
      </c>
      <c r="J111" s="173"/>
      <c r="K111" s="173">
        <v>431132</v>
      </c>
      <c r="M111" s="228"/>
      <c r="N111" s="228"/>
      <c r="O111" s="228"/>
      <c r="P111" s="228"/>
      <c r="Q111" s="228"/>
      <c r="R111" s="228"/>
      <c r="S111" s="228"/>
      <c r="T111" s="162"/>
      <c r="U111" s="173"/>
      <c r="V111" s="173"/>
      <c r="W111" s="173"/>
      <c r="X111" s="173"/>
      <c r="Y111" s="173"/>
      <c r="Z111" s="173"/>
      <c r="AA111" s="173"/>
      <c r="AB111" s="173"/>
      <c r="AC111" s="173"/>
      <c r="AD111" s="173"/>
      <c r="AE111" s="173"/>
      <c r="AF111" s="173"/>
      <c r="AG111" s="173"/>
      <c r="AH111" s="173"/>
    </row>
    <row r="112" spans="3:34" s="230" customFormat="1" ht="15" customHeight="1">
      <c r="C112" s="995">
        <v>2020</v>
      </c>
      <c r="D112" s="173"/>
      <c r="E112" s="173"/>
      <c r="F112" s="173"/>
      <c r="G112" s="173"/>
      <c r="H112" s="173"/>
      <c r="I112" s="172"/>
      <c r="J112" s="172"/>
      <c r="K112" s="173"/>
      <c r="M112" s="233"/>
      <c r="N112" s="233"/>
      <c r="O112" s="233"/>
      <c r="P112" s="233"/>
      <c r="Q112" s="233"/>
      <c r="R112" s="233"/>
      <c r="S112" s="233"/>
      <c r="T112" s="50"/>
      <c r="U112" s="171"/>
      <c r="V112" s="171"/>
      <c r="W112" s="171"/>
      <c r="X112" s="171"/>
      <c r="Y112" s="171"/>
      <c r="Z112" s="171"/>
      <c r="AA112" s="171"/>
      <c r="AB112" s="171"/>
      <c r="AC112" s="171"/>
      <c r="AD112" s="171"/>
      <c r="AE112" s="171"/>
      <c r="AF112" s="171"/>
      <c r="AG112" s="171"/>
      <c r="AH112" s="171"/>
    </row>
    <row r="113" spans="3:34" s="230" customFormat="1" ht="15" customHeight="1">
      <c r="C113" s="994"/>
      <c r="D113" s="173" t="str">
        <f>IF(Indice_index!$Z$1=1,"janeiro","January")</f>
        <v>janeiro</v>
      </c>
      <c r="E113" s="997">
        <v>410101</v>
      </c>
      <c r="F113" s="997">
        <v>71061</v>
      </c>
      <c r="G113" s="997">
        <v>165420</v>
      </c>
      <c r="H113" s="997">
        <v>646582</v>
      </c>
      <c r="I113" s="998">
        <v>1146.5</v>
      </c>
      <c r="J113" s="998"/>
      <c r="K113" s="997">
        <v>429965</v>
      </c>
      <c r="M113" s="233"/>
      <c r="N113" s="233"/>
      <c r="O113" s="233"/>
      <c r="P113" s="233"/>
      <c r="Q113" s="233"/>
      <c r="R113" s="233"/>
      <c r="S113" s="233"/>
      <c r="T113" s="50"/>
      <c r="U113" s="171"/>
      <c r="V113" s="171"/>
      <c r="W113" s="171"/>
      <c r="X113" s="171"/>
      <c r="Y113" s="171"/>
      <c r="Z113" s="171"/>
      <c r="AA113" s="171"/>
      <c r="AB113" s="171"/>
      <c r="AC113" s="171"/>
      <c r="AD113" s="171"/>
      <c r="AE113" s="171"/>
      <c r="AF113" s="171"/>
      <c r="AG113" s="171"/>
      <c r="AH113" s="171"/>
    </row>
    <row r="114" spans="3:34" s="230" customFormat="1" ht="15" customHeight="1">
      <c r="C114" s="994"/>
      <c r="D114" s="173" t="str">
        <f>IF(Indice_index!$Z$1=1,"fevereiro","February")</f>
        <v>fevereiro</v>
      </c>
      <c r="E114" s="997">
        <v>410094</v>
      </c>
      <c r="F114" s="997">
        <v>70877</v>
      </c>
      <c r="G114" s="997">
        <v>165251</v>
      </c>
      <c r="H114" s="997">
        <v>646222</v>
      </c>
      <c r="I114" s="998">
        <v>1125.4000000000001</v>
      </c>
      <c r="J114" s="998"/>
      <c r="K114" s="997">
        <v>428711</v>
      </c>
      <c r="M114" s="233"/>
      <c r="N114" s="233"/>
      <c r="O114" s="233"/>
      <c r="P114" s="233"/>
      <c r="Q114" s="233"/>
      <c r="R114" s="233"/>
      <c r="S114" s="233"/>
      <c r="T114" s="50"/>
      <c r="U114" s="171"/>
      <c r="V114" s="171"/>
      <c r="W114" s="171"/>
      <c r="X114" s="171"/>
      <c r="Y114" s="171"/>
      <c r="Z114" s="171"/>
      <c r="AA114" s="171"/>
      <c r="AB114" s="171"/>
      <c r="AC114" s="171"/>
      <c r="AD114" s="171"/>
      <c r="AE114" s="171"/>
      <c r="AF114" s="171"/>
      <c r="AG114" s="171"/>
      <c r="AH114" s="171"/>
    </row>
    <row r="115" spans="3:34" s="230" customFormat="1" ht="15" customHeight="1">
      <c r="C115" s="994"/>
      <c r="D115" s="173" t="str">
        <f>IF(Indice_index!$Z$1=1,"março","March")</f>
        <v>março</v>
      </c>
      <c r="E115" s="997">
        <v>410087</v>
      </c>
      <c r="F115" s="997">
        <v>70899</v>
      </c>
      <c r="G115" s="997">
        <v>165182</v>
      </c>
      <c r="H115" s="997">
        <v>646168</v>
      </c>
      <c r="I115" s="998">
        <v>1121.3</v>
      </c>
      <c r="J115" s="998"/>
      <c r="K115" s="997">
        <v>427630</v>
      </c>
      <c r="M115" s="233"/>
      <c r="N115" s="233"/>
      <c r="O115" s="233"/>
      <c r="P115" s="233"/>
      <c r="Q115" s="233"/>
      <c r="R115" s="233"/>
      <c r="S115" s="233"/>
      <c r="T115" s="50"/>
      <c r="U115" s="171"/>
      <c r="V115" s="171"/>
      <c r="W115" s="171"/>
      <c r="X115" s="171"/>
      <c r="Y115" s="171"/>
      <c r="Z115" s="171"/>
      <c r="AA115" s="171"/>
      <c r="AB115" s="171"/>
      <c r="AC115" s="171"/>
      <c r="AD115" s="171"/>
      <c r="AE115" s="171"/>
      <c r="AF115" s="171"/>
      <c r="AG115" s="171"/>
      <c r="AH115" s="171"/>
    </row>
    <row r="116" spans="3:34" s="230" customFormat="1" ht="15" customHeight="1">
      <c r="C116" s="994"/>
      <c r="D116" s="173" t="str">
        <f>IF(Indice_index!$Z$1=1,"abril","April")</f>
        <v>abril</v>
      </c>
      <c r="E116" s="997">
        <v>410375</v>
      </c>
      <c r="F116" s="997">
        <v>70760</v>
      </c>
      <c r="G116" s="997">
        <v>165317</v>
      </c>
      <c r="H116" s="997">
        <v>646452</v>
      </c>
      <c r="I116" s="998">
        <v>1121.3</v>
      </c>
      <c r="J116" s="998"/>
      <c r="K116" s="997">
        <v>426527</v>
      </c>
      <c r="M116" s="233"/>
      <c r="N116" s="233"/>
      <c r="O116" s="233"/>
      <c r="P116" s="233"/>
      <c r="Q116" s="233"/>
      <c r="R116" s="233"/>
      <c r="S116" s="233"/>
      <c r="T116" s="50"/>
      <c r="U116" s="171"/>
      <c r="V116" s="171"/>
      <c r="W116" s="171"/>
      <c r="X116" s="171"/>
      <c r="Y116" s="171"/>
      <c r="Z116" s="171"/>
      <c r="AA116" s="171"/>
      <c r="AB116" s="171"/>
      <c r="AC116" s="171"/>
      <c r="AD116" s="171"/>
      <c r="AE116" s="171"/>
      <c r="AF116" s="171"/>
      <c r="AG116" s="171"/>
      <c r="AH116" s="171"/>
    </row>
    <row r="117" spans="3:34" s="230" customFormat="1" ht="15" customHeight="1">
      <c r="C117" s="994"/>
      <c r="D117" s="173" t="str">
        <f>IF(Indice_index!$Z$1=1,"maio","May")</f>
        <v>maio</v>
      </c>
      <c r="E117" s="1003">
        <v>410802</v>
      </c>
      <c r="F117" s="1003">
        <v>70571</v>
      </c>
      <c r="G117" s="1003">
        <v>165247</v>
      </c>
      <c r="H117" s="1003">
        <v>646620</v>
      </c>
      <c r="I117" s="1004">
        <v>1119.5999999999999</v>
      </c>
      <c r="J117" s="1004"/>
      <c r="K117" s="1003">
        <v>425361</v>
      </c>
      <c r="M117" s="233"/>
      <c r="N117" s="233"/>
      <c r="O117" s="233"/>
      <c r="P117" s="233"/>
      <c r="Q117" s="233"/>
      <c r="R117" s="233"/>
      <c r="S117" s="233"/>
      <c r="T117" s="50"/>
      <c r="U117" s="171"/>
      <c r="V117" s="171"/>
      <c r="W117" s="171"/>
      <c r="X117" s="171"/>
      <c r="Y117" s="171"/>
      <c r="Z117" s="171"/>
      <c r="AA117" s="171"/>
      <c r="AB117" s="171"/>
      <c r="AC117" s="171"/>
      <c r="AD117" s="171"/>
      <c r="AE117" s="171"/>
      <c r="AF117" s="171"/>
      <c r="AG117" s="171"/>
      <c r="AH117" s="171"/>
    </row>
    <row r="118" spans="3:34" s="230" customFormat="1" ht="15" customHeight="1">
      <c r="C118" s="994"/>
      <c r="D118" s="173" t="str">
        <f>IF(Indice_index!$Z$1=1,"junho","June")</f>
        <v>junho</v>
      </c>
      <c r="E118" s="997">
        <v>411240</v>
      </c>
      <c r="F118" s="997">
        <v>70372</v>
      </c>
      <c r="G118" s="997">
        <v>165253</v>
      </c>
      <c r="H118" s="997">
        <v>646865</v>
      </c>
      <c r="I118" s="998">
        <v>1119.5999999999999</v>
      </c>
      <c r="J118" s="998"/>
      <c r="K118" s="997">
        <v>424164</v>
      </c>
      <c r="M118" s="233"/>
      <c r="N118" s="233"/>
      <c r="O118" s="233"/>
      <c r="P118" s="233"/>
      <c r="Q118" s="233"/>
      <c r="R118" s="233"/>
      <c r="S118" s="233"/>
      <c r="T118" s="50"/>
      <c r="U118" s="171"/>
      <c r="V118" s="171"/>
      <c r="W118" s="171"/>
      <c r="X118" s="171"/>
      <c r="Y118" s="171"/>
      <c r="Z118" s="171"/>
      <c r="AA118" s="171"/>
      <c r="AB118" s="171"/>
      <c r="AC118" s="171"/>
      <c r="AD118" s="171"/>
      <c r="AE118" s="171"/>
      <c r="AF118" s="171"/>
      <c r="AG118" s="171"/>
      <c r="AH118" s="171"/>
    </row>
    <row r="119" spans="3:34" s="230" customFormat="1" ht="15" customHeight="1">
      <c r="C119" s="994"/>
      <c r="D119" s="173" t="str">
        <f>IF(Indice_index!$Z$1=1,"julho","July")</f>
        <v>julho</v>
      </c>
      <c r="E119" s="997">
        <v>411780</v>
      </c>
      <c r="F119" s="997">
        <v>70237</v>
      </c>
      <c r="G119" s="997">
        <v>165534</v>
      </c>
      <c r="H119" s="997">
        <v>647551</v>
      </c>
      <c r="I119" s="998">
        <v>2184.8000000000002</v>
      </c>
      <c r="J119" s="998"/>
      <c r="K119" s="997">
        <v>422899</v>
      </c>
      <c r="M119" s="233"/>
      <c r="N119" s="233"/>
      <c r="O119" s="233"/>
      <c r="P119" s="233"/>
      <c r="Q119" s="233"/>
      <c r="R119" s="233"/>
      <c r="S119" s="233"/>
      <c r="T119" s="50"/>
      <c r="U119" s="171"/>
      <c r="V119" s="171"/>
      <c r="W119" s="171"/>
      <c r="X119" s="171"/>
      <c r="Y119" s="171"/>
      <c r="Z119" s="171"/>
      <c r="AA119" s="171"/>
      <c r="AB119" s="171"/>
      <c r="AC119" s="171"/>
      <c r="AD119" s="171"/>
      <c r="AE119" s="171"/>
      <c r="AF119" s="171"/>
      <c r="AG119" s="171"/>
      <c r="AH119" s="171"/>
    </row>
    <row r="120" spans="3:34" s="230" customFormat="1" ht="15" customHeight="1">
      <c r="C120" s="994"/>
      <c r="D120" s="173" t="str">
        <f>IF(Indice_index!$Z$1=1,"agosto","August")</f>
        <v>agosto</v>
      </c>
      <c r="E120" s="997">
        <v>412314</v>
      </c>
      <c r="F120" s="997">
        <v>70041</v>
      </c>
      <c r="G120" s="997">
        <v>165867</v>
      </c>
      <c r="H120" s="997">
        <v>648222</v>
      </c>
      <c r="I120" s="998">
        <v>1124.2</v>
      </c>
      <c r="J120" s="998"/>
      <c r="K120" s="997">
        <v>421587</v>
      </c>
      <c r="M120" s="228"/>
      <c r="N120" s="228"/>
      <c r="O120" s="228"/>
      <c r="P120" s="228"/>
      <c r="Q120" s="228"/>
      <c r="R120" s="228"/>
      <c r="S120" s="228"/>
      <c r="T120" s="50"/>
      <c r="U120" s="171"/>
      <c r="V120" s="171"/>
      <c r="W120" s="171"/>
      <c r="X120" s="171"/>
      <c r="Y120" s="171"/>
      <c r="Z120" s="171"/>
      <c r="AA120" s="171"/>
      <c r="AB120" s="171"/>
      <c r="AC120" s="171"/>
      <c r="AD120" s="171"/>
      <c r="AE120" s="171"/>
      <c r="AF120" s="171"/>
      <c r="AG120" s="171"/>
      <c r="AH120" s="171"/>
    </row>
    <row r="121" spans="3:34" s="230" customFormat="1" ht="15" customHeight="1">
      <c r="C121" s="994"/>
      <c r="D121" s="173" t="str">
        <f>IF(Indice_index!$Z$1=1,"setembro","September")</f>
        <v>setembro</v>
      </c>
      <c r="E121" s="997">
        <v>412631</v>
      </c>
      <c r="F121" s="997">
        <v>69806</v>
      </c>
      <c r="G121" s="997">
        <v>165824</v>
      </c>
      <c r="H121" s="997">
        <v>648261</v>
      </c>
      <c r="I121" s="998">
        <v>1124.9000000000001</v>
      </c>
      <c r="J121" s="998"/>
      <c r="K121" s="997">
        <v>419894</v>
      </c>
      <c r="M121" s="228"/>
      <c r="N121" s="228"/>
      <c r="O121" s="228"/>
      <c r="P121" s="228"/>
      <c r="Q121" s="228"/>
      <c r="R121" s="228"/>
      <c r="S121" s="228"/>
      <c r="T121" s="50"/>
      <c r="U121" s="171"/>
      <c r="V121" s="171"/>
      <c r="W121" s="171"/>
      <c r="X121" s="171"/>
      <c r="Y121" s="171"/>
      <c r="Z121" s="171"/>
      <c r="AA121" s="171"/>
      <c r="AB121" s="171"/>
      <c r="AC121" s="171"/>
      <c r="AD121" s="171"/>
      <c r="AE121" s="171"/>
      <c r="AF121" s="171"/>
      <c r="AG121" s="171"/>
      <c r="AH121" s="171"/>
    </row>
    <row r="122" spans="3:34" s="230" customFormat="1" ht="15" customHeight="1">
      <c r="C122" s="994"/>
      <c r="D122" s="173" t="str">
        <f>IF(Indice_index!$Z$1=1,"outubro","October")</f>
        <v>outubro</v>
      </c>
      <c r="E122" s="1005">
        <v>412895</v>
      </c>
      <c r="F122" s="1005">
        <v>69624</v>
      </c>
      <c r="G122" s="1005">
        <v>165869</v>
      </c>
      <c r="H122" s="1005">
        <v>648388</v>
      </c>
      <c r="I122" s="1006">
        <v>1119.8</v>
      </c>
      <c r="J122" s="1000"/>
      <c r="K122" s="1007">
        <v>418736</v>
      </c>
      <c r="M122" s="228"/>
      <c r="N122" s="228"/>
      <c r="O122" s="228"/>
      <c r="P122" s="228"/>
      <c r="Q122" s="228"/>
      <c r="R122" s="228"/>
      <c r="S122" s="228"/>
      <c r="T122" s="50"/>
      <c r="U122" s="171"/>
      <c r="V122" s="171"/>
      <c r="W122" s="171"/>
      <c r="X122" s="171"/>
      <c r="Y122" s="171"/>
      <c r="Z122" s="171"/>
      <c r="AA122" s="171"/>
      <c r="AB122" s="171"/>
      <c r="AC122" s="171"/>
      <c r="AD122" s="171"/>
      <c r="AE122" s="171"/>
      <c r="AF122" s="171"/>
      <c r="AG122" s="171"/>
      <c r="AH122" s="171"/>
    </row>
    <row r="123" spans="3:34" s="230" customFormat="1" ht="15" customHeight="1">
      <c r="C123" s="994"/>
      <c r="D123" s="173" t="str">
        <f>IF(Indice_index!$Z$1=1,"novembro","November")</f>
        <v>novembro</v>
      </c>
      <c r="E123" s="1008">
        <v>413065</v>
      </c>
      <c r="F123" s="1008">
        <v>69489</v>
      </c>
      <c r="G123" s="1008">
        <v>166049</v>
      </c>
      <c r="H123" s="1008">
        <v>648603</v>
      </c>
      <c r="I123" s="1009">
        <v>2220.1999999999998</v>
      </c>
      <c r="J123" s="1009"/>
      <c r="K123" s="1008">
        <v>418012</v>
      </c>
      <c r="M123" s="228"/>
      <c r="N123" s="228"/>
      <c r="O123" s="228"/>
      <c r="P123" s="228"/>
      <c r="Q123" s="228"/>
      <c r="R123" s="228"/>
      <c r="S123" s="228"/>
      <c r="T123" s="50"/>
      <c r="U123" s="171"/>
      <c r="V123" s="171"/>
      <c r="W123" s="171"/>
      <c r="X123" s="171"/>
      <c r="Y123" s="171"/>
      <c r="Z123" s="171"/>
      <c r="AA123" s="171"/>
      <c r="AB123" s="171"/>
      <c r="AC123" s="171"/>
      <c r="AD123" s="171"/>
      <c r="AE123" s="171"/>
      <c r="AF123" s="171"/>
      <c r="AG123" s="171"/>
      <c r="AH123" s="171"/>
    </row>
    <row r="124" spans="3:34" s="172" customFormat="1" ht="15" customHeight="1">
      <c r="C124" s="996"/>
      <c r="D124" s="173" t="str">
        <f>IF(Indice_index!$Z$1=1,"dezembro","December")</f>
        <v>dezembro</v>
      </c>
      <c r="E124" s="1010">
        <v>413108</v>
      </c>
      <c r="F124" s="1010">
        <v>69321</v>
      </c>
      <c r="G124" s="1010">
        <v>166218</v>
      </c>
      <c r="H124" s="1010">
        <v>648647</v>
      </c>
      <c r="I124" s="1011">
        <v>1140.3</v>
      </c>
      <c r="J124" s="1011"/>
      <c r="K124" s="1010">
        <v>416874</v>
      </c>
      <c r="M124" s="228"/>
      <c r="N124" s="228"/>
      <c r="O124" s="228"/>
      <c r="P124" s="228"/>
      <c r="Q124" s="228"/>
      <c r="R124" s="228"/>
      <c r="S124" s="228"/>
      <c r="T124" s="162"/>
      <c r="U124" s="173"/>
      <c r="V124" s="173"/>
      <c r="W124" s="173"/>
      <c r="X124" s="173"/>
      <c r="Y124" s="173"/>
      <c r="Z124" s="173"/>
      <c r="AA124" s="173"/>
      <c r="AB124" s="173"/>
      <c r="AC124" s="173"/>
      <c r="AD124" s="173"/>
      <c r="AE124" s="173"/>
      <c r="AF124" s="173"/>
      <c r="AG124" s="173"/>
      <c r="AH124" s="173"/>
    </row>
    <row r="125" spans="3:34" s="230" customFormat="1" ht="15" customHeight="1">
      <c r="C125" s="995" t="s">
        <v>67</v>
      </c>
      <c r="D125" s="173"/>
      <c r="E125" s="173"/>
      <c r="F125" s="173"/>
      <c r="G125" s="173"/>
      <c r="H125" s="173"/>
      <c r="I125" s="172"/>
      <c r="J125" s="172"/>
      <c r="K125" s="173"/>
      <c r="M125" s="233"/>
      <c r="N125" s="233"/>
      <c r="O125" s="233"/>
      <c r="P125" s="233"/>
      <c r="Q125" s="233"/>
      <c r="R125" s="233"/>
      <c r="S125" s="233"/>
      <c r="T125" s="50"/>
      <c r="U125" s="171"/>
      <c r="V125" s="171"/>
      <c r="W125" s="171"/>
      <c r="X125" s="171"/>
      <c r="Y125" s="171"/>
      <c r="Z125" s="171"/>
      <c r="AA125" s="171"/>
      <c r="AB125" s="171"/>
      <c r="AC125" s="171"/>
      <c r="AD125" s="171"/>
      <c r="AE125" s="171"/>
      <c r="AF125" s="171"/>
      <c r="AG125" s="171"/>
      <c r="AH125" s="171"/>
    </row>
    <row r="126" spans="3:34" s="230" customFormat="1" ht="15" customHeight="1">
      <c r="C126" s="994"/>
      <c r="D126" s="173" t="str">
        <f>IF(Indice_index!$Z$1=1,"janeiro","January")</f>
        <v>janeiro</v>
      </c>
      <c r="E126" s="997">
        <v>413072</v>
      </c>
      <c r="F126" s="997">
        <v>69149</v>
      </c>
      <c r="G126" s="997">
        <v>166134</v>
      </c>
      <c r="H126" s="997">
        <v>648355</v>
      </c>
      <c r="I126" s="998">
        <v>1156.8</v>
      </c>
      <c r="J126" s="998"/>
      <c r="K126" s="997">
        <v>415779</v>
      </c>
      <c r="M126" s="233"/>
      <c r="N126" s="233"/>
      <c r="O126" s="233"/>
      <c r="P126" s="233"/>
      <c r="Q126" s="233"/>
      <c r="R126" s="233"/>
      <c r="S126" s="233"/>
      <c r="T126" s="50"/>
      <c r="U126" s="171"/>
      <c r="V126" s="171"/>
      <c r="W126" s="171"/>
      <c r="X126" s="171"/>
      <c r="Y126" s="171"/>
      <c r="Z126" s="171"/>
      <c r="AA126" s="171"/>
      <c r="AB126" s="171"/>
      <c r="AC126" s="171"/>
      <c r="AD126" s="171"/>
      <c r="AE126" s="171"/>
      <c r="AF126" s="171"/>
      <c r="AG126" s="171"/>
      <c r="AH126" s="171"/>
    </row>
    <row r="127" spans="3:34" s="230" customFormat="1" ht="15" customHeight="1">
      <c r="C127" s="994"/>
      <c r="D127" s="173" t="str">
        <f>IF(Indice_index!$Z$1=1,"fevereiro","February")</f>
        <v>fevereiro</v>
      </c>
      <c r="E127" s="997">
        <v>412612</v>
      </c>
      <c r="F127" s="997">
        <v>68915</v>
      </c>
      <c r="G127" s="997">
        <v>165958</v>
      </c>
      <c r="H127" s="997">
        <v>647485</v>
      </c>
      <c r="I127" s="998">
        <v>1128.3</v>
      </c>
      <c r="J127" s="998"/>
      <c r="K127" s="997">
        <v>414791</v>
      </c>
      <c r="M127" s="233"/>
      <c r="N127" s="233"/>
      <c r="O127" s="233"/>
      <c r="P127" s="233"/>
      <c r="Q127" s="233"/>
      <c r="R127" s="233"/>
      <c r="S127" s="233"/>
      <c r="T127" s="50"/>
      <c r="U127" s="171"/>
      <c r="V127" s="171"/>
      <c r="W127" s="171"/>
      <c r="X127" s="171"/>
      <c r="Y127" s="171"/>
      <c r="Z127" s="171"/>
      <c r="AA127" s="171"/>
      <c r="AB127" s="171"/>
      <c r="AC127" s="171"/>
      <c r="AD127" s="171"/>
      <c r="AE127" s="171"/>
      <c r="AF127" s="171"/>
      <c r="AG127" s="171"/>
      <c r="AH127" s="171"/>
    </row>
    <row r="128" spans="3:34" s="230" customFormat="1" ht="15" customHeight="1">
      <c r="C128" s="994"/>
      <c r="D128" s="173" t="str">
        <f>IF(Indice_index!$Z$1=1,"março","March")</f>
        <v>março</v>
      </c>
      <c r="E128" s="1012">
        <v>411718</v>
      </c>
      <c r="F128" s="1012">
        <v>68662</v>
      </c>
      <c r="G128" s="1012">
        <v>165536</v>
      </c>
      <c r="H128" s="1012">
        <v>645916</v>
      </c>
      <c r="I128" s="1013">
        <v>1128.8</v>
      </c>
      <c r="J128" s="1013"/>
      <c r="K128" s="1012">
        <v>413590</v>
      </c>
      <c r="M128" s="233"/>
      <c r="N128" s="233"/>
      <c r="O128" s="233"/>
      <c r="P128" s="233"/>
      <c r="Q128" s="233"/>
      <c r="R128" s="233"/>
      <c r="S128" s="233"/>
      <c r="T128" s="50"/>
      <c r="U128" s="171"/>
      <c r="V128" s="171"/>
      <c r="W128" s="171"/>
      <c r="X128" s="171"/>
      <c r="Y128" s="171"/>
      <c r="Z128" s="171"/>
      <c r="AA128" s="171"/>
      <c r="AB128" s="171"/>
      <c r="AC128" s="171"/>
      <c r="AD128" s="171"/>
      <c r="AE128" s="171"/>
      <c r="AF128" s="171"/>
      <c r="AG128" s="171"/>
      <c r="AH128" s="171"/>
    </row>
    <row r="129" spans="3:34" s="230" customFormat="1" ht="15" customHeight="1">
      <c r="C129" s="994"/>
      <c r="D129" s="173" t="str">
        <f>IF(Indice_index!$Z$1=1,"abril","April")</f>
        <v>abril</v>
      </c>
      <c r="E129" s="997">
        <v>411435</v>
      </c>
      <c r="F129" s="997">
        <v>68332</v>
      </c>
      <c r="G129" s="997">
        <v>165633</v>
      </c>
      <c r="H129" s="997">
        <v>645400</v>
      </c>
      <c r="I129" s="998">
        <v>1133.4000000000001</v>
      </c>
      <c r="J129" s="998"/>
      <c r="K129" s="997">
        <v>412461</v>
      </c>
      <c r="M129" s="233"/>
      <c r="N129" s="233"/>
      <c r="O129" s="233"/>
      <c r="P129" s="233"/>
      <c r="Q129" s="233"/>
      <c r="R129" s="233"/>
      <c r="S129" s="233"/>
      <c r="T129" s="50"/>
      <c r="U129" s="171"/>
      <c r="V129" s="171"/>
      <c r="W129" s="171"/>
      <c r="X129" s="171"/>
      <c r="Y129" s="171"/>
      <c r="Z129" s="171"/>
      <c r="AA129" s="171"/>
      <c r="AB129" s="171"/>
      <c r="AC129" s="171"/>
      <c r="AD129" s="171"/>
      <c r="AE129" s="171"/>
      <c r="AF129" s="171"/>
      <c r="AG129" s="171"/>
      <c r="AH129" s="171"/>
    </row>
    <row r="130" spans="3:34" s="230" customFormat="1" ht="15" customHeight="1">
      <c r="C130" s="994"/>
      <c r="D130" s="173" t="str">
        <f>IF(Indice_index!$Z$1=1,"maio","May")</f>
        <v>maio</v>
      </c>
      <c r="E130" s="1014">
        <v>411709</v>
      </c>
      <c r="F130" s="1014">
        <v>68218</v>
      </c>
      <c r="G130" s="1014">
        <v>165542</v>
      </c>
      <c r="H130" s="1014">
        <v>645469</v>
      </c>
      <c r="I130" s="1015">
        <v>1132.5</v>
      </c>
      <c r="J130" s="1015"/>
      <c r="K130" s="1014">
        <v>411324</v>
      </c>
      <c r="M130" s="233"/>
      <c r="N130" s="233"/>
      <c r="O130" s="233"/>
      <c r="P130" s="233"/>
      <c r="Q130" s="233"/>
      <c r="R130" s="233"/>
      <c r="S130" s="233"/>
      <c r="T130" s="50"/>
      <c r="U130" s="171"/>
      <c r="V130" s="171"/>
      <c r="W130" s="171"/>
      <c r="X130" s="171"/>
      <c r="Y130" s="171"/>
      <c r="Z130" s="171"/>
      <c r="AA130" s="171"/>
      <c r="AB130" s="171"/>
      <c r="AC130" s="171"/>
      <c r="AD130" s="171"/>
      <c r="AE130" s="171"/>
      <c r="AF130" s="171"/>
      <c r="AG130" s="171"/>
      <c r="AH130" s="171"/>
    </row>
    <row r="131" spans="3:34" s="230" customFormat="1" ht="15" customHeight="1">
      <c r="C131" s="994"/>
      <c r="D131" s="173" t="str">
        <f>IF(Indice_index!$Z$1=1,"junho","June")</f>
        <v>junho</v>
      </c>
      <c r="E131" s="1016">
        <v>412113</v>
      </c>
      <c r="F131" s="1016">
        <v>68103</v>
      </c>
      <c r="G131" s="1016">
        <v>164864</v>
      </c>
      <c r="H131" s="1016">
        <v>645080</v>
      </c>
      <c r="I131" s="1017">
        <v>1132.2</v>
      </c>
      <c r="J131" s="1017"/>
      <c r="K131" s="1016">
        <v>410051</v>
      </c>
      <c r="M131" s="233"/>
      <c r="N131" s="233"/>
      <c r="O131" s="233"/>
      <c r="P131" s="233"/>
      <c r="Q131" s="233"/>
      <c r="R131" s="233"/>
      <c r="S131" s="233"/>
      <c r="T131" s="50"/>
      <c r="U131" s="171"/>
      <c r="V131" s="171"/>
      <c r="W131" s="171"/>
      <c r="X131" s="171"/>
      <c r="Y131" s="171"/>
      <c r="Z131" s="171"/>
      <c r="AA131" s="171"/>
      <c r="AB131" s="171"/>
      <c r="AC131" s="171"/>
      <c r="AD131" s="171"/>
      <c r="AE131" s="171"/>
      <c r="AF131" s="171"/>
      <c r="AG131" s="171"/>
      <c r="AH131" s="171"/>
    </row>
    <row r="132" spans="3:34" s="230" customFormat="1" ht="15" customHeight="1">
      <c r="C132" s="994"/>
      <c r="D132" s="173" t="str">
        <f>IF(Indice_index!$Z$1=1,"julho","July")</f>
        <v>julho</v>
      </c>
      <c r="E132" s="1018">
        <v>412768</v>
      </c>
      <c r="F132" s="1018">
        <v>67998</v>
      </c>
      <c r="G132" s="1018">
        <v>165065</v>
      </c>
      <c r="H132" s="1018">
        <v>645831</v>
      </c>
      <c r="I132" s="1019">
        <v>2207.4</v>
      </c>
      <c r="J132" s="1019"/>
      <c r="K132" s="1018">
        <v>408523</v>
      </c>
      <c r="M132" s="233"/>
      <c r="N132" s="233"/>
      <c r="O132" s="233"/>
      <c r="P132" s="233"/>
      <c r="Q132" s="233"/>
      <c r="R132" s="233"/>
      <c r="S132" s="233"/>
      <c r="T132" s="50"/>
      <c r="U132" s="171"/>
      <c r="V132" s="171"/>
      <c r="W132" s="171"/>
      <c r="X132" s="171"/>
      <c r="Y132" s="171"/>
      <c r="Z132" s="171"/>
      <c r="AA132" s="171"/>
      <c r="AB132" s="171"/>
      <c r="AC132" s="171"/>
      <c r="AD132" s="171"/>
      <c r="AE132" s="171"/>
      <c r="AF132" s="171"/>
      <c r="AG132" s="171"/>
      <c r="AH132" s="171"/>
    </row>
    <row r="133" spans="3:34" s="230" customFormat="1" ht="15" customHeight="1">
      <c r="C133" s="994"/>
      <c r="D133" s="173" t="str">
        <f>IF(Indice_index!$Z$1=1,"agosto","August")</f>
        <v>agosto</v>
      </c>
      <c r="E133" s="1020">
        <v>413403</v>
      </c>
      <c r="F133" s="1020">
        <v>67917</v>
      </c>
      <c r="G133" s="1020">
        <v>165331</v>
      </c>
      <c r="H133" s="1020">
        <v>646651</v>
      </c>
      <c r="I133" s="1021">
        <v>1135.3</v>
      </c>
      <c r="J133" s="1021"/>
      <c r="K133" s="1020">
        <v>407205</v>
      </c>
      <c r="M133" s="228"/>
      <c r="N133" s="228"/>
      <c r="O133" s="228"/>
      <c r="P133" s="228"/>
      <c r="Q133" s="228"/>
      <c r="R133" s="228"/>
      <c r="S133" s="228"/>
      <c r="T133" s="50"/>
      <c r="U133" s="171"/>
      <c r="V133" s="171"/>
      <c r="W133" s="171"/>
      <c r="X133" s="171"/>
      <c r="Y133" s="171"/>
      <c r="Z133" s="171"/>
      <c r="AA133" s="171"/>
      <c r="AB133" s="171"/>
      <c r="AC133" s="171"/>
      <c r="AD133" s="171"/>
      <c r="AE133" s="171"/>
      <c r="AF133" s="171"/>
      <c r="AG133" s="171"/>
      <c r="AH133" s="171"/>
    </row>
    <row r="134" spans="3:34" s="230" customFormat="1" ht="15" customHeight="1">
      <c r="C134" s="994"/>
      <c r="D134" s="173" t="str">
        <f>IF(Indice_index!$Z$1=1,"setembro","September")</f>
        <v>setembro</v>
      </c>
      <c r="E134" s="1022">
        <v>413684</v>
      </c>
      <c r="F134" s="1022">
        <v>67794</v>
      </c>
      <c r="G134" s="1022">
        <v>165391</v>
      </c>
      <c r="H134" s="1022">
        <v>646869</v>
      </c>
      <c r="I134" s="1023">
        <v>1132.3</v>
      </c>
      <c r="J134" s="1023"/>
      <c r="K134" s="1022">
        <v>405793</v>
      </c>
      <c r="M134" s="228"/>
      <c r="N134" s="228"/>
      <c r="O134" s="228"/>
      <c r="P134" s="228"/>
      <c r="Q134" s="228"/>
      <c r="R134" s="228"/>
      <c r="S134" s="228"/>
      <c r="T134" s="50"/>
      <c r="U134" s="171"/>
      <c r="V134" s="171"/>
      <c r="W134" s="171"/>
      <c r="X134" s="171"/>
      <c r="Y134" s="171"/>
      <c r="Z134" s="171"/>
      <c r="AA134" s="171"/>
      <c r="AB134" s="171"/>
      <c r="AC134" s="171"/>
      <c r="AD134" s="171"/>
      <c r="AE134" s="171"/>
      <c r="AF134" s="171"/>
      <c r="AG134" s="171"/>
      <c r="AH134" s="171"/>
    </row>
    <row r="135" spans="3:34" s="230" customFormat="1" ht="15" customHeight="1">
      <c r="C135" s="994"/>
      <c r="D135" s="173" t="str">
        <f>IF(Indice_index!$Z$1=1,"outubro","October")</f>
        <v>outubro</v>
      </c>
      <c r="E135" s="1005">
        <v>413984</v>
      </c>
      <c r="F135" s="1005">
        <v>67651</v>
      </c>
      <c r="G135" s="1005">
        <v>165294</v>
      </c>
      <c r="H135" s="1005">
        <v>646929</v>
      </c>
      <c r="I135" s="1006">
        <v>1133.2</v>
      </c>
      <c r="J135" s="1000"/>
      <c r="K135" s="1007">
        <v>404860</v>
      </c>
      <c r="M135" s="228"/>
      <c r="N135" s="228"/>
      <c r="O135" s="228"/>
      <c r="P135" s="228"/>
      <c r="Q135" s="228"/>
      <c r="R135" s="228"/>
      <c r="S135" s="228"/>
      <c r="T135" s="50"/>
      <c r="U135" s="171"/>
      <c r="V135" s="171"/>
      <c r="W135" s="171"/>
      <c r="X135" s="171"/>
      <c r="Y135" s="171"/>
      <c r="Z135" s="171"/>
      <c r="AA135" s="171"/>
      <c r="AB135" s="171"/>
      <c r="AC135" s="171"/>
      <c r="AD135" s="171"/>
      <c r="AE135" s="171"/>
      <c r="AF135" s="171"/>
      <c r="AG135" s="171"/>
      <c r="AH135" s="171"/>
    </row>
    <row r="136" spans="3:34" s="230" customFormat="1" ht="15" customHeight="1">
      <c r="C136" s="994"/>
      <c r="D136" s="173" t="str">
        <f>IF(Indice_index!$Z$1=1,"novembro","November")</f>
        <v>novembro</v>
      </c>
      <c r="E136" s="1008">
        <v>414230</v>
      </c>
      <c r="F136" s="1008">
        <v>67525</v>
      </c>
      <c r="G136" s="1008">
        <v>165434</v>
      </c>
      <c r="H136" s="1008">
        <v>647189</v>
      </c>
      <c r="I136" s="1009">
        <v>2243</v>
      </c>
      <c r="J136" s="1009"/>
      <c r="K136" s="1008">
        <v>403538</v>
      </c>
      <c r="M136" s="228"/>
      <c r="N136" s="228"/>
      <c r="O136" s="228"/>
      <c r="P136" s="228"/>
      <c r="Q136" s="228"/>
      <c r="R136" s="228"/>
      <c r="S136" s="228"/>
      <c r="T136" s="50"/>
      <c r="U136" s="171"/>
      <c r="V136" s="171"/>
      <c r="W136" s="171"/>
      <c r="X136" s="171"/>
      <c r="Y136" s="171"/>
      <c r="Z136" s="171"/>
      <c r="AA136" s="171"/>
      <c r="AB136" s="171"/>
      <c r="AC136" s="171"/>
      <c r="AD136" s="171"/>
      <c r="AE136" s="171"/>
      <c r="AF136" s="171"/>
      <c r="AG136" s="171"/>
      <c r="AH136" s="171"/>
    </row>
    <row r="137" spans="3:34" s="172" customFormat="1" ht="15" customHeight="1">
      <c r="C137" s="996"/>
      <c r="D137" s="173" t="str">
        <f>IF(Indice_index!$Z$1=1,"dezembro","December")</f>
        <v>dezembro</v>
      </c>
      <c r="E137" s="1024">
        <v>414572</v>
      </c>
      <c r="F137" s="1024">
        <v>67370</v>
      </c>
      <c r="G137" s="1024">
        <v>165541</v>
      </c>
      <c r="H137" s="1024">
        <v>647483</v>
      </c>
      <c r="I137" s="1025">
        <v>1151.7</v>
      </c>
      <c r="J137" s="1025"/>
      <c r="K137" s="1024">
        <v>402099</v>
      </c>
      <c r="M137" s="228"/>
      <c r="N137" s="228"/>
      <c r="O137" s="228"/>
      <c r="P137" s="228"/>
      <c r="Q137" s="228"/>
      <c r="R137" s="228"/>
      <c r="S137" s="228"/>
      <c r="T137" s="162"/>
      <c r="U137" s="173"/>
      <c r="V137" s="173"/>
      <c r="W137" s="173"/>
      <c r="X137" s="173"/>
      <c r="Y137" s="173"/>
      <c r="Z137" s="173"/>
      <c r="AA137" s="173"/>
      <c r="AB137" s="173"/>
      <c r="AC137" s="173"/>
      <c r="AD137" s="173"/>
      <c r="AE137" s="173"/>
      <c r="AF137" s="173"/>
      <c r="AG137" s="173"/>
      <c r="AH137" s="173"/>
    </row>
    <row r="138" spans="3:34" s="230" customFormat="1" ht="15" customHeight="1">
      <c r="C138" s="995" t="s">
        <v>74</v>
      </c>
      <c r="D138" s="173"/>
      <c r="E138" s="173"/>
      <c r="F138" s="173"/>
      <c r="G138" s="173"/>
      <c r="H138" s="173"/>
      <c r="I138" s="172"/>
      <c r="J138" s="172"/>
      <c r="K138" s="173"/>
      <c r="M138" s="233"/>
      <c r="N138" s="233"/>
      <c r="O138" s="233"/>
      <c r="P138" s="233"/>
      <c r="Q138" s="233"/>
      <c r="R138" s="233"/>
      <c r="S138" s="233"/>
      <c r="T138" s="50"/>
      <c r="U138" s="171"/>
      <c r="V138" s="171"/>
      <c r="W138" s="171"/>
      <c r="X138" s="171"/>
      <c r="Y138" s="171"/>
      <c r="Z138" s="171"/>
      <c r="AA138" s="171"/>
      <c r="AB138" s="171"/>
      <c r="AC138" s="171"/>
      <c r="AD138" s="171"/>
      <c r="AE138" s="171"/>
      <c r="AF138" s="171"/>
      <c r="AG138" s="171"/>
      <c r="AH138" s="171"/>
    </row>
    <row r="139" spans="3:34" s="230" customFormat="1" ht="15" customHeight="1">
      <c r="C139" s="994"/>
      <c r="D139" s="173" t="str">
        <f>IF(Indice_index!$Z$1=1,"janeiro","January")</f>
        <v>janeiro</v>
      </c>
      <c r="E139" s="1026">
        <v>414962</v>
      </c>
      <c r="F139" s="1026">
        <v>67188</v>
      </c>
      <c r="G139" s="1026">
        <v>165355</v>
      </c>
      <c r="H139" s="1026">
        <v>647505</v>
      </c>
      <c r="I139" s="1027">
        <v>1175.9000000000001</v>
      </c>
      <c r="J139" s="1027"/>
      <c r="K139" s="1026">
        <v>400756</v>
      </c>
      <c r="M139" s="233"/>
      <c r="N139" s="233"/>
      <c r="O139" s="233"/>
      <c r="P139" s="233"/>
      <c r="Q139" s="233"/>
      <c r="R139" s="233"/>
      <c r="S139" s="233"/>
      <c r="T139" s="50"/>
      <c r="U139" s="171"/>
      <c r="V139" s="171"/>
      <c r="W139" s="171"/>
      <c r="X139" s="171"/>
      <c r="Y139" s="171"/>
      <c r="Z139" s="171"/>
      <c r="AA139" s="171"/>
      <c r="AB139" s="171"/>
      <c r="AC139" s="171"/>
      <c r="AD139" s="171"/>
      <c r="AE139" s="171"/>
      <c r="AF139" s="171"/>
      <c r="AG139" s="171"/>
      <c r="AH139" s="171"/>
    </row>
    <row r="140" spans="3:34" s="230" customFormat="1" ht="15" customHeight="1">
      <c r="C140" s="994"/>
      <c r="D140" s="173" t="str">
        <f>IF(Indice_index!$Z$1=1,"fevereiro","February")</f>
        <v>fevereiro</v>
      </c>
      <c r="E140" s="1028">
        <v>415095</v>
      </c>
      <c r="F140" s="1028">
        <v>66947</v>
      </c>
      <c r="G140" s="1028">
        <v>165213</v>
      </c>
      <c r="H140" s="1029">
        <v>647255</v>
      </c>
      <c r="I140" s="1030">
        <v>1146.3</v>
      </c>
      <c r="J140" s="1030"/>
      <c r="K140" s="1028">
        <v>399744</v>
      </c>
      <c r="M140" s="233"/>
      <c r="N140" s="233"/>
      <c r="O140" s="233"/>
      <c r="P140" s="233"/>
      <c r="Q140" s="233"/>
      <c r="R140" s="233"/>
      <c r="S140" s="233"/>
      <c r="T140" s="50"/>
      <c r="U140" s="171"/>
      <c r="V140" s="171"/>
      <c r="W140" s="171"/>
      <c r="X140" s="171"/>
      <c r="Y140" s="171"/>
      <c r="Z140" s="171"/>
      <c r="AA140" s="171"/>
      <c r="AB140" s="171"/>
      <c r="AC140" s="171"/>
      <c r="AD140" s="171"/>
      <c r="AE140" s="171"/>
      <c r="AF140" s="171"/>
      <c r="AG140" s="171"/>
      <c r="AH140" s="171"/>
    </row>
    <row r="141" spans="3:34" s="230" customFormat="1" ht="15" customHeight="1">
      <c r="C141" s="994"/>
      <c r="D141" s="173" t="str">
        <f>IF(Indice_index!$Z$1=1,"março","March")</f>
        <v>março</v>
      </c>
      <c r="E141" s="1031">
        <v>415095</v>
      </c>
      <c r="F141" s="1031">
        <v>66747</v>
      </c>
      <c r="G141" s="1031">
        <v>165126</v>
      </c>
      <c r="H141" s="1031">
        <v>646968</v>
      </c>
      <c r="I141" s="1032">
        <v>1147.5999999999999</v>
      </c>
      <c r="J141" s="1032"/>
      <c r="K141" s="1031">
        <v>398493</v>
      </c>
      <c r="M141" s="233"/>
      <c r="N141" s="233"/>
      <c r="O141" s="233"/>
      <c r="P141" s="233"/>
      <c r="Q141" s="233"/>
      <c r="R141" s="233"/>
      <c r="S141" s="233"/>
      <c r="T141" s="50"/>
      <c r="U141" s="171"/>
      <c r="V141" s="171"/>
      <c r="W141" s="171"/>
      <c r="X141" s="171"/>
      <c r="Y141" s="171"/>
      <c r="Z141" s="171"/>
      <c r="AA141" s="171"/>
      <c r="AB141" s="171"/>
      <c r="AC141" s="171"/>
      <c r="AD141" s="171"/>
      <c r="AE141" s="171"/>
      <c r="AF141" s="171"/>
      <c r="AG141" s="171"/>
      <c r="AH141" s="171"/>
    </row>
    <row r="142" spans="3:34" s="230" customFormat="1" ht="15" customHeight="1">
      <c r="C142" s="994"/>
      <c r="D142" s="173" t="str">
        <f>IF(Indice_index!$Z$1=1,"abril","April")</f>
        <v>abril</v>
      </c>
      <c r="E142" s="997">
        <v>415264</v>
      </c>
      <c r="F142" s="997">
        <v>66550</v>
      </c>
      <c r="G142" s="997">
        <v>165266</v>
      </c>
      <c r="H142" s="997">
        <v>647080</v>
      </c>
      <c r="I142" s="998">
        <v>1150.2</v>
      </c>
      <c r="J142" s="998"/>
      <c r="K142" s="997">
        <v>396892</v>
      </c>
      <c r="M142" s="233"/>
      <c r="N142" s="233"/>
      <c r="O142" s="233"/>
      <c r="P142" s="233"/>
      <c r="Q142" s="233"/>
      <c r="R142" s="233"/>
      <c r="S142" s="233"/>
      <c r="T142" s="50"/>
      <c r="U142" s="171"/>
      <c r="V142" s="171"/>
      <c r="W142" s="171"/>
      <c r="X142" s="171"/>
      <c r="Y142" s="171"/>
      <c r="Z142" s="171"/>
      <c r="AA142" s="171"/>
      <c r="AB142" s="171"/>
      <c r="AC142" s="171"/>
      <c r="AD142" s="171"/>
      <c r="AE142" s="171"/>
      <c r="AF142" s="171"/>
      <c r="AG142" s="171"/>
      <c r="AH142" s="171"/>
    </row>
    <row r="143" spans="3:34" s="230" customFormat="1" ht="15" customHeight="1">
      <c r="C143" s="994"/>
      <c r="D143" s="173" t="str">
        <f>IF(Indice_index!$Z$1=1,"maio","May")</f>
        <v>maio</v>
      </c>
      <c r="E143" s="1014">
        <v>415728</v>
      </c>
      <c r="F143" s="1014">
        <v>66359</v>
      </c>
      <c r="G143" s="1014">
        <v>164872</v>
      </c>
      <c r="H143" s="1014">
        <v>646959</v>
      </c>
      <c r="I143" s="1015">
        <v>1139.9000000000001</v>
      </c>
      <c r="J143" s="1015"/>
      <c r="K143" s="1014">
        <v>395505</v>
      </c>
      <c r="M143" s="233"/>
      <c r="N143" s="233"/>
      <c r="O143" s="233"/>
      <c r="P143" s="233"/>
      <c r="Q143" s="233"/>
      <c r="R143" s="233"/>
      <c r="S143" s="233"/>
      <c r="T143" s="50"/>
      <c r="U143" s="171"/>
      <c r="V143" s="171"/>
      <c r="W143" s="171"/>
      <c r="X143" s="171"/>
      <c r="Y143" s="171"/>
      <c r="Z143" s="171"/>
      <c r="AA143" s="171"/>
      <c r="AB143" s="171"/>
      <c r="AC143" s="171"/>
      <c r="AD143" s="171"/>
      <c r="AE143" s="171"/>
      <c r="AF143" s="171"/>
      <c r="AG143" s="171"/>
      <c r="AH143" s="171"/>
    </row>
    <row r="144" spans="3:34" s="230" customFormat="1" ht="15" customHeight="1">
      <c r="C144" s="994"/>
      <c r="D144" s="173" t="str">
        <f>IF(Indice_index!$Z$1=1,"junho","June")</f>
        <v>junho</v>
      </c>
      <c r="E144" s="1016">
        <v>416271</v>
      </c>
      <c r="F144" s="1016">
        <v>66188</v>
      </c>
      <c r="G144" s="1016">
        <v>164928</v>
      </c>
      <c r="H144" s="1016">
        <v>647387</v>
      </c>
      <c r="I144" s="1017">
        <v>1150.7</v>
      </c>
      <c r="J144" s="1017"/>
      <c r="K144" s="1016">
        <v>394221</v>
      </c>
      <c r="M144" s="233"/>
      <c r="N144" s="233"/>
      <c r="O144" s="233"/>
      <c r="P144" s="233"/>
      <c r="Q144" s="233"/>
      <c r="R144" s="233"/>
      <c r="S144" s="233"/>
      <c r="T144" s="50"/>
      <c r="U144" s="171"/>
      <c r="V144" s="171"/>
      <c r="W144" s="171"/>
      <c r="X144" s="171"/>
      <c r="Y144" s="171"/>
      <c r="Z144" s="171"/>
      <c r="AA144" s="171"/>
      <c r="AB144" s="171"/>
      <c r="AC144" s="171"/>
      <c r="AD144" s="171"/>
      <c r="AE144" s="171"/>
      <c r="AF144" s="171"/>
      <c r="AG144" s="171"/>
      <c r="AH144" s="171"/>
    </row>
    <row r="145" spans="3:34" s="230" customFormat="1" ht="15" customHeight="1">
      <c r="C145" s="994"/>
      <c r="D145" s="173" t="str">
        <f>IF(Indice_index!$Z$1=1,"julho","July")</f>
        <v>julho</v>
      </c>
      <c r="E145" s="1018">
        <v>416361</v>
      </c>
      <c r="F145" s="1018">
        <v>65989</v>
      </c>
      <c r="G145" s="1018">
        <v>164878</v>
      </c>
      <c r="H145" s="1018">
        <v>647228</v>
      </c>
      <c r="I145" s="1019">
        <v>2251</v>
      </c>
      <c r="J145" s="1019"/>
      <c r="K145" s="1018">
        <v>392991</v>
      </c>
      <c r="M145" s="233"/>
      <c r="N145" s="233"/>
      <c r="O145" s="233"/>
      <c r="P145" s="233"/>
      <c r="Q145" s="233"/>
      <c r="R145" s="233"/>
      <c r="S145" s="233"/>
      <c r="T145" s="50"/>
      <c r="U145" s="171"/>
      <c r="V145" s="171"/>
      <c r="W145" s="171"/>
      <c r="X145" s="171"/>
      <c r="Y145" s="171"/>
      <c r="Z145" s="171"/>
      <c r="AA145" s="171"/>
      <c r="AB145" s="171"/>
      <c r="AC145" s="171"/>
      <c r="AD145" s="171"/>
      <c r="AE145" s="171"/>
      <c r="AF145" s="171"/>
      <c r="AG145" s="171"/>
      <c r="AH145" s="171"/>
    </row>
    <row r="146" spans="3:34" s="230" customFormat="1" ht="15" hidden="1" customHeight="1">
      <c r="C146" s="994"/>
      <c r="D146" s="173" t="str">
        <f>IF(Indice_index!$Z$1=1,"agosto","August")</f>
        <v>agosto</v>
      </c>
      <c r="E146" s="1020"/>
      <c r="F146" s="1020"/>
      <c r="G146" s="1020"/>
      <c r="H146" s="1020"/>
      <c r="I146" s="1021"/>
      <c r="J146" s="1021"/>
      <c r="K146" s="1020"/>
      <c r="M146" s="228"/>
      <c r="N146" s="228"/>
      <c r="O146" s="228"/>
      <c r="P146" s="228"/>
      <c r="Q146" s="228"/>
      <c r="R146" s="228"/>
      <c r="S146" s="228"/>
      <c r="T146" s="50"/>
      <c r="U146" s="171"/>
      <c r="V146" s="171"/>
      <c r="W146" s="171"/>
      <c r="X146" s="171"/>
      <c r="Y146" s="171"/>
      <c r="Z146" s="171"/>
      <c r="AA146" s="171"/>
      <c r="AB146" s="171"/>
      <c r="AC146" s="171"/>
      <c r="AD146" s="171"/>
      <c r="AE146" s="171"/>
      <c r="AF146" s="171"/>
      <c r="AG146" s="171"/>
      <c r="AH146" s="171"/>
    </row>
    <row r="147" spans="3:34" s="230" customFormat="1" ht="15" hidden="1" customHeight="1">
      <c r="C147" s="994"/>
      <c r="D147" s="173" t="str">
        <f>IF(Indice_index!$Z$1=1,"setembro","September")</f>
        <v>setembro</v>
      </c>
      <c r="E147" s="1022"/>
      <c r="F147" s="1022"/>
      <c r="G147" s="1022"/>
      <c r="H147" s="1022"/>
      <c r="I147" s="1023"/>
      <c r="J147" s="1023"/>
      <c r="K147" s="1022"/>
      <c r="M147" s="228"/>
      <c r="N147" s="228"/>
      <c r="O147" s="228"/>
      <c r="P147" s="228"/>
      <c r="Q147" s="228"/>
      <c r="R147" s="228"/>
      <c r="S147" s="228"/>
      <c r="T147" s="50"/>
      <c r="U147" s="171"/>
      <c r="V147" s="171"/>
      <c r="W147" s="171"/>
      <c r="X147" s="171"/>
      <c r="Y147" s="171"/>
      <c r="Z147" s="171"/>
      <c r="AA147" s="171"/>
      <c r="AB147" s="171"/>
      <c r="AC147" s="171"/>
      <c r="AD147" s="171"/>
      <c r="AE147" s="171"/>
      <c r="AF147" s="171"/>
      <c r="AG147" s="171"/>
      <c r="AH147" s="171"/>
    </row>
    <row r="148" spans="3:34" s="230" customFormat="1" ht="15" hidden="1" customHeight="1">
      <c r="C148" s="994"/>
      <c r="D148" s="173" t="str">
        <f>IF(Indice_index!$Z$1=1,"outubro","October")</f>
        <v>outubro</v>
      </c>
      <c r="E148" s="1005"/>
      <c r="F148" s="1005"/>
      <c r="G148" s="1005"/>
      <c r="H148" s="1005"/>
      <c r="I148" s="1006"/>
      <c r="J148" s="1000"/>
      <c r="K148" s="1007"/>
      <c r="M148" s="228"/>
      <c r="N148" s="228"/>
      <c r="O148" s="228"/>
      <c r="P148" s="228"/>
      <c r="Q148" s="228"/>
      <c r="R148" s="228"/>
      <c r="S148" s="228"/>
      <c r="T148" s="50"/>
      <c r="U148" s="171"/>
      <c r="V148" s="171"/>
      <c r="W148" s="171"/>
      <c r="X148" s="171"/>
      <c r="Y148" s="171"/>
      <c r="Z148" s="171"/>
      <c r="AA148" s="171"/>
      <c r="AB148" s="171"/>
      <c r="AC148" s="171"/>
      <c r="AD148" s="171"/>
      <c r="AE148" s="171"/>
      <c r="AF148" s="171"/>
      <c r="AG148" s="171"/>
      <c r="AH148" s="171"/>
    </row>
    <row r="149" spans="3:34" s="230" customFormat="1" ht="15" hidden="1" customHeight="1">
      <c r="C149" s="994"/>
      <c r="D149" s="173" t="str">
        <f>IF(Indice_index!$Z$1=1,"novembro","November")</f>
        <v>novembro</v>
      </c>
      <c r="E149" s="1008"/>
      <c r="F149" s="1008"/>
      <c r="G149" s="1008"/>
      <c r="H149" s="1008"/>
      <c r="I149" s="1009"/>
      <c r="J149" s="1009"/>
      <c r="K149" s="1008"/>
      <c r="M149" s="228"/>
      <c r="N149" s="228"/>
      <c r="O149" s="228"/>
      <c r="P149" s="228"/>
      <c r="Q149" s="228"/>
      <c r="R149" s="228"/>
      <c r="S149" s="228"/>
      <c r="T149" s="50"/>
      <c r="U149" s="171"/>
      <c r="V149" s="171"/>
      <c r="W149" s="171"/>
      <c r="X149" s="171"/>
      <c r="Y149" s="171"/>
      <c r="Z149" s="171"/>
      <c r="AA149" s="171"/>
      <c r="AB149" s="171"/>
      <c r="AC149" s="171"/>
      <c r="AD149" s="171"/>
      <c r="AE149" s="171"/>
      <c r="AF149" s="171"/>
      <c r="AG149" s="171"/>
      <c r="AH149" s="171"/>
    </row>
    <row r="150" spans="3:34" s="172" customFormat="1" ht="15" hidden="1" customHeight="1">
      <c r="C150" s="996"/>
      <c r="D150" s="173" t="str">
        <f>IF(Indice_index!$Z$1=1,"dezembro","December")</f>
        <v>dezembro</v>
      </c>
      <c r="E150" s="1024"/>
      <c r="F150" s="1024"/>
      <c r="G150" s="1024"/>
      <c r="H150" s="1024"/>
      <c r="I150" s="1025"/>
      <c r="J150" s="1025"/>
      <c r="K150" s="1024"/>
      <c r="M150" s="228"/>
      <c r="N150" s="228"/>
      <c r="O150" s="228"/>
      <c r="P150" s="228"/>
      <c r="Q150" s="228"/>
      <c r="R150" s="228"/>
      <c r="S150" s="228"/>
      <c r="T150" s="162"/>
      <c r="U150" s="173"/>
      <c r="V150" s="173"/>
      <c r="W150" s="173"/>
      <c r="X150" s="173"/>
      <c r="Y150" s="173"/>
      <c r="Z150" s="173"/>
      <c r="AA150" s="173"/>
      <c r="AB150" s="173"/>
      <c r="AC150" s="173"/>
      <c r="AD150" s="173"/>
      <c r="AE150" s="173"/>
      <c r="AF150" s="173"/>
      <c r="AG150" s="173"/>
      <c r="AH150" s="173"/>
    </row>
    <row r="151" spans="3:34" s="230" customFormat="1" ht="3" customHeight="1">
      <c r="C151" s="989"/>
      <c r="D151" s="990"/>
      <c r="E151" s="990"/>
      <c r="F151" s="990"/>
      <c r="G151" s="990"/>
      <c r="H151" s="990"/>
      <c r="I151" s="990"/>
      <c r="K151" s="1033"/>
      <c r="L151" s="172"/>
      <c r="M151" s="228"/>
      <c r="N151" s="228"/>
      <c r="O151" s="228"/>
      <c r="P151" s="228"/>
      <c r="Q151" s="228"/>
      <c r="R151" s="228"/>
      <c r="S151" s="228"/>
      <c r="AA151" s="171"/>
    </row>
    <row r="152" spans="3:34" s="230" customFormat="1" ht="15" customHeight="1">
      <c r="C152" s="996"/>
      <c r="D152" s="172"/>
      <c r="E152" s="172"/>
      <c r="F152" s="172"/>
      <c r="G152" s="172"/>
      <c r="H152" s="172"/>
      <c r="I152" s="172"/>
      <c r="K152" s="172"/>
      <c r="L152" s="172"/>
      <c r="M152" s="228"/>
      <c r="N152" s="228"/>
      <c r="O152" s="228"/>
      <c r="P152" s="228"/>
      <c r="Q152" s="228"/>
      <c r="R152" s="228"/>
      <c r="S152" s="228"/>
      <c r="AA152" s="171"/>
    </row>
    <row r="153" spans="3:34" s="230" customFormat="1" ht="15" customHeight="1">
      <c r="C153" s="996"/>
      <c r="D153" s="172"/>
      <c r="E153" s="172"/>
      <c r="F153" s="172"/>
      <c r="G153" s="172"/>
      <c r="H153" s="172"/>
      <c r="I153" s="172"/>
      <c r="K153" s="172"/>
      <c r="L153" s="172"/>
      <c r="M153" s="172"/>
      <c r="N153" s="172"/>
      <c r="O153" s="172"/>
      <c r="P153" s="172"/>
      <c r="AA153" s="171"/>
    </row>
    <row r="154" spans="3:34" s="230" customFormat="1" ht="15" customHeight="1">
      <c r="C154" s="984"/>
      <c r="D154" s="1034"/>
      <c r="E154" s="1034"/>
      <c r="F154" s="1034"/>
      <c r="G154" s="1034"/>
      <c r="H154" s="172"/>
      <c r="I154" s="172"/>
      <c r="J154" s="172"/>
      <c r="K154" s="986" t="str">
        <f>IF(Indice_index!$Z$1=1,"Subscritores","Subscribers")</f>
        <v>Subscritores</v>
      </c>
      <c r="L154" s="172"/>
      <c r="M154" s="172"/>
      <c r="N154" s="172"/>
      <c r="O154" s="172"/>
      <c r="P154" s="172"/>
      <c r="Q154" s="172"/>
      <c r="R154" s="172"/>
      <c r="S154" s="172"/>
      <c r="T154" s="172"/>
      <c r="X154" s="50"/>
      <c r="Y154" s="50"/>
      <c r="Z154" s="50"/>
      <c r="AA154" s="171"/>
    </row>
    <row r="155" spans="3:34" s="230" customFormat="1" ht="15.75" customHeight="1">
      <c r="C155" s="1035"/>
      <c r="D155" s="1036"/>
      <c r="E155" s="1780" t="str">
        <f>IF(Indice_index!$Z$1=1,"VH do número de pensionistas (%)","YOY Change Rate of the number of subscribers (%)")</f>
        <v>VH do número de pensionistas (%)</v>
      </c>
      <c r="F155" s="1775"/>
      <c r="G155" s="1775"/>
      <c r="H155" s="1781"/>
      <c r="I155" s="1777" t="str">
        <f>IF(Indice_index!$Z$1=1,"VHA Valor médio pago por pensionista","YOY Change Rate of the Average Value paid per Pensioner")</f>
        <v>VHA Valor médio pago por pensionista</v>
      </c>
      <c r="K155" s="1782" t="str">
        <f>IF(Indice_index!$Z$1=1,"VHA do Número de subscritores (%)","YOY Change Rate of the Number of Subscribers (%)")</f>
        <v>VHA do Número de subscritores (%)</v>
      </c>
      <c r="L155" s="172"/>
      <c r="M155" s="172"/>
      <c r="N155" s="172"/>
      <c r="O155" s="172"/>
      <c r="P155" s="172"/>
      <c r="Q155" s="172"/>
      <c r="R155" s="172"/>
      <c r="S155" s="172"/>
      <c r="T155" s="172"/>
      <c r="X155" s="50"/>
      <c r="Y155" s="50"/>
      <c r="Z155" s="50"/>
      <c r="AA155" s="171"/>
    </row>
    <row r="156" spans="3:34" s="230" customFormat="1" ht="40.5" customHeight="1">
      <c r="C156" s="1037"/>
      <c r="D156" s="1038"/>
      <c r="E156" s="1039" t="str">
        <f>IF(Indice_index!$Z$1=1,"Velhice e Outros Motivos","Old age and other Reasons")</f>
        <v>Velhice e Outros Motivos</v>
      </c>
      <c r="F156" s="992" t="str">
        <f>IF(Indice_index!$Z$1=1,"Invalidez","Disability")</f>
        <v>Invalidez</v>
      </c>
      <c r="G156" s="991" t="str">
        <f>IF(Indice_index!$Z$1=1,"Sobrevivência e Outros","Survival and Others")</f>
        <v>Sobrevivência e Outros</v>
      </c>
      <c r="H156" s="1040" t="str">
        <f>IF(Indice_index!$Z$1=1,"Total de Pensionistas","Total of Pensioners")</f>
        <v>Total de Pensionistas</v>
      </c>
      <c r="I156" s="1777"/>
      <c r="K156" s="1782"/>
      <c r="L156" s="172"/>
      <c r="M156" s="172"/>
      <c r="N156" s="172"/>
      <c r="O156" s="172"/>
      <c r="P156" s="172"/>
      <c r="Q156" s="172"/>
      <c r="R156" s="172"/>
      <c r="S156" s="172"/>
      <c r="T156" s="172"/>
      <c r="X156" s="50"/>
      <c r="Y156" s="50"/>
      <c r="Z156" s="50"/>
      <c r="AA156" s="171"/>
    </row>
    <row r="157" spans="3:34" s="230" customFormat="1" hidden="1">
      <c r="C157" s="993" t="s">
        <v>10</v>
      </c>
      <c r="D157" s="685"/>
      <c r="E157" s="173"/>
      <c r="F157" s="173"/>
      <c r="G157" s="173"/>
      <c r="H157" s="173"/>
      <c r="I157" s="172"/>
      <c r="K157" s="172"/>
      <c r="L157" s="172"/>
      <c r="M157" s="172"/>
      <c r="N157" s="172"/>
      <c r="O157" s="172"/>
      <c r="P157" s="172"/>
      <c r="Q157" s="172"/>
      <c r="R157" s="172"/>
      <c r="S157" s="172"/>
      <c r="T157" s="172"/>
      <c r="X157" s="50"/>
      <c r="Y157" s="50"/>
      <c r="Z157" s="50"/>
      <c r="AA157" s="171"/>
    </row>
    <row r="158" spans="3:34" s="230" customFormat="1" ht="11.25" hidden="1">
      <c r="C158" s="993"/>
      <c r="D158" s="173" t="str">
        <f>IF(Indice_index!$Z$1=1,"janeiro","January")</f>
        <v>janeiro</v>
      </c>
      <c r="E158" s="172">
        <v>3.3</v>
      </c>
      <c r="F158" s="172">
        <v>0.1</v>
      </c>
      <c r="G158" s="172">
        <v>1.1000000000000001</v>
      </c>
      <c r="H158" s="172">
        <v>2.2999999999999998</v>
      </c>
      <c r="I158" s="172">
        <v>1.9</v>
      </c>
      <c r="K158" s="172">
        <v>-4.5999999999999996</v>
      </c>
      <c r="L158" s="172"/>
      <c r="M158" s="172"/>
      <c r="N158" s="172"/>
      <c r="O158" s="172"/>
      <c r="P158" s="172"/>
      <c r="Q158" s="172"/>
      <c r="R158" s="172"/>
      <c r="S158" s="172"/>
      <c r="T158" s="172"/>
      <c r="AA158" s="171"/>
    </row>
    <row r="159" spans="3:34" s="230" customFormat="1" ht="11.25" hidden="1">
      <c r="C159" s="993"/>
      <c r="D159" s="173" t="str">
        <f>IF(Indice_index!$Z$1=1,"fevereiro","February")</f>
        <v>fevereiro</v>
      </c>
      <c r="E159" s="172">
        <v>3.3</v>
      </c>
      <c r="F159" s="172">
        <v>0.2</v>
      </c>
      <c r="G159" s="172">
        <v>1.2</v>
      </c>
      <c r="H159" s="172">
        <v>2.4</v>
      </c>
      <c r="I159" s="172">
        <v>1.6</v>
      </c>
      <c r="K159" s="172">
        <v>-4.5</v>
      </c>
      <c r="L159" s="172"/>
      <c r="M159" s="172"/>
      <c r="N159" s="172"/>
      <c r="O159" s="172"/>
      <c r="P159" s="172"/>
      <c r="Q159" s="172"/>
      <c r="R159" s="172"/>
      <c r="S159" s="172"/>
      <c r="T159" s="172"/>
      <c r="AA159" s="171"/>
    </row>
    <row r="160" spans="3:34" s="230" customFormat="1" ht="11.25" hidden="1">
      <c r="C160" s="993"/>
      <c r="D160" s="173" t="str">
        <f>IF(Indice_index!$Z$1=1,"março","March")</f>
        <v>março</v>
      </c>
      <c r="E160" s="172">
        <v>3.2</v>
      </c>
      <c r="F160" s="172">
        <v>0.2</v>
      </c>
      <c r="G160" s="172">
        <v>1.4</v>
      </c>
      <c r="H160" s="172">
        <v>2.4</v>
      </c>
      <c r="I160" s="172">
        <v>1.7</v>
      </c>
      <c r="K160" s="172">
        <v>-5</v>
      </c>
      <c r="L160" s="172"/>
      <c r="M160" s="172"/>
      <c r="N160" s="172"/>
      <c r="O160" s="172"/>
      <c r="P160" s="172"/>
      <c r="Q160" s="172"/>
      <c r="R160" s="172"/>
      <c r="S160" s="172"/>
      <c r="T160" s="172"/>
      <c r="AA160" s="171"/>
    </row>
    <row r="161" spans="3:27" s="230" customFormat="1" ht="11.25" hidden="1">
      <c r="C161" s="993"/>
      <c r="D161" s="173" t="str">
        <f>IF(Indice_index!$Z$1=1,"abril","April")</f>
        <v>abril</v>
      </c>
      <c r="E161" s="172">
        <v>3</v>
      </c>
      <c r="F161" s="172">
        <v>0.4</v>
      </c>
      <c r="G161" s="172">
        <v>1.4</v>
      </c>
      <c r="H161" s="172">
        <v>2.2999999999999998</v>
      </c>
      <c r="I161" s="172">
        <v>0.2</v>
      </c>
      <c r="K161" s="172">
        <v>-4.9000000000000004</v>
      </c>
      <c r="L161" s="172"/>
      <c r="M161" s="172"/>
      <c r="N161" s="172"/>
      <c r="O161" s="172"/>
      <c r="P161" s="172"/>
      <c r="Q161" s="172"/>
      <c r="R161" s="172"/>
      <c r="S161" s="172"/>
      <c r="T161" s="172"/>
      <c r="AA161" s="171"/>
    </row>
    <row r="162" spans="3:27" s="230" customFormat="1" ht="11.25" hidden="1">
      <c r="C162" s="993"/>
      <c r="D162" s="173" t="str">
        <f>IF(Indice_index!$Z$1=1,"maio","May")</f>
        <v>maio</v>
      </c>
      <c r="E162" s="172">
        <v>2.9</v>
      </c>
      <c r="F162" s="172">
        <v>0.4</v>
      </c>
      <c r="G162" s="172">
        <v>1.5</v>
      </c>
      <c r="H162" s="172">
        <v>2.2000000000000002</v>
      </c>
      <c r="I162" s="172">
        <v>0.6</v>
      </c>
      <c r="K162" s="172">
        <v>-4.9000000000000004</v>
      </c>
      <c r="L162" s="172"/>
      <c r="M162" s="172"/>
      <c r="N162" s="172"/>
      <c r="O162" s="172"/>
      <c r="P162" s="172"/>
      <c r="Q162" s="172"/>
      <c r="R162" s="172"/>
      <c r="S162" s="172"/>
      <c r="T162" s="172"/>
      <c r="AA162" s="171"/>
    </row>
    <row r="163" spans="3:27" s="230" customFormat="1" ht="11.25" hidden="1">
      <c r="C163" s="993"/>
      <c r="D163" s="173" t="str">
        <f>IF(Indice_index!$Z$1=1,"junho","June")</f>
        <v>junho</v>
      </c>
      <c r="E163" s="172">
        <v>2.8</v>
      </c>
      <c r="F163" s="172">
        <v>0.6</v>
      </c>
      <c r="G163" s="172">
        <v>1.6</v>
      </c>
      <c r="H163" s="172">
        <v>2.2000000000000002</v>
      </c>
      <c r="I163" s="172">
        <v>1.1000000000000001</v>
      </c>
      <c r="K163" s="172">
        <v>-4.8</v>
      </c>
      <c r="L163" s="172"/>
      <c r="M163" s="172"/>
      <c r="N163" s="172"/>
      <c r="O163" s="172"/>
      <c r="P163" s="172"/>
      <c r="Q163" s="172"/>
      <c r="R163" s="172"/>
      <c r="S163" s="172"/>
      <c r="T163" s="172"/>
      <c r="AA163" s="171"/>
    </row>
    <row r="164" spans="3:27" s="230" customFormat="1" ht="11.25" hidden="1">
      <c r="C164" s="993"/>
      <c r="D164" s="173" t="str">
        <f>IF(Indice_index!$Z$1=1,"julho","July")</f>
        <v>julho</v>
      </c>
      <c r="E164" s="172">
        <v>2.7</v>
      </c>
      <c r="F164" s="172">
        <v>0.6</v>
      </c>
      <c r="G164" s="172">
        <v>1.6</v>
      </c>
      <c r="H164" s="172">
        <v>2.2000000000000002</v>
      </c>
      <c r="I164" s="172">
        <v>-39.1</v>
      </c>
      <c r="K164" s="172">
        <v>-4.8</v>
      </c>
      <c r="L164" s="172"/>
      <c r="M164" s="172"/>
      <c r="N164" s="172"/>
      <c r="O164" s="172"/>
      <c r="P164" s="172"/>
      <c r="Q164" s="172"/>
      <c r="R164" s="172"/>
      <c r="S164" s="172"/>
      <c r="T164" s="172"/>
      <c r="AA164" s="171"/>
    </row>
    <row r="165" spans="3:27" s="230" customFormat="1" ht="11.25" hidden="1">
      <c r="C165" s="993"/>
      <c r="D165" s="173" t="str">
        <f>IF(Indice_index!$Z$1=1,"agosto","August")</f>
        <v>agosto</v>
      </c>
      <c r="E165" s="172">
        <v>2.8</v>
      </c>
      <c r="F165" s="172">
        <v>0.6</v>
      </c>
      <c r="G165" s="172">
        <v>1.7</v>
      </c>
      <c r="H165" s="172">
        <v>2.2999999999999998</v>
      </c>
      <c r="I165" s="172">
        <v>0.6</v>
      </c>
      <c r="K165" s="172">
        <v>-4.8</v>
      </c>
      <c r="L165" s="172"/>
      <c r="M165" s="172"/>
      <c r="N165" s="172"/>
      <c r="O165" s="172"/>
      <c r="P165" s="172"/>
      <c r="Q165" s="172"/>
      <c r="R165" s="172"/>
      <c r="S165" s="172"/>
      <c r="T165" s="172"/>
      <c r="AA165" s="171"/>
    </row>
    <row r="166" spans="3:27" s="230" customFormat="1" ht="11.25" hidden="1">
      <c r="C166" s="993"/>
      <c r="D166" s="173" t="str">
        <f>IF(Indice_index!$Z$1=1,"setembro","September")</f>
        <v>setembro</v>
      </c>
      <c r="E166" s="172">
        <v>2.9</v>
      </c>
      <c r="F166" s="172">
        <v>0.6</v>
      </c>
      <c r="G166" s="172">
        <v>1.7</v>
      </c>
      <c r="H166" s="172">
        <v>2.2999999999999998</v>
      </c>
      <c r="I166" s="172">
        <v>-0.2</v>
      </c>
      <c r="K166" s="172">
        <v>-4.9000000000000004</v>
      </c>
      <c r="L166" s="172"/>
      <c r="M166" s="172"/>
      <c r="N166" s="172"/>
      <c r="O166" s="172"/>
      <c r="P166" s="172"/>
      <c r="Q166" s="172"/>
      <c r="R166" s="172"/>
      <c r="S166" s="172"/>
      <c r="T166" s="172"/>
      <c r="AA166" s="171"/>
    </row>
    <row r="167" spans="3:27" s="230" customFormat="1" ht="11.25" hidden="1">
      <c r="C167" s="993"/>
      <c r="D167" s="173" t="str">
        <f>IF(Indice_index!$Z$1=1,"outubro","October")</f>
        <v>outubro</v>
      </c>
      <c r="E167" s="172">
        <v>3</v>
      </c>
      <c r="F167" s="172">
        <v>0.5</v>
      </c>
      <c r="G167" s="172">
        <v>1.8</v>
      </c>
      <c r="H167" s="172">
        <v>2.4</v>
      </c>
      <c r="I167" s="172">
        <v>0.2</v>
      </c>
      <c r="K167" s="172">
        <v>-4.9000000000000004</v>
      </c>
      <c r="L167" s="172"/>
      <c r="M167" s="172"/>
      <c r="N167" s="172"/>
      <c r="O167" s="172"/>
      <c r="P167" s="172"/>
      <c r="Q167" s="172"/>
      <c r="R167" s="172"/>
      <c r="S167" s="172"/>
      <c r="T167" s="172"/>
      <c r="AA167" s="171"/>
    </row>
    <row r="168" spans="3:27" s="230" customFormat="1" ht="11.25" hidden="1">
      <c r="C168" s="993"/>
      <c r="D168" s="173" t="str">
        <f>IF(Indice_index!$Z$1=1,"novembro","November")</f>
        <v>novembro</v>
      </c>
      <c r="E168" s="172">
        <v>2.8</v>
      </c>
      <c r="F168" s="172">
        <v>-0.1</v>
      </c>
      <c r="G168" s="172">
        <v>1.6</v>
      </c>
      <c r="H168" s="172">
        <v>2.2000000000000002</v>
      </c>
      <c r="I168" s="172">
        <v>-38.799999999999997</v>
      </c>
      <c r="K168" s="172">
        <v>-4.9000000000000004</v>
      </c>
      <c r="L168" s="172"/>
      <c r="M168" s="172"/>
      <c r="N168" s="172"/>
      <c r="O168" s="172"/>
      <c r="P168" s="172"/>
      <c r="Q168" s="172"/>
      <c r="R168" s="172"/>
      <c r="S168" s="172"/>
      <c r="T168" s="172"/>
      <c r="AA168" s="171"/>
    </row>
    <row r="169" spans="3:27" s="230" customFormat="1" ht="11.25" hidden="1">
      <c r="C169" s="993"/>
      <c r="D169" s="173" t="str">
        <f>IF(Indice_index!$Z$1=1,"dezembro","December")</f>
        <v>dezembro</v>
      </c>
      <c r="E169" s="172">
        <v>2.5</v>
      </c>
      <c r="F169" s="172">
        <v>-0.2</v>
      </c>
      <c r="G169" s="172">
        <v>1.6</v>
      </c>
      <c r="H169" s="172">
        <v>1.9</v>
      </c>
      <c r="I169" s="172">
        <v>-0.2</v>
      </c>
      <c r="K169" s="172">
        <v>-4.9000000000000004</v>
      </c>
      <c r="L169" s="172"/>
      <c r="M169" s="172"/>
      <c r="N169" s="172"/>
      <c r="O169" s="172"/>
      <c r="P169" s="172"/>
      <c r="Q169" s="172"/>
      <c r="R169" s="172"/>
      <c r="S169" s="172"/>
      <c r="T169" s="172"/>
      <c r="AA169" s="171"/>
    </row>
    <row r="170" spans="3:27" s="230" customFormat="1" ht="11.25" hidden="1">
      <c r="C170" s="993" t="s">
        <v>11</v>
      </c>
      <c r="D170" s="172"/>
      <c r="E170" s="172"/>
      <c r="F170" s="172"/>
      <c r="G170" s="172"/>
      <c r="H170" s="172"/>
      <c r="I170" s="172"/>
      <c r="K170" s="172"/>
      <c r="L170" s="172"/>
      <c r="M170" s="172"/>
      <c r="N170" s="172"/>
      <c r="O170" s="172"/>
      <c r="P170" s="172"/>
      <c r="Q170" s="172"/>
      <c r="R170" s="172"/>
      <c r="S170" s="172"/>
      <c r="T170" s="172"/>
      <c r="AA170" s="171"/>
    </row>
    <row r="171" spans="3:27" s="230" customFormat="1" ht="11.25" hidden="1">
      <c r="C171" s="993"/>
      <c r="D171" s="173" t="str">
        <f>IF(Indice_index!$Z$1=1,"janeiro","January")</f>
        <v>janeiro</v>
      </c>
      <c r="E171" s="172">
        <v>2.6</v>
      </c>
      <c r="F171" s="172">
        <v>-0.2</v>
      </c>
      <c r="G171" s="172">
        <v>1.7</v>
      </c>
      <c r="H171" s="172">
        <v>2</v>
      </c>
      <c r="I171" s="172">
        <v>0.2</v>
      </c>
      <c r="K171" s="172">
        <v>-4.9000000000000004</v>
      </c>
      <c r="L171" s="172"/>
      <c r="M171" s="172"/>
      <c r="N171" s="172"/>
      <c r="O171" s="172"/>
      <c r="P171" s="172"/>
      <c r="Q171" s="172"/>
      <c r="R171" s="172"/>
      <c r="S171" s="172"/>
      <c r="T171" s="172"/>
      <c r="AA171" s="171"/>
    </row>
    <row r="172" spans="3:27" s="230" customFormat="1" ht="11.25" hidden="1">
      <c r="C172" s="994"/>
      <c r="D172" s="173" t="str">
        <f>IF(Indice_index!$Z$1=1,"fevereiro","February")</f>
        <v>fevereiro</v>
      </c>
      <c r="E172" s="172">
        <v>2.4</v>
      </c>
      <c r="F172" s="172">
        <v>-0.2</v>
      </c>
      <c r="G172" s="172">
        <v>1.6</v>
      </c>
      <c r="H172" s="172">
        <v>1.9</v>
      </c>
      <c r="I172" s="172">
        <v>16.600000000000001</v>
      </c>
      <c r="K172" s="172">
        <v>-4.8</v>
      </c>
      <c r="L172" s="172"/>
      <c r="M172" s="172"/>
      <c r="N172" s="172"/>
      <c r="O172" s="172"/>
      <c r="P172" s="172"/>
      <c r="Q172" s="172"/>
      <c r="R172" s="172"/>
      <c r="S172" s="172"/>
      <c r="T172" s="172"/>
      <c r="AA172" s="171"/>
    </row>
    <row r="173" spans="3:27" s="230" customFormat="1" ht="11.25" hidden="1">
      <c r="C173" s="996"/>
      <c r="D173" s="173" t="str">
        <f>IF(Indice_index!$Z$1=1,"março","March")</f>
        <v>março</v>
      </c>
      <c r="E173" s="172">
        <v>2.5</v>
      </c>
      <c r="F173" s="172">
        <v>-0.3</v>
      </c>
      <c r="G173" s="172">
        <v>1.3</v>
      </c>
      <c r="H173" s="172">
        <v>1.9</v>
      </c>
      <c r="I173" s="172">
        <v>7.7</v>
      </c>
      <c r="K173" s="172">
        <v>-4.2</v>
      </c>
      <c r="L173" s="172"/>
      <c r="M173" s="172"/>
      <c r="N173" s="172"/>
      <c r="O173" s="172"/>
      <c r="P173" s="172"/>
      <c r="AA173" s="171"/>
    </row>
    <row r="174" spans="3:27" s="230" customFormat="1" ht="11.25" hidden="1">
      <c r="C174" s="996"/>
      <c r="D174" s="173" t="str">
        <f>IF(Indice_index!$Z$1=1,"abril","April")</f>
        <v>abril</v>
      </c>
      <c r="E174" s="172">
        <v>2.7</v>
      </c>
      <c r="F174" s="172">
        <v>-0.4</v>
      </c>
      <c r="G174" s="172">
        <v>1.3</v>
      </c>
      <c r="H174" s="172">
        <v>2</v>
      </c>
      <c r="I174" s="172">
        <v>9</v>
      </c>
      <c r="K174" s="172">
        <v>-4.3</v>
      </c>
      <c r="L174" s="172"/>
      <c r="M174" s="172"/>
      <c r="N174" s="172"/>
      <c r="O174" s="172"/>
      <c r="P174" s="172"/>
      <c r="AA174" s="171"/>
    </row>
    <row r="175" spans="3:27" s="230" customFormat="1" ht="11.25" hidden="1">
      <c r="C175" s="996"/>
      <c r="D175" s="173" t="str">
        <f>IF(Indice_index!$Z$1=1,"maio","May")</f>
        <v>maio</v>
      </c>
      <c r="E175" s="172">
        <v>2.7</v>
      </c>
      <c r="F175" s="172">
        <v>-0.3</v>
      </c>
      <c r="G175" s="172">
        <v>1.3</v>
      </c>
      <c r="H175" s="172">
        <v>2</v>
      </c>
      <c r="I175" s="172">
        <v>8.3000000000000007</v>
      </c>
      <c r="K175" s="172">
        <v>-4.2</v>
      </c>
      <c r="L175" s="172"/>
      <c r="M175" s="172"/>
      <c r="N175" s="172"/>
      <c r="O175" s="172"/>
      <c r="P175" s="172"/>
      <c r="AA175" s="171"/>
    </row>
    <row r="176" spans="3:27" s="230" customFormat="1" ht="11.25" hidden="1">
      <c r="C176" s="996"/>
      <c r="D176" s="173" t="str">
        <f>IF(Indice_index!$Z$1=1,"junho","June")</f>
        <v>junho</v>
      </c>
      <c r="E176" s="172">
        <v>2.6</v>
      </c>
      <c r="F176" s="172">
        <v>-0.1</v>
      </c>
      <c r="G176" s="172">
        <v>1.2</v>
      </c>
      <c r="H176" s="172">
        <v>1.9</v>
      </c>
      <c r="I176" s="172">
        <v>8.1999999999999993</v>
      </c>
      <c r="K176" s="172">
        <v>-4.3</v>
      </c>
      <c r="L176" s="172"/>
      <c r="M176" s="172"/>
      <c r="N176" s="172"/>
      <c r="O176" s="172"/>
      <c r="P176" s="172"/>
      <c r="AA176" s="171"/>
    </row>
    <row r="177" spans="3:27" s="230" customFormat="1" ht="11.25" hidden="1">
      <c r="C177" s="996"/>
      <c r="D177" s="173" t="str">
        <f>IF(Indice_index!$Z$1=1,"julho","July")</f>
        <v>julho</v>
      </c>
      <c r="E177" s="172">
        <v>2.5</v>
      </c>
      <c r="F177" s="172">
        <v>-0.2</v>
      </c>
      <c r="G177" s="172">
        <v>1.1000000000000001</v>
      </c>
      <c r="H177" s="172">
        <v>1.8</v>
      </c>
      <c r="I177" s="172">
        <v>14.7</v>
      </c>
      <c r="K177" s="172">
        <v>-4.3</v>
      </c>
      <c r="L177" s="172"/>
      <c r="M177" s="172"/>
      <c r="N177" s="172"/>
      <c r="O177" s="172"/>
      <c r="P177" s="172"/>
      <c r="AA177" s="171"/>
    </row>
    <row r="178" spans="3:27" s="230" customFormat="1" ht="11.25" hidden="1">
      <c r="C178" s="996"/>
      <c r="D178" s="173" t="str">
        <f>IF(Indice_index!$Z$1=1,"agosto","August")</f>
        <v>agosto</v>
      </c>
      <c r="E178" s="172">
        <v>2.2999999999999998</v>
      </c>
      <c r="F178" s="172">
        <v>-0.2</v>
      </c>
      <c r="G178" s="172">
        <v>1.1000000000000001</v>
      </c>
      <c r="H178" s="172">
        <v>1.7</v>
      </c>
      <c r="I178" s="172">
        <v>8.6</v>
      </c>
      <c r="K178" s="172">
        <v>-4.4000000000000004</v>
      </c>
      <c r="L178" s="172"/>
      <c r="M178" s="172"/>
      <c r="N178" s="172"/>
      <c r="O178" s="172"/>
      <c r="P178" s="172"/>
      <c r="AA178" s="171"/>
    </row>
    <row r="179" spans="3:27" s="230" customFormat="1" ht="11.25" hidden="1">
      <c r="C179" s="996"/>
      <c r="D179" s="173" t="str">
        <f>IF(Indice_index!$Z$1=1,"setembro","September")</f>
        <v>setembro</v>
      </c>
      <c r="E179" s="172">
        <v>2</v>
      </c>
      <c r="F179" s="172">
        <v>-0.3</v>
      </c>
      <c r="G179" s="172">
        <v>1</v>
      </c>
      <c r="H179" s="172">
        <v>1.5</v>
      </c>
      <c r="I179" s="172">
        <v>8.6</v>
      </c>
      <c r="K179" s="172">
        <v>-4.4000000000000004</v>
      </c>
      <c r="L179" s="172"/>
      <c r="M179" s="172"/>
      <c r="N179" s="172"/>
      <c r="O179" s="172"/>
      <c r="P179" s="172"/>
      <c r="AA179" s="171"/>
    </row>
    <row r="180" spans="3:27" s="230" customFormat="1" ht="11.25" hidden="1">
      <c r="C180" s="996"/>
      <c r="D180" s="173" t="str">
        <f>IF(Indice_index!$Z$1=1,"outubro","October")</f>
        <v>outubro</v>
      </c>
      <c r="E180" s="172">
        <v>1.8</v>
      </c>
      <c r="F180" s="172">
        <v>-0.4</v>
      </c>
      <c r="G180" s="172">
        <v>1.1000000000000001</v>
      </c>
      <c r="H180" s="172">
        <v>1.4</v>
      </c>
      <c r="I180" s="172">
        <v>9.8000000000000007</v>
      </c>
      <c r="K180" s="172">
        <v>-4.3</v>
      </c>
      <c r="L180" s="172"/>
      <c r="M180" s="172"/>
      <c r="N180" s="172"/>
      <c r="O180" s="172"/>
      <c r="P180" s="172"/>
      <c r="AA180" s="171"/>
    </row>
    <row r="181" spans="3:27" s="230" customFormat="1" ht="11.25" hidden="1">
      <c r="C181" s="996"/>
      <c r="D181" s="173" t="str">
        <f>IF(Indice_index!$Z$1=1,"novembro","November")</f>
        <v>novembro</v>
      </c>
      <c r="E181" s="172">
        <v>2</v>
      </c>
      <c r="F181" s="172">
        <v>0</v>
      </c>
      <c r="G181" s="172">
        <v>1.3</v>
      </c>
      <c r="H181" s="172">
        <v>1.6</v>
      </c>
      <c r="I181" s="172">
        <v>53.1</v>
      </c>
      <c r="K181" s="172">
        <v>-4.2</v>
      </c>
      <c r="L181" s="172"/>
      <c r="M181" s="172"/>
      <c r="N181" s="172"/>
      <c r="O181" s="172"/>
      <c r="P181" s="172"/>
      <c r="AA181" s="171"/>
    </row>
    <row r="182" spans="3:27" s="230" customFormat="1" ht="11.25" hidden="1">
      <c r="C182" s="996"/>
      <c r="D182" s="173" t="str">
        <f>IF(Indice_index!$Z$1=1,"dezembro","December")</f>
        <v>dezembro</v>
      </c>
      <c r="E182" s="172">
        <v>2.2000000000000002</v>
      </c>
      <c r="F182" s="172">
        <v>0</v>
      </c>
      <c r="G182" s="172">
        <v>1.4</v>
      </c>
      <c r="H182" s="172">
        <v>1.8</v>
      </c>
      <c r="I182" s="172">
        <v>8.8000000000000007</v>
      </c>
      <c r="K182" s="172">
        <v>-4.0999999999999996</v>
      </c>
      <c r="L182" s="172"/>
      <c r="M182" s="172"/>
      <c r="N182" s="172"/>
      <c r="O182" s="172"/>
      <c r="P182" s="172"/>
      <c r="AA182" s="171"/>
    </row>
    <row r="183" spans="3:27" s="230" customFormat="1" ht="11.25" hidden="1">
      <c r="C183" s="993" t="s">
        <v>12</v>
      </c>
      <c r="D183" s="172"/>
      <c r="E183" s="172"/>
      <c r="F183" s="172"/>
      <c r="G183" s="172"/>
      <c r="H183" s="172"/>
      <c r="I183" s="172"/>
      <c r="K183" s="172"/>
      <c r="L183" s="172"/>
      <c r="M183" s="172"/>
      <c r="N183" s="172"/>
      <c r="O183" s="172"/>
      <c r="P183" s="172"/>
      <c r="AA183" s="171"/>
    </row>
    <row r="184" spans="3:27" s="230" customFormat="1" ht="11.25" hidden="1">
      <c r="C184" s="996"/>
      <c r="D184" s="173" t="str">
        <f>IF(Indice_index!$Z$1=1,"janeiro","January")</f>
        <v>janeiro</v>
      </c>
      <c r="E184" s="172">
        <v>2.2000000000000002</v>
      </c>
      <c r="F184" s="172">
        <v>0.1</v>
      </c>
      <c r="G184" s="172">
        <v>1.3</v>
      </c>
      <c r="H184" s="172">
        <v>1.8</v>
      </c>
      <c r="I184" s="172">
        <v>10.1</v>
      </c>
      <c r="K184" s="172">
        <v>-4.4000000000000004</v>
      </c>
      <c r="L184" s="172"/>
      <c r="M184" s="172"/>
      <c r="N184" s="172"/>
      <c r="O184" s="172"/>
      <c r="P184" s="172"/>
      <c r="AA184" s="171"/>
    </row>
    <row r="185" spans="3:27" s="230" customFormat="1" ht="11.25" hidden="1">
      <c r="C185" s="996"/>
      <c r="D185" s="173" t="str">
        <f>IF(Indice_index!$Z$1=1,"fevereiro","February")</f>
        <v>fevereiro</v>
      </c>
      <c r="E185" s="172">
        <v>2.2000000000000002</v>
      </c>
      <c r="F185" s="172">
        <v>0</v>
      </c>
      <c r="G185" s="172">
        <v>1.3</v>
      </c>
      <c r="H185" s="172">
        <v>1.7</v>
      </c>
      <c r="I185" s="172">
        <v>-8</v>
      </c>
      <c r="K185" s="172">
        <v>-4.5</v>
      </c>
      <c r="L185" s="172"/>
      <c r="M185" s="172"/>
      <c r="N185" s="172"/>
      <c r="O185" s="172"/>
      <c r="P185" s="172"/>
      <c r="AA185" s="171"/>
    </row>
    <row r="186" spans="3:27" s="230" customFormat="1" ht="11.25" hidden="1">
      <c r="C186" s="996"/>
      <c r="D186" s="173" t="str">
        <f>IF(Indice_index!$Z$1=1,"março","March")</f>
        <v>março</v>
      </c>
      <c r="E186" s="172">
        <v>2.1</v>
      </c>
      <c r="F186" s="172">
        <v>0</v>
      </c>
      <c r="G186" s="172">
        <v>1.5</v>
      </c>
      <c r="H186" s="172">
        <v>1.7</v>
      </c>
      <c r="I186" s="172">
        <v>-0.7</v>
      </c>
      <c r="K186" s="172">
        <v>-4.5999999999999996</v>
      </c>
      <c r="L186" s="172"/>
      <c r="M186" s="172"/>
      <c r="N186" s="172"/>
      <c r="O186" s="172"/>
      <c r="P186" s="172"/>
      <c r="AA186" s="171"/>
    </row>
    <row r="187" spans="3:27" s="230" customFormat="1" ht="11.25" hidden="1">
      <c r="C187" s="996"/>
      <c r="D187" s="173" t="str">
        <f>IF(Indice_index!$Z$1=1,"abril","April")</f>
        <v>abril</v>
      </c>
      <c r="E187" s="172">
        <v>2</v>
      </c>
      <c r="F187" s="172">
        <v>0.1</v>
      </c>
      <c r="G187" s="172">
        <v>1.6</v>
      </c>
      <c r="H187" s="172">
        <v>1.7</v>
      </c>
      <c r="I187" s="172">
        <v>-1.2</v>
      </c>
      <c r="K187" s="172">
        <v>-4.8</v>
      </c>
      <c r="L187" s="172"/>
      <c r="M187" s="172"/>
      <c r="N187" s="172"/>
      <c r="O187" s="172"/>
      <c r="P187" s="172"/>
      <c r="AA187" s="171"/>
    </row>
    <row r="188" spans="3:27" s="230" customFormat="1" ht="11.25" hidden="1">
      <c r="C188" s="996"/>
      <c r="D188" s="173" t="str">
        <f>IF(Indice_index!$Z$1=1,"maio","May")</f>
        <v>maio</v>
      </c>
      <c r="E188" s="172">
        <v>1.9</v>
      </c>
      <c r="F188" s="172">
        <v>0.1</v>
      </c>
      <c r="G188" s="172">
        <v>1.6</v>
      </c>
      <c r="H188" s="172">
        <v>1.6</v>
      </c>
      <c r="I188" s="172">
        <v>-0.9</v>
      </c>
      <c r="K188" s="172">
        <v>-4.9000000000000004</v>
      </c>
      <c r="L188" s="172"/>
      <c r="M188" s="172"/>
      <c r="N188" s="172"/>
      <c r="O188" s="172"/>
      <c r="P188" s="172"/>
      <c r="AA188" s="171"/>
    </row>
    <row r="189" spans="3:27" s="230" customFormat="1" ht="11.25" hidden="1">
      <c r="C189" s="996"/>
      <c r="D189" s="173" t="str">
        <f>IF(Indice_index!$Z$1=1,"junho","June")</f>
        <v>junho</v>
      </c>
      <c r="E189" s="172">
        <v>2</v>
      </c>
      <c r="F189" s="172">
        <v>-0.2</v>
      </c>
      <c r="G189" s="172">
        <v>1.6</v>
      </c>
      <c r="H189" s="172">
        <v>1.6</v>
      </c>
      <c r="I189" s="172">
        <v>-0.9</v>
      </c>
      <c r="K189" s="172">
        <v>-5</v>
      </c>
      <c r="L189" s="172"/>
      <c r="M189" s="172"/>
      <c r="N189" s="172"/>
      <c r="O189" s="172"/>
      <c r="P189" s="172"/>
      <c r="AA189" s="171"/>
    </row>
    <row r="190" spans="3:27" s="230" customFormat="1" ht="11.25" hidden="1">
      <c r="C190" s="996"/>
      <c r="D190" s="173" t="str">
        <f>IF(Indice_index!$Z$1=1,"julho","July")</f>
        <v>julho</v>
      </c>
      <c r="E190" s="172">
        <v>2.1480540184017052</v>
      </c>
      <c r="F190" s="172">
        <v>-0.32109970013003208</v>
      </c>
      <c r="G190" s="172">
        <v>10.527022064016725</v>
      </c>
      <c r="H190" s="172">
        <v>3.7888244605378629</v>
      </c>
      <c r="I190" s="172">
        <v>48.076394613904931</v>
      </c>
      <c r="K190" s="172">
        <v>-5.1713744898311784</v>
      </c>
      <c r="L190" s="172"/>
      <c r="M190" s="172"/>
      <c r="N190" s="172"/>
      <c r="O190" s="172"/>
      <c r="P190" s="172"/>
      <c r="AA190" s="171"/>
    </row>
    <row r="191" spans="3:27" s="230" customFormat="1" ht="11.25" hidden="1">
      <c r="C191" s="996"/>
      <c r="D191" s="173" t="str">
        <f>IF(Indice_index!$Z$1=1,"agosto","August")</f>
        <v>agosto</v>
      </c>
      <c r="E191" s="172">
        <v>2.6</v>
      </c>
      <c r="F191" s="172">
        <v>-0.1</v>
      </c>
      <c r="G191" s="172">
        <v>10.5</v>
      </c>
      <c r="H191" s="172">
        <v>4.0999999999999996</v>
      </c>
      <c r="I191" s="172">
        <v>1.3</v>
      </c>
      <c r="K191" s="172">
        <v>-5.0999999999999996</v>
      </c>
      <c r="L191" s="172"/>
      <c r="M191" s="172"/>
      <c r="N191" s="172"/>
      <c r="O191" s="172"/>
      <c r="P191" s="172"/>
      <c r="AA191" s="171"/>
    </row>
    <row r="192" spans="3:27" s="230" customFormat="1" ht="11.25" hidden="1">
      <c r="C192" s="996"/>
      <c r="D192" s="173" t="str">
        <f>IF(Indice_index!$Z$1=1,"setembro","September")</f>
        <v>setembro</v>
      </c>
      <c r="E192" s="172">
        <v>3</v>
      </c>
      <c r="F192" s="172">
        <v>0.1</v>
      </c>
      <c r="G192" s="172">
        <v>10.5</v>
      </c>
      <c r="H192" s="172">
        <v>4.4000000000000004</v>
      </c>
      <c r="I192" s="172">
        <v>-2.2999999999999998</v>
      </c>
      <c r="K192" s="172">
        <v>-5</v>
      </c>
      <c r="L192" s="172"/>
      <c r="M192" s="172"/>
      <c r="N192" s="172"/>
      <c r="O192" s="172"/>
      <c r="P192" s="172"/>
      <c r="AA192" s="171"/>
    </row>
    <row r="193" spans="3:27" s="230" customFormat="1" ht="11.25" hidden="1">
      <c r="C193" s="996"/>
      <c r="D193" s="173" t="str">
        <f>IF(Indice_index!$Z$1=1,"outubro","October")</f>
        <v>outubro</v>
      </c>
      <c r="E193" s="172">
        <v>3.2</v>
      </c>
      <c r="F193" s="172">
        <v>0.1</v>
      </c>
      <c r="G193" s="172">
        <v>10.6</v>
      </c>
      <c r="H193" s="172">
        <v>4.5</v>
      </c>
      <c r="I193" s="172">
        <v>-3.4</v>
      </c>
      <c r="K193" s="172">
        <v>-5</v>
      </c>
      <c r="L193" s="172"/>
      <c r="M193" s="172"/>
      <c r="N193" s="172"/>
      <c r="O193" s="172"/>
      <c r="P193" s="172"/>
      <c r="AA193" s="171"/>
    </row>
    <row r="194" spans="3:27" s="230" customFormat="1" ht="11.25" hidden="1">
      <c r="C194" s="996"/>
      <c r="D194" s="173" t="str">
        <f>IF(Indice_index!$Z$1=1,"novembro","November")</f>
        <v>novembro</v>
      </c>
      <c r="E194" s="172">
        <v>3.1</v>
      </c>
      <c r="F194" s="172">
        <v>-0.2</v>
      </c>
      <c r="G194" s="172">
        <v>10.4</v>
      </c>
      <c r="H194" s="172">
        <v>4.4000000000000004</v>
      </c>
      <c r="I194" s="172">
        <v>-41.2</v>
      </c>
      <c r="K194" s="172">
        <v>-5</v>
      </c>
      <c r="L194" s="172"/>
      <c r="M194" s="172"/>
      <c r="N194" s="172"/>
      <c r="O194" s="172"/>
      <c r="P194" s="172"/>
      <c r="AA194" s="171"/>
    </row>
    <row r="195" spans="3:27" s="230" customFormat="1" ht="11.25" hidden="1">
      <c r="C195" s="996"/>
      <c r="D195" s="173" t="str">
        <f>IF(Indice_index!$Z$1=1,"dezembro","December")</f>
        <v>dezembro</v>
      </c>
      <c r="E195" s="172">
        <v>3</v>
      </c>
      <c r="F195" s="172">
        <v>-0.2</v>
      </c>
      <c r="G195" s="172">
        <v>10.199999999999999</v>
      </c>
      <c r="H195" s="172">
        <v>4.2</v>
      </c>
      <c r="I195" s="172">
        <v>0.7</v>
      </c>
      <c r="K195" s="172">
        <v>-5</v>
      </c>
      <c r="L195" s="172"/>
      <c r="M195" s="172"/>
      <c r="N195" s="172"/>
      <c r="O195" s="172"/>
      <c r="P195" s="172"/>
      <c r="AA195" s="171"/>
    </row>
    <row r="196" spans="3:27" s="230" customFormat="1" ht="11.25" hidden="1">
      <c r="C196" s="993" t="s">
        <v>13</v>
      </c>
      <c r="D196" s="172"/>
      <c r="E196" s="172"/>
      <c r="F196" s="172"/>
      <c r="G196" s="172"/>
      <c r="H196" s="172"/>
      <c r="I196" s="172"/>
      <c r="K196" s="172"/>
      <c r="L196" s="172"/>
      <c r="M196" s="172"/>
      <c r="N196" s="172"/>
      <c r="O196" s="172"/>
      <c r="P196" s="172"/>
      <c r="AA196" s="171"/>
    </row>
    <row r="197" spans="3:27" s="230" customFormat="1" ht="11.25" hidden="1">
      <c r="C197" s="996"/>
      <c r="D197" s="173" t="str">
        <f>IF(Indice_index!$Z$1=1,"janeiro","January")</f>
        <v>janeiro</v>
      </c>
      <c r="E197" s="172">
        <v>3</v>
      </c>
      <c r="F197" s="172">
        <v>-0.4</v>
      </c>
      <c r="G197" s="172">
        <v>10.1</v>
      </c>
      <c r="H197" s="172">
        <v>4.2</v>
      </c>
      <c r="I197" s="172">
        <v>-1.9</v>
      </c>
      <c r="K197" s="172">
        <v>-4.7</v>
      </c>
      <c r="L197" s="172"/>
      <c r="N197" s="172"/>
      <c r="O197" s="172"/>
      <c r="P197" s="172"/>
      <c r="AA197" s="171"/>
    </row>
    <row r="198" spans="3:27" s="230" customFormat="1" ht="11.25" hidden="1">
      <c r="C198" s="996"/>
      <c r="D198" s="173" t="str">
        <f>IF(Indice_index!$Z$1=1,"fevereiro","February")</f>
        <v>fevereiro</v>
      </c>
      <c r="E198" s="172">
        <v>3.1</v>
      </c>
      <c r="F198" s="172">
        <v>-0.5</v>
      </c>
      <c r="G198" s="172">
        <v>9.9</v>
      </c>
      <c r="H198" s="172">
        <v>4.2</v>
      </c>
      <c r="I198" s="172">
        <v>-1.2</v>
      </c>
      <c r="K198" s="172">
        <v>-4.5</v>
      </c>
      <c r="L198" s="172"/>
      <c r="M198" s="172"/>
      <c r="N198" s="172"/>
      <c r="O198" s="172"/>
      <c r="P198" s="172"/>
      <c r="AA198" s="171"/>
    </row>
    <row r="199" spans="3:27" s="230" customFormat="1" ht="11.25" hidden="1">
      <c r="C199" s="996"/>
      <c r="D199" s="173" t="str">
        <f>IF(Indice_index!$Z$1=1,"março","March")</f>
        <v>março</v>
      </c>
      <c r="E199" s="172">
        <v>3.1</v>
      </c>
      <c r="F199" s="172">
        <v>-0.6</v>
      </c>
      <c r="G199" s="172">
        <v>9.6999999999999993</v>
      </c>
      <c r="H199" s="172">
        <v>4.2</v>
      </c>
      <c r="I199" s="172">
        <v>-1.2</v>
      </c>
      <c r="K199" s="172">
        <v>-4.2</v>
      </c>
      <c r="L199" s="172"/>
      <c r="M199" s="172"/>
      <c r="N199" s="172"/>
      <c r="O199" s="172"/>
      <c r="P199" s="172"/>
      <c r="AA199" s="171"/>
    </row>
    <row r="200" spans="3:27" s="230" customFormat="1" ht="11.25" hidden="1">
      <c r="C200" s="996"/>
      <c r="D200" s="173" t="str">
        <f>IF(Indice_index!$Z$1=1,"abril","April")</f>
        <v>abril</v>
      </c>
      <c r="E200" s="172">
        <v>3</v>
      </c>
      <c r="F200" s="172">
        <v>-0.8</v>
      </c>
      <c r="G200" s="172">
        <v>9.6</v>
      </c>
      <c r="H200" s="172">
        <v>4.0999999999999996</v>
      </c>
      <c r="I200" s="172">
        <v>-1</v>
      </c>
      <c r="K200" s="172">
        <v>-4</v>
      </c>
      <c r="L200" s="172"/>
      <c r="M200" s="172"/>
      <c r="N200" s="172"/>
      <c r="O200" s="172"/>
      <c r="P200" s="172"/>
      <c r="AA200" s="171"/>
    </row>
    <row r="201" spans="3:27" s="230" customFormat="1" ht="11.25" hidden="1">
      <c r="C201" s="996"/>
      <c r="D201" s="173" t="str">
        <f>IF(Indice_index!$Z$1=1,"maio","May")</f>
        <v>maio</v>
      </c>
      <c r="E201" s="172">
        <v>2.9</v>
      </c>
      <c r="F201" s="172">
        <v>-0.9</v>
      </c>
      <c r="G201" s="172">
        <v>10.7</v>
      </c>
      <c r="H201" s="172">
        <v>4.3</v>
      </c>
      <c r="I201" s="172">
        <v>-1</v>
      </c>
      <c r="K201" s="172">
        <v>-3.7</v>
      </c>
      <c r="L201" s="172"/>
      <c r="M201" s="172"/>
      <c r="N201" s="172"/>
      <c r="O201" s="172"/>
      <c r="P201" s="172"/>
      <c r="AA201" s="171"/>
    </row>
    <row r="202" spans="3:27" s="230" customFormat="1" ht="11.25" hidden="1">
      <c r="C202" s="996"/>
      <c r="D202" s="173" t="str">
        <f>IF(Indice_index!$Z$1=1,"junho","June")</f>
        <v>junho</v>
      </c>
      <c r="E202" s="172">
        <v>2.9</v>
      </c>
      <c r="F202" s="172">
        <v>-0.8</v>
      </c>
      <c r="G202" s="172">
        <v>10.6</v>
      </c>
      <c r="H202" s="172">
        <v>4.2</v>
      </c>
      <c r="I202" s="172">
        <v>-1.3</v>
      </c>
      <c r="K202" s="172">
        <v>-3.4</v>
      </c>
      <c r="L202" s="172"/>
      <c r="M202" s="172"/>
      <c r="N202" s="172"/>
      <c r="O202" s="172"/>
      <c r="P202" s="172"/>
      <c r="AA202" s="171"/>
    </row>
    <row r="203" spans="3:27" s="230" customFormat="1" ht="11.25" hidden="1">
      <c r="C203" s="996"/>
      <c r="D203" s="173" t="str">
        <f>IF(Indice_index!$Z$1=1,"julho","July")</f>
        <v>julho</v>
      </c>
      <c r="E203" s="172">
        <v>2.6</v>
      </c>
      <c r="F203" s="172">
        <v>-0.8</v>
      </c>
      <c r="G203" s="172">
        <v>1.8</v>
      </c>
      <c r="H203" s="172">
        <v>2</v>
      </c>
      <c r="I203" s="172">
        <v>0.2</v>
      </c>
      <c r="K203" s="172">
        <v>-3.1</v>
      </c>
      <c r="L203" s="172"/>
      <c r="M203" s="172"/>
      <c r="N203" s="172"/>
      <c r="O203" s="172"/>
      <c r="P203" s="172"/>
      <c r="AA203" s="171"/>
    </row>
    <row r="204" spans="3:27" s="230" customFormat="1" ht="11.25" hidden="1">
      <c r="C204" s="996"/>
      <c r="D204" s="173" t="str">
        <f>IF(Indice_index!$Z$1=1,"agosto","August")</f>
        <v>agosto</v>
      </c>
      <c r="E204" s="172">
        <v>2.2000000000000002</v>
      </c>
      <c r="F204" s="172">
        <v>-0.9</v>
      </c>
      <c r="G204" s="172">
        <v>1.8</v>
      </c>
      <c r="H204" s="172">
        <v>1.7</v>
      </c>
      <c r="I204" s="172">
        <v>-3.6</v>
      </c>
      <c r="K204" s="172">
        <v>-3</v>
      </c>
      <c r="L204" s="172"/>
      <c r="M204" s="172"/>
      <c r="N204" s="172"/>
      <c r="O204" s="172"/>
      <c r="P204" s="172"/>
      <c r="AA204" s="171"/>
    </row>
    <row r="205" spans="3:27" s="230" customFormat="1" ht="11.25" hidden="1">
      <c r="C205" s="996"/>
      <c r="D205" s="173" t="str">
        <f>IF(Indice_index!$Z$1=1,"setembro","September")</f>
        <v>setembro</v>
      </c>
      <c r="E205" s="172">
        <v>1.8</v>
      </c>
      <c r="F205" s="172">
        <v>-1.1000000000000001</v>
      </c>
      <c r="G205" s="172">
        <v>1.9</v>
      </c>
      <c r="H205" s="172">
        <v>1.5</v>
      </c>
      <c r="I205" s="172">
        <v>0.1</v>
      </c>
      <c r="K205" s="172">
        <v>-2.6</v>
      </c>
      <c r="L205" s="172"/>
      <c r="M205" s="172"/>
      <c r="N205" s="172"/>
      <c r="O205" s="172"/>
      <c r="P205" s="172"/>
      <c r="AA205" s="171"/>
    </row>
    <row r="206" spans="3:27" s="230" customFormat="1" ht="11.25" hidden="1">
      <c r="C206" s="996"/>
      <c r="D206" s="173" t="str">
        <f>IF(Indice_index!$Z$1=1,"outubro","October")</f>
        <v>outubro</v>
      </c>
      <c r="E206" s="172">
        <v>1.5</v>
      </c>
      <c r="F206" s="172">
        <v>-1</v>
      </c>
      <c r="G206" s="172">
        <v>1.7</v>
      </c>
      <c r="H206" s="172">
        <v>1.3</v>
      </c>
      <c r="I206" s="172">
        <v>0.1</v>
      </c>
      <c r="K206" s="172">
        <v>-2.5</v>
      </c>
      <c r="L206" s="172"/>
      <c r="M206" s="172"/>
      <c r="N206" s="172"/>
      <c r="O206" s="172"/>
      <c r="P206" s="172"/>
      <c r="AA206" s="171"/>
    </row>
    <row r="207" spans="3:27" s="230" customFormat="1" ht="11.25" hidden="1">
      <c r="C207" s="996"/>
      <c r="D207" s="173" t="str">
        <f>IF(Indice_index!$Z$1=1,"novembro","November")</f>
        <v>novembro</v>
      </c>
      <c r="E207" s="172">
        <v>1.3</v>
      </c>
      <c r="F207" s="172">
        <v>-1</v>
      </c>
      <c r="G207" s="172">
        <v>1.7</v>
      </c>
      <c r="H207" s="172">
        <v>1.1000000000000001</v>
      </c>
      <c r="I207" s="172">
        <v>-0.4</v>
      </c>
      <c r="K207" s="172">
        <v>-2.2999999999999998</v>
      </c>
      <c r="L207" s="172"/>
      <c r="M207" s="172"/>
      <c r="N207" s="172"/>
      <c r="O207" s="172"/>
      <c r="P207" s="172"/>
      <c r="AA207" s="171"/>
    </row>
    <row r="208" spans="3:27" s="230" customFormat="1" ht="11.25" hidden="1">
      <c r="C208" s="996"/>
      <c r="D208" s="173" t="str">
        <f>IF(Indice_index!$Z$1=1,"dezembro","December")</f>
        <v>dezembro</v>
      </c>
      <c r="E208" s="172">
        <v>1</v>
      </c>
      <c r="F208" s="172">
        <v>-0.9</v>
      </c>
      <c r="G208" s="172">
        <v>1.7</v>
      </c>
      <c r="H208" s="172">
        <v>1</v>
      </c>
      <c r="I208" s="172">
        <v>-6.6</v>
      </c>
      <c r="K208" s="172">
        <v>-2.2999999999999998</v>
      </c>
      <c r="L208" s="172"/>
      <c r="M208" s="172"/>
      <c r="N208" s="172"/>
      <c r="O208" s="172"/>
      <c r="P208" s="172"/>
      <c r="AA208" s="171"/>
    </row>
    <row r="209" spans="3:27" s="230" customFormat="1" ht="11.25" hidden="1">
      <c r="C209" s="995">
        <v>2016</v>
      </c>
      <c r="D209" s="172"/>
      <c r="E209" s="172"/>
      <c r="F209" s="172"/>
      <c r="G209" s="172"/>
      <c r="H209" s="172"/>
      <c r="I209" s="172"/>
      <c r="K209" s="172"/>
      <c r="L209" s="172"/>
      <c r="M209" s="172"/>
      <c r="N209" s="172"/>
      <c r="O209" s="172"/>
      <c r="P209" s="172"/>
      <c r="AA209" s="171"/>
    </row>
    <row r="210" spans="3:27" s="230" customFormat="1" ht="11.25" hidden="1">
      <c r="C210" s="996"/>
      <c r="D210" s="173" t="str">
        <f>IF(Indice_index!$Z$1=1,"janeiro","January")</f>
        <v>janeiro</v>
      </c>
      <c r="E210" s="172">
        <v>0.7</v>
      </c>
      <c r="F210" s="172">
        <v>-0.9</v>
      </c>
      <c r="G210" s="172">
        <v>1.6</v>
      </c>
      <c r="H210" s="172">
        <v>0.8</v>
      </c>
      <c r="I210" s="172">
        <v>0.2</v>
      </c>
      <c r="K210" s="172">
        <v>-2.2000000000000002</v>
      </c>
      <c r="L210" s="172"/>
      <c r="M210" s="172"/>
      <c r="N210" s="172"/>
      <c r="O210" s="172"/>
      <c r="P210" s="172"/>
      <c r="AA210" s="171"/>
    </row>
    <row r="211" spans="3:27" s="230" customFormat="1" ht="11.25" hidden="1">
      <c r="C211" s="996"/>
      <c r="D211" s="173" t="str">
        <f>IF(Indice_index!$Z$1=1,"fevereiro","February")</f>
        <v>fevereiro</v>
      </c>
      <c r="E211" s="172">
        <v>0.5</v>
      </c>
      <c r="F211" s="172">
        <v>-0.9</v>
      </c>
      <c r="G211" s="172">
        <v>1.7</v>
      </c>
      <c r="H211" s="172">
        <v>0.6</v>
      </c>
      <c r="I211" s="172">
        <v>2.5</v>
      </c>
      <c r="K211" s="172">
        <v>-2.2000000000000002</v>
      </c>
      <c r="L211" s="172"/>
      <c r="M211" s="172"/>
      <c r="N211" s="172"/>
      <c r="O211" s="172"/>
      <c r="P211" s="172"/>
      <c r="AA211" s="171"/>
    </row>
    <row r="212" spans="3:27" s="230" customFormat="1" ht="11.25" hidden="1">
      <c r="C212" s="996"/>
      <c r="D212" s="173" t="str">
        <f>IF(Indice_index!$Z$1=1,"março","March")</f>
        <v>março</v>
      </c>
      <c r="E212" s="172">
        <v>0.3</v>
      </c>
      <c r="F212" s="172">
        <v>-0.8</v>
      </c>
      <c r="G212" s="172">
        <v>1.8</v>
      </c>
      <c r="H212" s="172">
        <v>0.5</v>
      </c>
      <c r="I212" s="172">
        <v>-0.3</v>
      </c>
      <c r="K212" s="172">
        <v>-2.2000000000000002</v>
      </c>
      <c r="L212" s="172"/>
      <c r="M212" s="172"/>
      <c r="N212" s="172"/>
      <c r="O212" s="172"/>
      <c r="P212" s="172"/>
      <c r="AA212" s="171"/>
    </row>
    <row r="213" spans="3:27" s="230" customFormat="1" ht="11.25" hidden="1">
      <c r="C213" s="996"/>
      <c r="D213" s="173" t="str">
        <f>IF(Indice_index!$Z$1=1,"abril","April")</f>
        <v>abril</v>
      </c>
      <c r="E213" s="172">
        <v>0.1</v>
      </c>
      <c r="F213" s="172">
        <v>-0.8</v>
      </c>
      <c r="G213" s="172">
        <v>1.7</v>
      </c>
      <c r="H213" s="172">
        <v>0.4</v>
      </c>
      <c r="I213" s="172">
        <v>-0.1</v>
      </c>
      <c r="K213" s="172">
        <v>-2.1</v>
      </c>
      <c r="L213" s="172"/>
      <c r="M213" s="172"/>
      <c r="N213" s="172"/>
      <c r="O213" s="172"/>
      <c r="P213" s="172"/>
      <c r="AA213" s="171"/>
    </row>
    <row r="214" spans="3:27" s="230" customFormat="1" ht="11.25" hidden="1">
      <c r="C214" s="996"/>
      <c r="D214" s="173" t="str">
        <f>IF(Indice_index!$Z$1=1,"maio","May")</f>
        <v>maio</v>
      </c>
      <c r="E214" s="172">
        <v>-0.1</v>
      </c>
      <c r="F214" s="172">
        <v>-0.8</v>
      </c>
      <c r="G214" s="172">
        <v>0.5</v>
      </c>
      <c r="H214" s="172">
        <v>0</v>
      </c>
      <c r="I214" s="172">
        <v>-0.3</v>
      </c>
      <c r="K214" s="172">
        <v>-2.2000000000000002</v>
      </c>
      <c r="L214" s="172"/>
      <c r="M214" s="172"/>
      <c r="N214" s="172"/>
      <c r="O214" s="172"/>
      <c r="P214" s="172"/>
      <c r="AA214" s="171"/>
    </row>
    <row r="215" spans="3:27" s="230" customFormat="1" ht="11.25" hidden="1">
      <c r="C215" s="996"/>
      <c r="D215" s="173" t="str">
        <f>IF(Indice_index!$Z$1=1,"junho","June")</f>
        <v>junho</v>
      </c>
      <c r="E215" s="172">
        <v>-0.3</v>
      </c>
      <c r="F215" s="172">
        <v>-0.9</v>
      </c>
      <c r="G215" s="172">
        <v>0.5</v>
      </c>
      <c r="H215" s="172">
        <v>-0.1</v>
      </c>
      <c r="I215" s="172">
        <v>1.5</v>
      </c>
      <c r="K215" s="172">
        <v>-2.2000000000000002</v>
      </c>
      <c r="L215" s="172"/>
      <c r="M215" s="172"/>
      <c r="N215" s="172"/>
      <c r="O215" s="172"/>
      <c r="P215" s="172"/>
      <c r="AA215" s="171"/>
    </row>
    <row r="216" spans="3:27" s="230" customFormat="1" ht="11.25" hidden="1">
      <c r="C216" s="996"/>
      <c r="D216" s="173" t="str">
        <f>IF(Indice_index!$Z$1=1,"julho","July")</f>
        <v>julho</v>
      </c>
      <c r="E216" s="172">
        <v>-0.3</v>
      </c>
      <c r="F216" s="172">
        <v>-0.9</v>
      </c>
      <c r="G216" s="172">
        <v>0.4</v>
      </c>
      <c r="H216" s="172">
        <v>-0.2</v>
      </c>
      <c r="I216" s="172">
        <v>1.3</v>
      </c>
      <c r="K216" s="172">
        <v>-2.1</v>
      </c>
      <c r="L216" s="172"/>
      <c r="M216" s="172"/>
      <c r="N216" s="172"/>
      <c r="O216" s="172"/>
      <c r="P216" s="172"/>
      <c r="AA216" s="171"/>
    </row>
    <row r="217" spans="3:27" s="230" customFormat="1" ht="11.25" hidden="1">
      <c r="C217" s="996"/>
      <c r="D217" s="173" t="str">
        <f>IF(Indice_index!$Z$1=1,"agosto","August")</f>
        <v>agosto</v>
      </c>
      <c r="E217" s="172">
        <v>-0.5</v>
      </c>
      <c r="F217" s="172">
        <v>-0.9</v>
      </c>
      <c r="G217" s="172">
        <v>0.3</v>
      </c>
      <c r="H217" s="172">
        <v>-0.3</v>
      </c>
      <c r="I217" s="172">
        <v>2.4</v>
      </c>
      <c r="K217" s="172">
        <v>-2.1</v>
      </c>
      <c r="L217" s="172"/>
      <c r="M217" s="172"/>
      <c r="N217" s="172"/>
      <c r="O217" s="172"/>
      <c r="P217" s="172"/>
      <c r="AA217" s="171"/>
    </row>
    <row r="218" spans="3:27" s="230" customFormat="1" ht="11.25" hidden="1">
      <c r="C218" s="996"/>
      <c r="D218" s="173" t="str">
        <f>IF(Indice_index!$Z$1=1,"setembro","September")</f>
        <v>setembro</v>
      </c>
      <c r="E218" s="172">
        <v>-0.6</v>
      </c>
      <c r="F218" s="172">
        <v>-0.9</v>
      </c>
      <c r="G218" s="172">
        <v>0.2</v>
      </c>
      <c r="H218" s="172">
        <v>-0.4</v>
      </c>
      <c r="I218" s="172">
        <v>1.7</v>
      </c>
      <c r="K218" s="172">
        <v>-2</v>
      </c>
      <c r="L218" s="172"/>
      <c r="M218" s="172"/>
      <c r="N218" s="172"/>
      <c r="O218" s="172"/>
      <c r="P218" s="172"/>
      <c r="AA218" s="171"/>
    </row>
    <row r="219" spans="3:27" s="230" customFormat="1" ht="11.25" hidden="1">
      <c r="C219" s="996"/>
      <c r="D219" s="173" t="str">
        <f>IF(Indice_index!$Z$1=1,"outubro","October")</f>
        <v>outubro</v>
      </c>
      <c r="E219" s="172">
        <v>-0.7</v>
      </c>
      <c r="F219" s="172">
        <v>-0.9</v>
      </c>
      <c r="G219" s="172">
        <v>0.2</v>
      </c>
      <c r="H219" s="172">
        <v>-0.5</v>
      </c>
      <c r="I219" s="172">
        <v>1.7</v>
      </c>
      <c r="K219" s="172">
        <v>-2</v>
      </c>
      <c r="L219" s="172"/>
      <c r="M219" s="172"/>
      <c r="N219" s="172"/>
      <c r="O219" s="172"/>
      <c r="P219" s="172"/>
      <c r="AA219" s="171"/>
    </row>
    <row r="220" spans="3:27" s="230" customFormat="1" ht="11.25" hidden="1">
      <c r="C220" s="996"/>
      <c r="D220" s="173" t="str">
        <f>IF(Indice_index!$Z$1=1,"novembro","November")</f>
        <v>novembro</v>
      </c>
      <c r="E220" s="172">
        <v>-0.7</v>
      </c>
      <c r="F220" s="172">
        <v>-0.9</v>
      </c>
      <c r="G220" s="172">
        <v>0.1</v>
      </c>
      <c r="H220" s="172">
        <v>-0.5</v>
      </c>
      <c r="I220" s="172">
        <v>1.9</v>
      </c>
      <c r="K220" s="172">
        <v>-2</v>
      </c>
      <c r="L220" s="172"/>
      <c r="M220" s="172"/>
      <c r="N220" s="172"/>
      <c r="O220" s="172"/>
      <c r="P220" s="172"/>
      <c r="AA220" s="171"/>
    </row>
    <row r="221" spans="3:27" s="230" customFormat="1" ht="11.25" hidden="1">
      <c r="C221" s="996"/>
      <c r="D221" s="173" t="str">
        <f>IF(Indice_index!$Z$1=1,"dezembro","December")</f>
        <v>dezembro</v>
      </c>
      <c r="E221" s="172">
        <v>-0.7</v>
      </c>
      <c r="F221" s="172">
        <v>-1</v>
      </c>
      <c r="G221" s="172">
        <v>0.1</v>
      </c>
      <c r="H221" s="172">
        <v>-0.6</v>
      </c>
      <c r="I221" s="172">
        <v>4.5999999999999996</v>
      </c>
      <c r="K221" s="172">
        <v>-2</v>
      </c>
      <c r="L221" s="172"/>
      <c r="M221" s="172"/>
      <c r="N221" s="172"/>
      <c r="O221" s="172"/>
      <c r="P221" s="172"/>
      <c r="AA221" s="171"/>
    </row>
    <row r="222" spans="3:27" s="230" customFormat="1" ht="11.25" hidden="1">
      <c r="C222" s="995">
        <v>2017</v>
      </c>
      <c r="D222" s="172"/>
      <c r="E222" s="172"/>
      <c r="F222" s="172"/>
      <c r="G222" s="172"/>
      <c r="H222" s="172"/>
      <c r="I222" s="172"/>
      <c r="K222" s="172"/>
      <c r="L222" s="172"/>
      <c r="M222" s="172"/>
      <c r="N222" s="172"/>
      <c r="O222" s="172"/>
      <c r="P222" s="172"/>
      <c r="AA222" s="171"/>
    </row>
    <row r="223" spans="3:27" s="172" customFormat="1" ht="11.25" hidden="1">
      <c r="C223" s="1041"/>
      <c r="D223" s="173" t="str">
        <f>IF(Indice_index!$Z$1=1,"janeiro","January")</f>
        <v>janeiro</v>
      </c>
      <c r="E223" s="172">
        <v>-0.7</v>
      </c>
      <c r="F223" s="172">
        <v>-1</v>
      </c>
      <c r="G223" s="172">
        <v>0.1</v>
      </c>
      <c r="H223" s="172">
        <v>-0.5</v>
      </c>
      <c r="I223" s="172">
        <v>-2</v>
      </c>
      <c r="K223" s="172">
        <v>-2.1</v>
      </c>
      <c r="M223" s="230"/>
      <c r="Q223" s="230"/>
      <c r="R223" s="230"/>
      <c r="S223" s="230"/>
      <c r="AA223" s="173"/>
    </row>
    <row r="224" spans="3:27" s="172" customFormat="1" ht="11.25" hidden="1">
      <c r="C224" s="1041"/>
      <c r="D224" s="173" t="str">
        <f>IF(Indice_index!$Z$1=1,"fevereiro","February")</f>
        <v>fevereiro</v>
      </c>
      <c r="E224" s="172">
        <v>-0.8</v>
      </c>
      <c r="F224" s="172">
        <v>-1</v>
      </c>
      <c r="G224" s="172">
        <v>0.1</v>
      </c>
      <c r="H224" s="172">
        <v>-0.6</v>
      </c>
      <c r="I224" s="172">
        <v>-4.7</v>
      </c>
      <c r="K224" s="172">
        <v>-2.1</v>
      </c>
      <c r="AA224" s="173"/>
    </row>
    <row r="225" spans="3:27" s="230" customFormat="1" ht="11.25" hidden="1">
      <c r="C225" s="995"/>
      <c r="D225" s="173" t="str">
        <f>IF(Indice_index!$Z$1=1,"março","March")</f>
        <v>março</v>
      </c>
      <c r="E225" s="172">
        <v>-0.9</v>
      </c>
      <c r="F225" s="172">
        <v>-1.1000000000000001</v>
      </c>
      <c r="G225" s="172">
        <v>0.1</v>
      </c>
      <c r="H225" s="172">
        <v>-0.7</v>
      </c>
      <c r="I225" s="172">
        <v>-1</v>
      </c>
      <c r="K225" s="172">
        <v>-2</v>
      </c>
      <c r="L225" s="172"/>
      <c r="M225" s="172"/>
      <c r="N225" s="172"/>
      <c r="O225" s="172"/>
      <c r="P225" s="172"/>
      <c r="AA225" s="171"/>
    </row>
    <row r="226" spans="3:27" s="230" customFormat="1" ht="11.25" hidden="1">
      <c r="C226" s="995"/>
      <c r="D226" s="173" t="str">
        <f>IF(Indice_index!$Z$1=1,"abril","April")</f>
        <v>abril</v>
      </c>
      <c r="E226" s="172">
        <v>-1</v>
      </c>
      <c r="F226" s="172">
        <v>-1.1000000000000001</v>
      </c>
      <c r="G226" s="172">
        <v>0.1</v>
      </c>
      <c r="H226" s="172">
        <v>-0.7</v>
      </c>
      <c r="I226" s="172">
        <v>-2</v>
      </c>
      <c r="K226" s="172">
        <v>-2</v>
      </c>
      <c r="L226" s="172"/>
      <c r="M226" s="172"/>
      <c r="N226" s="172"/>
      <c r="O226" s="172"/>
      <c r="P226" s="172"/>
      <c r="AA226" s="171"/>
    </row>
    <row r="227" spans="3:27" s="230" customFormat="1" ht="11.25" hidden="1">
      <c r="C227" s="995"/>
      <c r="D227" s="173" t="str">
        <f>IF(Indice_index!$Z$1=1,"maio","May")</f>
        <v>maio</v>
      </c>
      <c r="E227" s="172">
        <v>-0.9</v>
      </c>
      <c r="F227" s="172">
        <v>-1.1000000000000001</v>
      </c>
      <c r="G227" s="172">
        <v>0.1</v>
      </c>
      <c r="H227" s="172">
        <v>-0.6</v>
      </c>
      <c r="I227" s="172">
        <v>-1.8</v>
      </c>
      <c r="K227" s="172">
        <v>-2</v>
      </c>
      <c r="L227" s="172"/>
      <c r="M227" s="172"/>
      <c r="N227" s="172"/>
      <c r="O227" s="172"/>
      <c r="P227" s="172"/>
      <c r="AA227" s="171"/>
    </row>
    <row r="228" spans="3:27" s="230" customFormat="1" ht="11.25" hidden="1">
      <c r="C228" s="995"/>
      <c r="D228" s="173" t="str">
        <f>IF(Indice_index!$Z$1=1,"junho","June")</f>
        <v>junho</v>
      </c>
      <c r="E228" s="172">
        <v>-0.8</v>
      </c>
      <c r="F228" s="172">
        <v>-1.1000000000000001</v>
      </c>
      <c r="G228" s="172">
        <v>0.1</v>
      </c>
      <c r="H228" s="172">
        <v>-0.6</v>
      </c>
      <c r="I228" s="172">
        <v>-3.4</v>
      </c>
      <c r="K228" s="172">
        <v>-2.1</v>
      </c>
      <c r="L228" s="172"/>
      <c r="M228" s="172"/>
      <c r="N228" s="172"/>
      <c r="O228" s="172"/>
      <c r="P228" s="172"/>
      <c r="AA228" s="171"/>
    </row>
    <row r="229" spans="3:27" s="230" customFormat="1" ht="11.25" hidden="1">
      <c r="C229" s="995"/>
      <c r="D229" s="173" t="str">
        <f>IF(Indice_index!$Z$1=1,"julho","July")</f>
        <v>julho</v>
      </c>
      <c r="E229" s="172">
        <v>-0.5</v>
      </c>
      <c r="F229" s="172">
        <v>-1.1000000000000001</v>
      </c>
      <c r="G229" s="172">
        <v>0.1</v>
      </c>
      <c r="H229" s="172">
        <v>-0.4</v>
      </c>
      <c r="I229" s="172">
        <v>-1.5</v>
      </c>
      <c r="K229" s="172">
        <v>-2.2000000000000002</v>
      </c>
      <c r="L229" s="172"/>
      <c r="M229" s="172"/>
      <c r="N229" s="172"/>
      <c r="O229" s="172"/>
      <c r="P229" s="172"/>
      <c r="AA229" s="171"/>
    </row>
    <row r="230" spans="3:27" s="230" customFormat="1" ht="11.25" hidden="1">
      <c r="C230" s="995"/>
      <c r="D230" s="173" t="str">
        <f>IF(Indice_index!$Z$1=1,"agosto","August")</f>
        <v>agosto</v>
      </c>
      <c r="E230" s="172">
        <v>-0.4</v>
      </c>
      <c r="F230" s="172">
        <v>-1.2</v>
      </c>
      <c r="G230" s="172">
        <v>0.1</v>
      </c>
      <c r="H230" s="172">
        <v>-0.4</v>
      </c>
      <c r="I230" s="172">
        <v>-3.3</v>
      </c>
      <c r="K230" s="172">
        <v>-2.1</v>
      </c>
      <c r="L230" s="172"/>
      <c r="M230" s="172"/>
      <c r="N230" s="172"/>
      <c r="O230" s="172"/>
      <c r="P230" s="172"/>
      <c r="AA230" s="171"/>
    </row>
    <row r="231" spans="3:27" s="230" customFormat="1" ht="11.25" hidden="1">
      <c r="C231" s="995"/>
      <c r="D231" s="173" t="str">
        <f>IF(Indice_index!$Z$1=1,"setembro","September")</f>
        <v>setembro</v>
      </c>
      <c r="E231" s="172">
        <v>-0.3</v>
      </c>
      <c r="F231" s="172">
        <v>-1.2</v>
      </c>
      <c r="G231" s="172">
        <v>0.1</v>
      </c>
      <c r="H231" s="172">
        <v>-0.3</v>
      </c>
      <c r="I231" s="172">
        <v>-3</v>
      </c>
      <c r="K231" s="172">
        <v>-2.2000000000000002</v>
      </c>
      <c r="L231" s="172"/>
      <c r="M231" s="172"/>
      <c r="N231" s="172"/>
      <c r="O231" s="172"/>
      <c r="P231" s="172"/>
      <c r="AA231" s="171"/>
    </row>
    <row r="232" spans="3:27" s="230" customFormat="1" ht="11.25" hidden="1">
      <c r="C232" s="995"/>
      <c r="D232" s="173" t="str">
        <f>IF(Indice_index!$Z$1=1,"outubro","October")</f>
        <v>outubro</v>
      </c>
      <c r="E232" s="172">
        <v>-0.1</v>
      </c>
      <c r="F232" s="172">
        <v>-1.3</v>
      </c>
      <c r="G232" s="172">
        <v>2.2999999999999998</v>
      </c>
      <c r="H232" s="172">
        <v>0.3</v>
      </c>
      <c r="I232" s="172">
        <v>-3.6</v>
      </c>
      <c r="K232" s="172">
        <v>-2.2000000000000002</v>
      </c>
      <c r="L232" s="172"/>
      <c r="M232" s="172"/>
      <c r="N232" s="172"/>
      <c r="O232" s="172"/>
      <c r="P232" s="172"/>
      <c r="AA232" s="171"/>
    </row>
    <row r="233" spans="3:27" s="230" customFormat="1" ht="11.25" hidden="1">
      <c r="C233" s="996"/>
      <c r="D233" s="173" t="str">
        <f>IF(Indice_index!$Z$1=1,"novembro","November")</f>
        <v>novembro</v>
      </c>
      <c r="E233" s="172">
        <v>0</v>
      </c>
      <c r="F233" s="172">
        <v>-1.2</v>
      </c>
      <c r="G233" s="172">
        <v>2.2999999999999998</v>
      </c>
      <c r="H233" s="172">
        <v>0.5</v>
      </c>
      <c r="I233" s="172">
        <v>41.7</v>
      </c>
      <c r="J233" s="172"/>
      <c r="K233" s="172">
        <v>-2.2000000000000002</v>
      </c>
      <c r="L233" s="172"/>
      <c r="M233" s="172"/>
      <c r="N233" s="172"/>
      <c r="O233" s="172"/>
      <c r="P233" s="172"/>
      <c r="AA233" s="171"/>
    </row>
    <row r="234" spans="3:27" s="230" customFormat="1" ht="11.25" hidden="1">
      <c r="C234" s="996"/>
      <c r="D234" s="173" t="str">
        <f>IF(Indice_index!$Z$1=1,"dezembro","December")</f>
        <v>dezembro</v>
      </c>
      <c r="E234" s="172">
        <v>0.1</v>
      </c>
      <c r="F234" s="172">
        <v>-1.3</v>
      </c>
      <c r="G234" s="172">
        <v>2.4</v>
      </c>
      <c r="H234" s="172">
        <v>0.5</v>
      </c>
      <c r="I234" s="172">
        <v>-2.2999999999999998</v>
      </c>
      <c r="K234" s="172">
        <v>-2.1</v>
      </c>
      <c r="L234" s="172"/>
      <c r="M234" s="172"/>
      <c r="N234" s="172"/>
      <c r="O234" s="172"/>
      <c r="P234" s="172"/>
      <c r="AA234" s="171"/>
    </row>
    <row r="235" spans="3:27" s="230" customFormat="1" ht="15" hidden="1" customHeight="1">
      <c r="C235" s="995">
        <v>2018</v>
      </c>
      <c r="D235" s="172"/>
      <c r="E235" s="172"/>
      <c r="F235" s="172"/>
      <c r="G235" s="172"/>
      <c r="H235" s="172"/>
      <c r="I235" s="172"/>
      <c r="K235" s="172"/>
      <c r="L235" s="172"/>
      <c r="M235" s="172"/>
      <c r="N235" s="172"/>
      <c r="O235" s="172"/>
      <c r="P235" s="172"/>
      <c r="AA235" s="171"/>
    </row>
    <row r="236" spans="3:27" s="172" customFormat="1" ht="15" hidden="1" customHeight="1">
      <c r="C236" s="1041"/>
      <c r="D236" s="173" t="str">
        <f>IF(Indice_index!$Z$1=1,"janeiro","January")</f>
        <v>janeiro</v>
      </c>
      <c r="E236" s="230">
        <v>0</v>
      </c>
      <c r="F236" s="230">
        <v>-1.3</v>
      </c>
      <c r="G236" s="230">
        <v>2.4</v>
      </c>
      <c r="H236" s="230">
        <v>0.5</v>
      </c>
      <c r="I236" s="230">
        <v>-2.4</v>
      </c>
      <c r="J236" s="230"/>
      <c r="K236" s="230">
        <v>-2.1</v>
      </c>
      <c r="M236" s="232"/>
      <c r="N236" s="232"/>
      <c r="O236" s="232"/>
      <c r="P236" s="232"/>
      <c r="Q236" s="232"/>
      <c r="R236" s="232"/>
      <c r="S236" s="232"/>
      <c r="AA236" s="173"/>
    </row>
    <row r="237" spans="3:27" s="172" customFormat="1" ht="15" hidden="1" customHeight="1">
      <c r="C237" s="1041"/>
      <c r="D237" s="173" t="str">
        <f>IF(Indice_index!$Z$1=1,"fevereiro","February")</f>
        <v>fevereiro</v>
      </c>
      <c r="E237" s="230">
        <v>0.1</v>
      </c>
      <c r="F237" s="230">
        <v>-1.3</v>
      </c>
      <c r="G237" s="230">
        <v>2.4</v>
      </c>
      <c r="H237" s="230">
        <v>0.5</v>
      </c>
      <c r="I237" s="230">
        <v>-1.5</v>
      </c>
      <c r="J237" s="230"/>
      <c r="K237" s="230">
        <v>-2.2000000000000002</v>
      </c>
      <c r="M237" s="232"/>
      <c r="N237" s="232"/>
      <c r="O237" s="232"/>
      <c r="P237" s="232"/>
      <c r="Q237" s="232"/>
      <c r="R237" s="232"/>
      <c r="S237" s="232"/>
      <c r="AA237" s="173"/>
    </row>
    <row r="238" spans="3:27" s="230" customFormat="1" ht="15" hidden="1" customHeight="1">
      <c r="C238" s="995"/>
      <c r="D238" s="173" t="str">
        <f>IF(Indice_index!$Z$1=1,"março","March")</f>
        <v>março</v>
      </c>
      <c r="E238" s="230">
        <v>0.2</v>
      </c>
      <c r="F238" s="230">
        <v>-1.3</v>
      </c>
      <c r="G238" s="230">
        <v>2.2000000000000002</v>
      </c>
      <c r="H238" s="230">
        <v>0.5</v>
      </c>
      <c r="I238" s="230">
        <v>-3.5</v>
      </c>
      <c r="K238" s="230">
        <v>-2.2000000000000002</v>
      </c>
      <c r="L238" s="172"/>
      <c r="M238" s="232"/>
      <c r="N238" s="232"/>
      <c r="O238" s="232"/>
      <c r="P238" s="232"/>
      <c r="Q238" s="232"/>
      <c r="R238" s="232"/>
      <c r="S238" s="232"/>
      <c r="AA238" s="171"/>
    </row>
    <row r="239" spans="3:27" s="230" customFormat="1" ht="15" hidden="1" customHeight="1">
      <c r="C239" s="995"/>
      <c r="D239" s="173" t="str">
        <f>IF(Indice_index!$Z$1=1,"abril","April")</f>
        <v>abril</v>
      </c>
      <c r="E239" s="230">
        <v>0.2</v>
      </c>
      <c r="F239" s="230">
        <v>-1.4</v>
      </c>
      <c r="G239" s="230">
        <v>2</v>
      </c>
      <c r="H239" s="230">
        <v>0.4</v>
      </c>
      <c r="I239" s="230">
        <v>-2.2999999999999998</v>
      </c>
      <c r="K239" s="230">
        <v>-2.2000000000000002</v>
      </c>
      <c r="L239" s="172"/>
      <c r="M239" s="232"/>
      <c r="N239" s="232"/>
      <c r="O239" s="232"/>
      <c r="P239" s="232"/>
      <c r="Q239" s="232"/>
      <c r="R239" s="232"/>
      <c r="S239" s="232"/>
      <c r="AA239" s="171"/>
    </row>
    <row r="240" spans="3:27" s="230" customFormat="1" ht="15" hidden="1" customHeight="1">
      <c r="C240" s="995"/>
      <c r="D240" s="173" t="str">
        <f>IF(Indice_index!$Z$1=1,"maio","May")</f>
        <v>maio</v>
      </c>
      <c r="E240" s="230">
        <v>0.2</v>
      </c>
      <c r="F240" s="230">
        <v>-1.4</v>
      </c>
      <c r="G240" s="230">
        <v>1.9</v>
      </c>
      <c r="H240" s="230">
        <v>0.4</v>
      </c>
      <c r="I240" s="230">
        <v>-2.4</v>
      </c>
      <c r="K240" s="230">
        <v>-2.2999999999999998</v>
      </c>
      <c r="L240" s="172"/>
      <c r="M240" s="232"/>
      <c r="N240" s="232"/>
      <c r="O240" s="232"/>
      <c r="P240" s="232"/>
      <c r="Q240" s="232"/>
      <c r="R240" s="232"/>
      <c r="S240" s="232"/>
      <c r="AA240" s="171"/>
    </row>
    <row r="241" spans="3:27" s="230" customFormat="1" ht="15" hidden="1" customHeight="1">
      <c r="C241" s="995"/>
      <c r="D241" s="173" t="str">
        <f>IF(Indice_index!$Z$1=1,"junho","June")</f>
        <v>junho</v>
      </c>
      <c r="E241" s="230">
        <v>0.1</v>
      </c>
      <c r="F241" s="230">
        <v>-1.5</v>
      </c>
      <c r="G241" s="230">
        <v>1.7</v>
      </c>
      <c r="H241" s="230">
        <v>0.3</v>
      </c>
      <c r="I241" s="230">
        <v>-2.2000000000000002</v>
      </c>
      <c r="K241" s="230">
        <v>-2.2999999999999998</v>
      </c>
      <c r="L241" s="172"/>
      <c r="M241" s="232"/>
      <c r="N241" s="232"/>
      <c r="O241" s="232"/>
      <c r="P241" s="232"/>
      <c r="Q241" s="232"/>
      <c r="R241" s="232"/>
      <c r="S241" s="232"/>
      <c r="AA241" s="171"/>
    </row>
    <row r="242" spans="3:27" s="230" customFormat="1" ht="15" hidden="1" customHeight="1">
      <c r="C242" s="995"/>
      <c r="D242" s="173" t="str">
        <f>IF(Indice_index!$Z$1=1,"julho","July")</f>
        <v>julho</v>
      </c>
      <c r="E242" s="230">
        <v>-0.1</v>
      </c>
      <c r="F242" s="230">
        <v>-1.5</v>
      </c>
      <c r="G242" s="230">
        <v>1.8</v>
      </c>
      <c r="H242" s="230">
        <v>0.2</v>
      </c>
      <c r="I242" s="230">
        <v>-0.5</v>
      </c>
      <c r="K242" s="230">
        <v>-2.2000000000000002</v>
      </c>
      <c r="L242" s="172"/>
      <c r="M242" s="232"/>
      <c r="N242" s="232"/>
      <c r="O242" s="232"/>
      <c r="P242" s="232"/>
      <c r="Q242" s="232"/>
      <c r="R242" s="232"/>
      <c r="S242" s="232"/>
      <c r="AA242" s="171"/>
    </row>
    <row r="243" spans="3:27" s="230" customFormat="1" ht="15" hidden="1" customHeight="1">
      <c r="C243" s="995"/>
      <c r="D243" s="173" t="str">
        <f>IF(Indice_index!$Z$1=1,"agosto","August")</f>
        <v>agosto</v>
      </c>
      <c r="E243" s="172">
        <v>-0.2</v>
      </c>
      <c r="F243" s="172">
        <v>-1.5</v>
      </c>
      <c r="G243" s="172">
        <v>1.7</v>
      </c>
      <c r="H243" s="172">
        <v>0.1</v>
      </c>
      <c r="I243" s="172">
        <v>-3</v>
      </c>
      <c r="K243" s="172">
        <v>-2.2999999999999998</v>
      </c>
      <c r="L243" s="172"/>
      <c r="M243" s="232"/>
      <c r="N243" s="232"/>
      <c r="O243" s="232"/>
      <c r="P243" s="232"/>
      <c r="Q243" s="232"/>
      <c r="R243" s="232"/>
      <c r="S243" s="232"/>
      <c r="AA243" s="171"/>
    </row>
    <row r="244" spans="3:27" s="230" customFormat="1" ht="15" hidden="1" customHeight="1">
      <c r="C244" s="995"/>
      <c r="D244" s="173" t="str">
        <f>IF(Indice_index!$Z$1=1,"setembro","September")</f>
        <v>setembro</v>
      </c>
      <c r="E244" s="172">
        <v>-0.2</v>
      </c>
      <c r="F244" s="172">
        <v>-1.6</v>
      </c>
      <c r="G244" s="172">
        <v>1.7</v>
      </c>
      <c r="H244" s="172">
        <v>0.1</v>
      </c>
      <c r="I244" s="172">
        <v>-2.5</v>
      </c>
      <c r="K244" s="172">
        <v>-2.2000000000000002</v>
      </c>
      <c r="L244" s="172"/>
      <c r="M244" s="232"/>
      <c r="N244" s="232"/>
      <c r="O244" s="232"/>
      <c r="P244" s="232"/>
      <c r="Q244" s="232"/>
      <c r="R244" s="232"/>
      <c r="S244" s="232"/>
      <c r="AA244" s="171"/>
    </row>
    <row r="245" spans="3:27" s="230" customFormat="1" ht="15" hidden="1" customHeight="1">
      <c r="C245" s="995"/>
      <c r="D245" s="173" t="str">
        <f>IF(Indice_index!$Z$1=1,"outubro","October")</f>
        <v>outubro</v>
      </c>
      <c r="E245" s="172">
        <v>-0.3</v>
      </c>
      <c r="F245" s="172">
        <v>-1.6</v>
      </c>
      <c r="G245" s="172">
        <v>-0.6</v>
      </c>
      <c r="H245" s="172">
        <v>-0.5</v>
      </c>
      <c r="I245" s="172">
        <v>-1.8</v>
      </c>
      <c r="K245" s="172">
        <v>-2.2999999999999998</v>
      </c>
      <c r="L245" s="172"/>
      <c r="M245" s="232"/>
      <c r="N245" s="232"/>
      <c r="O245" s="232"/>
      <c r="P245" s="232"/>
      <c r="Q245" s="232"/>
      <c r="R245" s="232"/>
      <c r="S245" s="232"/>
      <c r="AA245" s="171"/>
    </row>
    <row r="246" spans="3:27" s="230" customFormat="1" ht="15" hidden="1" customHeight="1">
      <c r="C246" s="996"/>
      <c r="D246" s="173" t="str">
        <f>IF(Indice_index!$Z$1=1,"novembro","November")</f>
        <v>novembro</v>
      </c>
      <c r="E246" s="222">
        <v>-0.5</v>
      </c>
      <c r="F246" s="222">
        <v>-1.6</v>
      </c>
      <c r="G246" s="222">
        <v>-0.4</v>
      </c>
      <c r="H246" s="222">
        <v>-0.6</v>
      </c>
      <c r="I246" s="222">
        <v>31.9</v>
      </c>
      <c r="J246" s="172"/>
      <c r="K246" s="222">
        <v>-2.2999999999999998</v>
      </c>
      <c r="L246" s="172"/>
      <c r="M246" s="232"/>
      <c r="N246" s="232"/>
      <c r="O246" s="232"/>
      <c r="P246" s="232"/>
      <c r="Q246" s="232"/>
      <c r="R246" s="232"/>
      <c r="S246" s="232"/>
      <c r="AA246" s="171"/>
    </row>
    <row r="247" spans="3:27" s="230" customFormat="1" ht="15" hidden="1" customHeight="1">
      <c r="C247" s="996"/>
      <c r="D247" s="173" t="str">
        <f>IF(Indice_index!$Z$1=1,"dezembro","December")</f>
        <v>dezembro</v>
      </c>
      <c r="E247" s="172">
        <v>-0.4</v>
      </c>
      <c r="F247" s="172">
        <v>-1.5</v>
      </c>
      <c r="G247" s="172">
        <v>-0.4</v>
      </c>
      <c r="H247" s="172">
        <v>-0.5</v>
      </c>
      <c r="I247" s="172">
        <v>-1.1000000000000001</v>
      </c>
      <c r="K247" s="172">
        <v>-2.2999999999999998</v>
      </c>
      <c r="L247" s="172"/>
      <c r="M247" s="232"/>
      <c r="N247" s="232"/>
      <c r="O247" s="232"/>
      <c r="P247" s="232"/>
      <c r="Q247" s="232"/>
      <c r="R247" s="232"/>
      <c r="S247" s="232"/>
      <c r="AA247" s="171"/>
    </row>
    <row r="248" spans="3:27" s="230" customFormat="1" ht="15" customHeight="1">
      <c r="C248" s="995">
        <v>2019</v>
      </c>
      <c r="D248" s="172"/>
      <c r="E248" s="172"/>
      <c r="F248" s="172"/>
      <c r="G248" s="172"/>
      <c r="H248" s="172"/>
      <c r="I248" s="172"/>
      <c r="K248" s="172"/>
      <c r="L248" s="172"/>
      <c r="M248" s="232"/>
      <c r="N248" s="232"/>
      <c r="O248" s="232"/>
      <c r="P248" s="232"/>
      <c r="Q248" s="232"/>
      <c r="R248" s="232"/>
      <c r="S248" s="232"/>
      <c r="AA248" s="171"/>
    </row>
    <row r="249" spans="3:27" s="172" customFormat="1" ht="15" customHeight="1">
      <c r="C249" s="1041"/>
      <c r="D249" s="173" t="str">
        <f>IF(Indice_index!$Z$1=1,"janeiro","January")</f>
        <v>janeiro</v>
      </c>
      <c r="E249" s="1042">
        <v>-0.4</v>
      </c>
      <c r="F249" s="1042">
        <v>-1.4</v>
      </c>
      <c r="G249" s="1042">
        <v>-0.3</v>
      </c>
      <c r="H249" s="1042">
        <v>-0.5</v>
      </c>
      <c r="I249" s="1042">
        <v>2.6</v>
      </c>
      <c r="J249" s="1042"/>
      <c r="K249" s="1042">
        <v>-2.2000000000000002</v>
      </c>
      <c r="M249" s="232"/>
      <c r="N249" s="232"/>
      <c r="O249" s="232"/>
      <c r="P249" s="232"/>
      <c r="Q249" s="232"/>
      <c r="R249" s="232"/>
      <c r="S249" s="232"/>
      <c r="AA249" s="173"/>
    </row>
    <row r="250" spans="3:27" s="172" customFormat="1" ht="15" customHeight="1">
      <c r="C250" s="1041"/>
      <c r="D250" s="173" t="str">
        <f>IF(Indice_index!$Z$1=1,"fevereiro","February")</f>
        <v>fevereiro</v>
      </c>
      <c r="E250" s="1042">
        <v>-0.4</v>
      </c>
      <c r="F250" s="1042">
        <v>-1.3</v>
      </c>
      <c r="G250" s="1042">
        <v>-0.2</v>
      </c>
      <c r="H250" s="1042">
        <v>-0.4</v>
      </c>
      <c r="I250" s="1042">
        <v>1.6</v>
      </c>
      <c r="J250" s="1042"/>
      <c r="K250" s="1042">
        <v>-2.2999999999999998</v>
      </c>
      <c r="M250" s="232"/>
      <c r="N250" s="232"/>
      <c r="O250" s="232"/>
      <c r="P250" s="232"/>
      <c r="Q250" s="232"/>
      <c r="R250" s="232"/>
      <c r="S250" s="232"/>
      <c r="AA250" s="173"/>
    </row>
    <row r="251" spans="3:27" s="230" customFormat="1" ht="15" customHeight="1">
      <c r="C251" s="995"/>
      <c r="D251" s="173" t="str">
        <f>IF(Indice_index!$Z$1=1,"março","March")</f>
        <v>março</v>
      </c>
      <c r="E251" s="1042">
        <v>-0.5</v>
      </c>
      <c r="F251" s="1042">
        <v>-1.2</v>
      </c>
      <c r="G251" s="1042">
        <v>0</v>
      </c>
      <c r="H251" s="1042">
        <v>-0.4</v>
      </c>
      <c r="I251" s="1042">
        <v>1.7</v>
      </c>
      <c r="J251" s="1042"/>
      <c r="K251" s="1042">
        <v>-2.4</v>
      </c>
      <c r="L251" s="172"/>
      <c r="M251" s="232"/>
      <c r="N251" s="232"/>
      <c r="O251" s="232"/>
      <c r="P251" s="232"/>
      <c r="Q251" s="232"/>
      <c r="R251" s="232"/>
      <c r="S251" s="232"/>
      <c r="AA251" s="171"/>
    </row>
    <row r="252" spans="3:27" s="230" customFormat="1" ht="15" customHeight="1">
      <c r="C252" s="995"/>
      <c r="D252" s="173" t="str">
        <f>IF(Indice_index!$Z$1=1,"abril","April")</f>
        <v>abril</v>
      </c>
      <c r="E252" s="1042">
        <v>-0.3</v>
      </c>
      <c r="F252" s="1042">
        <v>-0.9</v>
      </c>
      <c r="G252" s="1042">
        <v>0.1</v>
      </c>
      <c r="H252" s="1042">
        <v>-0.3</v>
      </c>
      <c r="I252" s="1042">
        <v>1.4</v>
      </c>
      <c r="J252" s="1042"/>
      <c r="K252" s="1042">
        <v>-2.4</v>
      </c>
      <c r="L252" s="172"/>
      <c r="M252" s="232"/>
      <c r="N252" s="232"/>
      <c r="O252" s="232"/>
      <c r="P252" s="232"/>
      <c r="Q252" s="232"/>
      <c r="R252" s="232"/>
      <c r="S252" s="232"/>
      <c r="AA252" s="171"/>
    </row>
    <row r="253" spans="3:27" s="230" customFormat="1" ht="15" customHeight="1">
      <c r="C253" s="995"/>
      <c r="D253" s="173" t="str">
        <f>IF(Indice_index!$Z$1=1,"maio","May")</f>
        <v>maio</v>
      </c>
      <c r="E253" s="1042">
        <v>-0.3</v>
      </c>
      <c r="F253" s="1042">
        <v>-0.8</v>
      </c>
      <c r="G253" s="1042">
        <v>0.2</v>
      </c>
      <c r="H253" s="1042">
        <v>-0.2</v>
      </c>
      <c r="I253" s="1042">
        <v>1.5</v>
      </c>
      <c r="J253" s="1042"/>
      <c r="K253" s="1042">
        <v>-2.4</v>
      </c>
      <c r="L253" s="172"/>
      <c r="M253" s="232"/>
      <c r="N253" s="232"/>
      <c r="O253" s="232"/>
      <c r="P253" s="232"/>
      <c r="Q253" s="232"/>
      <c r="R253" s="232"/>
      <c r="S253" s="232"/>
      <c r="AA253" s="171"/>
    </row>
    <row r="254" spans="3:27" s="230" customFormat="1" ht="15" customHeight="1">
      <c r="C254" s="995"/>
      <c r="D254" s="173" t="str">
        <f>IF(Indice_index!$Z$1=1,"junho","June")</f>
        <v>junho</v>
      </c>
      <c r="E254" s="1042">
        <v>-0.2</v>
      </c>
      <c r="F254" s="1042">
        <v>-0.7</v>
      </c>
      <c r="G254" s="1042">
        <v>0.5</v>
      </c>
      <c r="H254" s="1042">
        <v>-0.1</v>
      </c>
      <c r="I254" s="1042">
        <v>1.5</v>
      </c>
      <c r="J254" s="1042"/>
      <c r="K254" s="1042">
        <v>-2.5</v>
      </c>
      <c r="L254" s="172"/>
      <c r="M254" s="232"/>
      <c r="N254" s="232"/>
      <c r="O254" s="232"/>
      <c r="P254" s="232"/>
      <c r="Q254" s="232"/>
      <c r="R254" s="232"/>
      <c r="S254" s="232"/>
      <c r="AA254" s="171"/>
    </row>
    <row r="255" spans="3:27" s="230" customFormat="1" ht="15" customHeight="1">
      <c r="C255" s="995"/>
      <c r="D255" s="173" t="str">
        <f>IF(Indice_index!$Z$1=1,"julho","July")</f>
        <v>julho</v>
      </c>
      <c r="E255" s="1042">
        <v>-0.1</v>
      </c>
      <c r="F255" s="1042">
        <v>-0.6</v>
      </c>
      <c r="G255" s="1042">
        <v>0.5</v>
      </c>
      <c r="H255" s="1042">
        <v>0</v>
      </c>
      <c r="I255" s="1042">
        <v>1.4</v>
      </c>
      <c r="J255" s="1042"/>
      <c r="K255" s="1042">
        <v>-2.5</v>
      </c>
      <c r="L255" s="172"/>
      <c r="M255" s="232"/>
      <c r="N255" s="232"/>
      <c r="O255" s="232"/>
      <c r="P255" s="232"/>
      <c r="Q255" s="232"/>
      <c r="R255" s="232"/>
      <c r="S255" s="232"/>
      <c r="AA255" s="171"/>
    </row>
    <row r="256" spans="3:27" s="230" customFormat="1" ht="15" customHeight="1">
      <c r="C256" s="995"/>
      <c r="D256" s="173" t="str">
        <f>IF(Indice_index!$Z$1=1,"agosto","August")</f>
        <v>agosto</v>
      </c>
      <c r="E256" s="1042">
        <v>-0.1</v>
      </c>
      <c r="F256" s="1042">
        <v>-0.6</v>
      </c>
      <c r="G256" s="1042">
        <v>0.7</v>
      </c>
      <c r="H256" s="1042">
        <v>0</v>
      </c>
      <c r="I256" s="1042">
        <v>3.2</v>
      </c>
      <c r="J256" s="1042"/>
      <c r="K256" s="1042">
        <v>-2.5</v>
      </c>
      <c r="L256" s="172"/>
      <c r="M256" s="172"/>
      <c r="N256" s="172"/>
      <c r="O256" s="172"/>
      <c r="P256" s="172"/>
      <c r="AA256" s="171"/>
    </row>
    <row r="257" spans="3:27" s="230" customFormat="1" ht="15" customHeight="1">
      <c r="C257" s="995"/>
      <c r="D257" s="173" t="str">
        <f>IF(Indice_index!$Z$1=1,"setembro","September")</f>
        <v>setembro</v>
      </c>
      <c r="E257" s="1042">
        <v>-0.1</v>
      </c>
      <c r="F257" s="1042">
        <v>-0.5</v>
      </c>
      <c r="G257" s="1042">
        <v>0.9</v>
      </c>
      <c r="H257" s="1042">
        <v>0.1</v>
      </c>
      <c r="I257" s="1042">
        <v>1.4</v>
      </c>
      <c r="J257" s="1042"/>
      <c r="K257" s="1042">
        <v>-2.5</v>
      </c>
      <c r="L257" s="172"/>
      <c r="M257" s="172"/>
      <c r="N257" s="172"/>
      <c r="O257" s="172"/>
      <c r="P257" s="172"/>
      <c r="AA257" s="171"/>
    </row>
    <row r="258" spans="3:27" s="230" customFormat="1" ht="15" customHeight="1">
      <c r="C258" s="995"/>
      <c r="D258" s="173" t="str">
        <f>IF(Indice_index!$Z$1=1,"outubro","October")</f>
        <v>outubro</v>
      </c>
      <c r="E258" s="1043">
        <v>0</v>
      </c>
      <c r="F258" s="1043">
        <v>-0.5</v>
      </c>
      <c r="G258" s="1043">
        <v>1</v>
      </c>
      <c r="H258" s="1043">
        <v>0.2</v>
      </c>
      <c r="I258" s="1043">
        <v>0.3</v>
      </c>
      <c r="J258" s="1043"/>
      <c r="K258" s="1043">
        <v>-2.6</v>
      </c>
      <c r="L258" s="172"/>
      <c r="M258" s="172"/>
      <c r="N258" s="172"/>
      <c r="O258" s="172"/>
      <c r="P258" s="172"/>
      <c r="AA258" s="171"/>
    </row>
    <row r="259" spans="3:27" s="230" customFormat="1" ht="15" customHeight="1">
      <c r="C259" s="996"/>
      <c r="D259" s="173" t="str">
        <f>IF(Indice_index!$Z$1=1,"novembro","November")</f>
        <v>novembro</v>
      </c>
      <c r="E259" s="1044">
        <v>0.28741768342819835</v>
      </c>
      <c r="F259" s="1044">
        <v>-0.478849644003909</v>
      </c>
      <c r="G259" s="1044">
        <v>1.0870232381139442</v>
      </c>
      <c r="H259" s="1044">
        <v>0.40484568665660392</v>
      </c>
      <c r="I259" s="1044">
        <v>2.2368481612740077</v>
      </c>
      <c r="J259" s="1044"/>
      <c r="K259" s="1044">
        <v>-2.7141471799914054</v>
      </c>
      <c r="L259" s="172"/>
      <c r="M259" s="172"/>
      <c r="N259" s="172"/>
      <c r="O259" s="172"/>
      <c r="P259" s="172"/>
      <c r="AA259" s="171"/>
    </row>
    <row r="260" spans="3:27" s="230" customFormat="1" ht="15" customHeight="1">
      <c r="C260" s="996"/>
      <c r="D260" s="173" t="str">
        <f>IF(Indice_index!$Z$1=1,"dezembro","December")</f>
        <v>dezembro</v>
      </c>
      <c r="E260" s="172">
        <v>0.56764079356821018</v>
      </c>
      <c r="F260" s="172">
        <v>-0.60148487216702029</v>
      </c>
      <c r="G260" s="172">
        <v>0.82491665032359296</v>
      </c>
      <c r="H260" s="172">
        <v>0.50256889304063523</v>
      </c>
      <c r="I260" s="172">
        <v>0.89301661010894806</v>
      </c>
      <c r="K260" s="172">
        <v>-2.7948630075215095</v>
      </c>
      <c r="L260" s="172"/>
      <c r="M260" s="172"/>
      <c r="N260" s="172"/>
      <c r="O260" s="172"/>
      <c r="P260" s="172"/>
      <c r="AA260" s="171"/>
    </row>
    <row r="261" spans="3:27" s="230" customFormat="1" ht="15" customHeight="1">
      <c r="C261" s="995">
        <v>2020</v>
      </c>
      <c r="D261" s="172"/>
      <c r="E261" s="172"/>
      <c r="F261" s="172"/>
      <c r="G261" s="172"/>
      <c r="H261" s="172"/>
      <c r="I261" s="172"/>
      <c r="K261" s="172"/>
      <c r="L261" s="172"/>
      <c r="M261" s="232"/>
      <c r="N261" s="232"/>
      <c r="O261" s="232"/>
      <c r="P261" s="232"/>
      <c r="Q261" s="232"/>
      <c r="R261" s="232"/>
      <c r="S261" s="232"/>
      <c r="AA261" s="171"/>
    </row>
    <row r="262" spans="3:27" s="172" customFormat="1" ht="15" customHeight="1">
      <c r="C262" s="1041"/>
      <c r="D262" s="173" t="str">
        <f>IF(Indice_index!$Z$1=1,"janeiro","January")</f>
        <v>janeiro</v>
      </c>
      <c r="E262" s="1042">
        <v>0.64890282901017782</v>
      </c>
      <c r="F262" s="1042">
        <v>-0.79712977440250177</v>
      </c>
      <c r="G262" s="1042">
        <v>1.2976038113667399</v>
      </c>
      <c r="H262" s="1042">
        <v>0.65256308473045976</v>
      </c>
      <c r="I262" s="1042">
        <v>0.13975019652370591</v>
      </c>
      <c r="J262" s="1042"/>
      <c r="K262" s="1042">
        <v>-2.830792038708132</v>
      </c>
      <c r="M262" s="232"/>
      <c r="N262" s="232"/>
      <c r="O262" s="232"/>
      <c r="P262" s="232"/>
      <c r="Q262" s="232"/>
      <c r="R262" s="232"/>
      <c r="S262" s="232"/>
      <c r="T262" s="232"/>
      <c r="U262" s="232"/>
      <c r="V262" s="232"/>
      <c r="W262" s="232"/>
      <c r="X262" s="232"/>
      <c r="Y262" s="232"/>
      <c r="AA262" s="173"/>
    </row>
    <row r="263" spans="3:27" s="172" customFormat="1" ht="15" customHeight="1">
      <c r="C263" s="1041"/>
      <c r="D263" s="173" t="str">
        <f>IF(Indice_index!$Z$1=1,"fevereiro","February")</f>
        <v>fevereiro</v>
      </c>
      <c r="E263" s="1042">
        <v>0.71713812768005814</v>
      </c>
      <c r="F263" s="1042">
        <v>-0.90320596171860801</v>
      </c>
      <c r="G263" s="1042">
        <v>1.0851679441144626</v>
      </c>
      <c r="H263" s="1042">
        <v>0.63035875012068388</v>
      </c>
      <c r="I263" s="1042">
        <v>0.47317203821089027</v>
      </c>
      <c r="J263" s="1042"/>
      <c r="K263" s="1042">
        <v>-2.9193642253336143</v>
      </c>
      <c r="M263" s="232"/>
      <c r="N263" s="232"/>
      <c r="O263" s="232"/>
      <c r="P263" s="232"/>
      <c r="Q263" s="232"/>
      <c r="R263" s="232"/>
      <c r="S263" s="232"/>
      <c r="T263" s="232"/>
      <c r="U263" s="232"/>
      <c r="V263" s="232"/>
      <c r="W263" s="232"/>
      <c r="X263" s="232"/>
      <c r="Y263" s="232"/>
      <c r="AA263" s="173"/>
    </row>
    <row r="264" spans="3:27" s="230" customFormat="1" ht="15" customHeight="1">
      <c r="C264" s="995"/>
      <c r="D264" s="173" t="str">
        <f>IF(Indice_index!$Z$1=1,"março","March")</f>
        <v>março</v>
      </c>
      <c r="E264" s="1042">
        <v>0.89035299211746077</v>
      </c>
      <c r="F264" s="1042">
        <v>-0.82113980359790717</v>
      </c>
      <c r="G264" s="1042">
        <v>1.0608878664774117</v>
      </c>
      <c r="H264" s="1042">
        <v>0.74305973476852272</v>
      </c>
      <c r="I264" s="1042">
        <v>1.1182252682838725</v>
      </c>
      <c r="J264" s="1042"/>
      <c r="K264" s="1042">
        <v>-2.9439334000603719</v>
      </c>
      <c r="L264" s="172"/>
      <c r="M264" s="232"/>
      <c r="N264" s="232"/>
      <c r="O264" s="232"/>
      <c r="P264" s="232"/>
      <c r="Q264" s="232"/>
      <c r="R264" s="232"/>
      <c r="S264" s="232"/>
      <c r="T264" s="232"/>
      <c r="U264" s="232"/>
      <c r="V264" s="232"/>
      <c r="W264" s="232"/>
      <c r="X264" s="232"/>
      <c r="Y264" s="232"/>
      <c r="AA264" s="171"/>
    </row>
    <row r="265" spans="3:27" s="230" customFormat="1" ht="15" customHeight="1">
      <c r="C265" s="995"/>
      <c r="D265" s="173" t="str">
        <f>IF(Indice_index!$Z$1=1,"abril","April")</f>
        <v>abril</v>
      </c>
      <c r="E265" s="1042">
        <v>0.93985054875859053</v>
      </c>
      <c r="F265" s="1042">
        <v>-1.0999762393950829</v>
      </c>
      <c r="G265" s="1042">
        <v>1.1725754432347415</v>
      </c>
      <c r="H265" s="1042">
        <v>0.77162658884929436</v>
      </c>
      <c r="I265" s="1042">
        <v>0.49291987811435745</v>
      </c>
      <c r="J265" s="1042"/>
      <c r="K265" s="1042">
        <v>-2.9996565973114526</v>
      </c>
      <c r="L265" s="172"/>
      <c r="M265" s="232"/>
      <c r="N265" s="232"/>
      <c r="O265" s="232"/>
      <c r="P265" s="232"/>
      <c r="Q265" s="232"/>
      <c r="R265" s="232"/>
      <c r="S265" s="232"/>
      <c r="T265" s="232"/>
      <c r="U265" s="232"/>
      <c r="V265" s="232"/>
      <c r="W265" s="232"/>
      <c r="X265" s="232"/>
      <c r="Y265" s="232"/>
      <c r="AA265" s="171"/>
    </row>
    <row r="266" spans="3:27" s="230" customFormat="1" ht="15" customHeight="1">
      <c r="C266" s="995"/>
      <c r="D266" s="173" t="str">
        <f>IF(Indice_index!$Z$1=1,"maio","May")</f>
        <v>maio</v>
      </c>
      <c r="E266" s="1045">
        <v>0.9733508339846918</v>
      </c>
      <c r="F266" s="1045">
        <v>-1.362759623179493</v>
      </c>
      <c r="G266" s="1045">
        <v>1.1885662498622218</v>
      </c>
      <c r="H266" s="1045">
        <v>0.76765561155317019</v>
      </c>
      <c r="I266" s="1045">
        <v>0.65629776139530294</v>
      </c>
      <c r="J266" s="1045"/>
      <c r="K266" s="1045">
        <v>-3.0613454149327475</v>
      </c>
      <c r="L266" s="172"/>
      <c r="M266" s="232"/>
      <c r="N266" s="232"/>
      <c r="O266" s="232"/>
      <c r="P266" s="232"/>
      <c r="Q266" s="232"/>
      <c r="R266" s="232"/>
      <c r="S266" s="232"/>
      <c r="T266" s="232"/>
      <c r="U266" s="232"/>
      <c r="V266" s="232"/>
      <c r="W266" s="232"/>
      <c r="X266" s="232"/>
      <c r="Y266" s="232"/>
      <c r="AA266" s="171"/>
    </row>
    <row r="267" spans="3:27" s="230" customFormat="1" ht="15" customHeight="1">
      <c r="C267" s="995"/>
      <c r="D267" s="173" t="str">
        <f>IF(Indice_index!$Z$1=1,"junho","June")</f>
        <v>junho</v>
      </c>
      <c r="E267" s="1042">
        <v>1.1000000000000001</v>
      </c>
      <c r="F267" s="1042">
        <v>-1.6</v>
      </c>
      <c r="G267" s="1042">
        <v>1</v>
      </c>
      <c r="H267" s="1042">
        <v>0.8</v>
      </c>
      <c r="I267" s="1042">
        <v>0.6</v>
      </c>
      <c r="J267" s="1042"/>
      <c r="K267" s="1042">
        <v>-3.1</v>
      </c>
      <c r="L267" s="172"/>
      <c r="M267" s="232"/>
      <c r="N267" s="232"/>
      <c r="O267" s="232"/>
      <c r="P267" s="232"/>
      <c r="Q267" s="232"/>
      <c r="R267" s="232"/>
      <c r="S267" s="232"/>
      <c r="T267" s="232"/>
      <c r="U267" s="232"/>
      <c r="V267" s="232"/>
      <c r="W267" s="232"/>
      <c r="X267" s="232"/>
      <c r="Y267" s="232"/>
      <c r="AA267" s="171"/>
    </row>
    <row r="268" spans="3:27" s="230" customFormat="1" ht="15" customHeight="1">
      <c r="C268" s="995"/>
      <c r="D268" s="173" t="str">
        <f>IF(Indice_index!$Z$1=1,"julho","July")</f>
        <v>julho</v>
      </c>
      <c r="E268" s="1042">
        <v>1.2</v>
      </c>
      <c r="F268" s="1042">
        <v>-1.8</v>
      </c>
      <c r="G268" s="1042">
        <v>1.1000000000000001</v>
      </c>
      <c r="H268" s="1042">
        <v>0.8</v>
      </c>
      <c r="I268" s="1042">
        <v>0.5</v>
      </c>
      <c r="J268" s="1042"/>
      <c r="K268" s="1042">
        <v>-3.2</v>
      </c>
      <c r="L268" s="172"/>
      <c r="M268" s="232"/>
      <c r="N268" s="232"/>
      <c r="O268" s="232"/>
      <c r="P268" s="232"/>
      <c r="Q268" s="232"/>
      <c r="R268" s="232"/>
      <c r="S268" s="232"/>
      <c r="AA268" s="171"/>
    </row>
    <row r="269" spans="3:27" s="230" customFormat="1" ht="15" customHeight="1">
      <c r="C269" s="995"/>
      <c r="D269" s="173" t="str">
        <f>IF(Indice_index!$Z$1=1,"agosto","August")</f>
        <v>agosto</v>
      </c>
      <c r="E269" s="1042">
        <v>1.2534073328258146</v>
      </c>
      <c r="F269" s="1042">
        <v>-1.9747522812517495</v>
      </c>
      <c r="G269" s="1042">
        <v>1.1217665384357454</v>
      </c>
      <c r="H269" s="1042">
        <v>0.86091406574564067</v>
      </c>
      <c r="I269" s="1042">
        <v>-0.76794068320240483</v>
      </c>
      <c r="J269" s="1042"/>
      <c r="K269" s="1042">
        <v>-3.2695709634565215</v>
      </c>
      <c r="L269" s="172"/>
      <c r="M269" s="172"/>
      <c r="N269" s="172"/>
      <c r="O269" s="172"/>
      <c r="P269" s="172"/>
      <c r="AA269" s="171"/>
    </row>
    <row r="270" spans="3:27" s="230" customFormat="1" ht="15" customHeight="1">
      <c r="C270" s="995"/>
      <c r="D270" s="173" t="str">
        <f>IF(Indice_index!$Z$1=1,"setembro","September")</f>
        <v>setembro</v>
      </c>
      <c r="E270" s="1042">
        <v>1.2688330907743317</v>
      </c>
      <c r="F270" s="1042">
        <v>-2.3009097270818755</v>
      </c>
      <c r="G270" s="1042">
        <v>0.96997521783341767</v>
      </c>
      <c r="H270" s="1042">
        <v>0.79593620071461668</v>
      </c>
      <c r="I270" s="1042">
        <v>1.0147270114942692</v>
      </c>
      <c r="J270" s="1042"/>
      <c r="K270" s="1042">
        <v>-3.4066937656284866</v>
      </c>
      <c r="L270" s="172"/>
      <c r="M270" s="172"/>
      <c r="N270" s="172"/>
      <c r="O270" s="172"/>
      <c r="P270" s="172"/>
      <c r="AA270" s="171"/>
    </row>
    <row r="271" spans="3:27" s="230" customFormat="1" ht="15" customHeight="1">
      <c r="C271" s="995"/>
      <c r="D271" s="173" t="str">
        <f>IF(Indice_index!$Z$1=1,"outubro","October")</f>
        <v>outubro</v>
      </c>
      <c r="E271" s="1046">
        <v>1.4</v>
      </c>
      <c r="F271" s="1046">
        <v>-2.4</v>
      </c>
      <c r="G271" s="1046">
        <v>0.9</v>
      </c>
      <c r="H271" s="1046">
        <v>0.8</v>
      </c>
      <c r="I271" s="1046">
        <v>0.7</v>
      </c>
      <c r="J271" s="1046"/>
      <c r="K271" s="1046">
        <v>-3.4</v>
      </c>
      <c r="L271" s="172"/>
      <c r="M271" s="172"/>
      <c r="N271" s="172"/>
      <c r="O271" s="172"/>
      <c r="P271" s="172"/>
      <c r="AA271" s="171"/>
    </row>
    <row r="272" spans="3:27" s="230" customFormat="1" ht="15" customHeight="1">
      <c r="C272" s="996"/>
      <c r="D272" s="173" t="str">
        <f>IF(Indice_index!$Z$1=1,"novembro","November")</f>
        <v>novembro</v>
      </c>
      <c r="E272" s="1047">
        <v>1.1000000000000001</v>
      </c>
      <c r="F272" s="1047">
        <v>-2.5</v>
      </c>
      <c r="G272" s="1047">
        <v>0.8</v>
      </c>
      <c r="H272" s="1047">
        <v>0.6</v>
      </c>
      <c r="I272" s="1047">
        <v>0</v>
      </c>
      <c r="J272" s="1047"/>
      <c r="K272" s="1047">
        <v>-3.3</v>
      </c>
      <c r="L272" s="172"/>
      <c r="M272" s="172"/>
      <c r="N272" s="172"/>
      <c r="O272" s="172"/>
      <c r="P272" s="172"/>
      <c r="AA272" s="171"/>
    </row>
    <row r="273" spans="3:27" s="230" customFormat="1" ht="15" customHeight="1">
      <c r="C273" s="996"/>
      <c r="D273" s="173" t="str">
        <f>IF(Indice_index!$Z$1=1,"dezembro","December")</f>
        <v>dezembro</v>
      </c>
      <c r="E273" s="1048">
        <v>0.8</v>
      </c>
      <c r="F273" s="1048">
        <v>-2.7</v>
      </c>
      <c r="G273" s="1048">
        <v>1</v>
      </c>
      <c r="H273" s="1048">
        <v>0.5</v>
      </c>
      <c r="I273" s="1048">
        <v>0.9</v>
      </c>
      <c r="J273" s="1048"/>
      <c r="K273" s="1048">
        <v>-3.3</v>
      </c>
      <c r="L273" s="172"/>
      <c r="M273" s="172"/>
      <c r="N273" s="172"/>
      <c r="O273" s="172"/>
      <c r="P273" s="172"/>
      <c r="AA273" s="171"/>
    </row>
    <row r="274" spans="3:27" s="230" customFormat="1" ht="15" customHeight="1">
      <c r="C274" s="995" t="s">
        <v>67</v>
      </c>
      <c r="D274" s="172"/>
      <c r="E274" s="172"/>
      <c r="F274" s="172"/>
      <c r="G274" s="172"/>
      <c r="H274" s="172"/>
      <c r="I274" s="172"/>
      <c r="K274" s="172"/>
      <c r="L274" s="172"/>
      <c r="M274" s="232"/>
      <c r="N274" s="232"/>
      <c r="O274" s="232"/>
      <c r="P274" s="232"/>
      <c r="Q274" s="232"/>
      <c r="R274" s="232"/>
      <c r="S274" s="232"/>
      <c r="AA274" s="171"/>
    </row>
    <row r="275" spans="3:27" s="172" customFormat="1" ht="15" customHeight="1">
      <c r="C275" s="1041"/>
      <c r="D275" s="173" t="str">
        <f>IF(Indice_index!$Z$1=1,"janeiro","January")</f>
        <v>janeiro</v>
      </c>
      <c r="E275" s="1042">
        <v>0.7</v>
      </c>
      <c r="F275" s="1042">
        <v>-2.7</v>
      </c>
      <c r="G275" s="1042">
        <v>0.4</v>
      </c>
      <c r="H275" s="1042">
        <v>0.3</v>
      </c>
      <c r="I275" s="1042">
        <v>0.9</v>
      </c>
      <c r="J275" s="1042"/>
      <c r="K275" s="1042">
        <v>-3.3</v>
      </c>
      <c r="M275" s="232"/>
      <c r="N275" s="232"/>
      <c r="O275" s="232"/>
      <c r="P275" s="232"/>
      <c r="Q275" s="232"/>
      <c r="R275" s="232"/>
      <c r="S275" s="232"/>
      <c r="T275" s="232"/>
      <c r="U275" s="232"/>
      <c r="V275" s="232"/>
      <c r="W275" s="232"/>
      <c r="X275" s="232"/>
      <c r="Y275" s="232"/>
      <c r="AA275" s="173"/>
    </row>
    <row r="276" spans="3:27" s="172" customFormat="1" ht="15" customHeight="1">
      <c r="C276" s="1041"/>
      <c r="D276" s="173" t="str">
        <f>IF(Indice_index!$Z$1=1,"fevereiro","February")</f>
        <v>fevereiro</v>
      </c>
      <c r="E276" s="1042">
        <v>0.6</v>
      </c>
      <c r="F276" s="1042">
        <v>-2.8</v>
      </c>
      <c r="G276" s="1042">
        <v>0.4</v>
      </c>
      <c r="H276" s="1042">
        <v>0.2</v>
      </c>
      <c r="I276" s="1042">
        <v>0.3</v>
      </c>
      <c r="J276" s="1042"/>
      <c r="K276" s="1042">
        <v>-3.2</v>
      </c>
      <c r="M276" s="232"/>
      <c r="N276" s="232"/>
      <c r="O276" s="232"/>
      <c r="P276" s="232"/>
      <c r="Q276" s="232"/>
      <c r="R276" s="232"/>
      <c r="S276" s="232"/>
      <c r="T276" s="232"/>
      <c r="U276" s="232"/>
      <c r="V276" s="232"/>
      <c r="W276" s="232"/>
      <c r="X276" s="232"/>
      <c r="Y276" s="232"/>
      <c r="AA276" s="173"/>
    </row>
    <row r="277" spans="3:27" s="230" customFormat="1" ht="15" customHeight="1">
      <c r="C277" s="995"/>
      <c r="D277" s="173" t="str">
        <f>IF(Indice_index!$Z$1=1,"março","March")</f>
        <v>março</v>
      </c>
      <c r="E277" s="1049">
        <v>0.39772048370223878</v>
      </c>
      <c r="F277" s="1049">
        <v>-3.1551925979209861</v>
      </c>
      <c r="G277" s="1049">
        <v>0.21430906515237735</v>
      </c>
      <c r="H277" s="1049">
        <v>-3.8999145732998231E-2</v>
      </c>
      <c r="I277" s="1049">
        <v>0.66886649424774824</v>
      </c>
      <c r="J277" s="1049"/>
      <c r="K277" s="1049">
        <v>-3.2832121226293762</v>
      </c>
      <c r="L277" s="172"/>
      <c r="M277" s="232"/>
      <c r="N277" s="232"/>
      <c r="O277" s="232"/>
      <c r="P277" s="232"/>
      <c r="Q277" s="232"/>
      <c r="R277" s="232"/>
      <c r="S277" s="232"/>
      <c r="T277" s="232"/>
      <c r="U277" s="232"/>
      <c r="V277" s="232"/>
      <c r="W277" s="232"/>
      <c r="X277" s="232"/>
      <c r="Y277" s="232"/>
      <c r="AA277" s="171"/>
    </row>
    <row r="278" spans="3:27" s="230" customFormat="1" ht="15" customHeight="1">
      <c r="C278" s="995"/>
      <c r="D278" s="173" t="str">
        <f>IF(Indice_index!$Z$1=1,"abril","April")</f>
        <v>abril</v>
      </c>
      <c r="E278" s="1042">
        <v>0.25830033505939687</v>
      </c>
      <c r="F278" s="1042">
        <v>-3.4313171283210853</v>
      </c>
      <c r="G278" s="1042">
        <v>0.19114791582232923</v>
      </c>
      <c r="H278" s="1042">
        <v>-0.1627344334923552</v>
      </c>
      <c r="I278" s="1042">
        <v>1.0791046107197124</v>
      </c>
      <c r="J278" s="1042"/>
      <c r="K278" s="1042">
        <v>-3.2977982636503667</v>
      </c>
      <c r="L278" s="172"/>
      <c r="M278" s="232"/>
      <c r="N278" s="232"/>
      <c r="O278" s="232"/>
      <c r="P278" s="232"/>
      <c r="Q278" s="232"/>
      <c r="R278" s="232"/>
      <c r="S278" s="232"/>
      <c r="T278" s="232"/>
      <c r="U278" s="232"/>
      <c r="V278" s="232"/>
      <c r="W278" s="232"/>
      <c r="X278" s="232"/>
      <c r="Y278" s="232"/>
      <c r="AA278" s="171"/>
    </row>
    <row r="279" spans="3:27" s="230" customFormat="1" ht="15" customHeight="1">
      <c r="C279" s="995"/>
      <c r="D279" s="173" t="str">
        <f>IF(Indice_index!$Z$1=1,"maio","May")</f>
        <v>maio</v>
      </c>
      <c r="E279" s="1050">
        <v>0.2207876300504866</v>
      </c>
      <c r="F279" s="1050">
        <v>-3.334230774680818</v>
      </c>
      <c r="G279" s="1050">
        <v>0.17852063880130956</v>
      </c>
      <c r="H279" s="1050">
        <v>-0.17800253626550369</v>
      </c>
      <c r="I279" s="1050">
        <v>1.152197213290469</v>
      </c>
      <c r="J279" s="1050"/>
      <c r="K279" s="1050">
        <v>-3.3000204532150335</v>
      </c>
      <c r="L279" s="172"/>
      <c r="M279" s="232"/>
      <c r="N279" s="232"/>
      <c r="O279" s="232"/>
      <c r="P279" s="232"/>
      <c r="Q279" s="232"/>
      <c r="R279" s="232"/>
      <c r="S279" s="232"/>
      <c r="T279" s="232"/>
      <c r="U279" s="232"/>
      <c r="V279" s="232"/>
      <c r="W279" s="232"/>
      <c r="X279" s="232"/>
      <c r="Y279" s="232"/>
      <c r="AA279" s="171"/>
    </row>
    <row r="280" spans="3:27" s="230" customFormat="1" ht="15" customHeight="1">
      <c r="C280" s="995"/>
      <c r="D280" s="173" t="str">
        <f>IF(Indice_index!$Z$1=1,"junho","June")</f>
        <v>junho</v>
      </c>
      <c r="E280" s="1051">
        <v>0.21228479719871607</v>
      </c>
      <c r="F280" s="1051">
        <v>-3.2242937531972946</v>
      </c>
      <c r="G280" s="1051">
        <v>-0.23539663425172311</v>
      </c>
      <c r="H280" s="1051">
        <v>-0.27594629482194893</v>
      </c>
      <c r="I280" s="1051">
        <v>1.1254019292604625</v>
      </c>
      <c r="J280" s="1051"/>
      <c r="K280" s="1051">
        <v>-3.3272507803585407</v>
      </c>
      <c r="L280" s="172"/>
      <c r="M280" s="232"/>
      <c r="N280" s="232"/>
      <c r="O280" s="232"/>
      <c r="P280" s="232"/>
      <c r="Q280" s="232"/>
      <c r="R280" s="232"/>
      <c r="S280" s="232"/>
      <c r="T280" s="232"/>
      <c r="U280" s="232"/>
      <c r="V280" s="232"/>
      <c r="W280" s="232"/>
      <c r="X280" s="232"/>
      <c r="Y280" s="232"/>
      <c r="AA280" s="171"/>
    </row>
    <row r="281" spans="3:27" s="230" customFormat="1" ht="15" customHeight="1">
      <c r="C281" s="995"/>
      <c r="D281" s="173" t="str">
        <f>IF(Indice_index!$Z$1=1,"julho","July")</f>
        <v>julho</v>
      </c>
      <c r="E281" s="1052">
        <v>0.23993394531060275</v>
      </c>
      <c r="F281" s="1052">
        <v>-3.1877785212921963</v>
      </c>
      <c r="G281" s="1052">
        <v>-0.28332547996182056</v>
      </c>
      <c r="H281" s="1052">
        <v>-0.26561614451989107</v>
      </c>
      <c r="I281" s="1052">
        <v>1.0344196265104315</v>
      </c>
      <c r="J281" s="1052"/>
      <c r="K281" s="1052">
        <v>-3.3993932357371381</v>
      </c>
      <c r="L281" s="172"/>
      <c r="M281" s="232"/>
      <c r="N281" s="232"/>
      <c r="O281" s="232"/>
      <c r="P281" s="232"/>
      <c r="Q281" s="232"/>
      <c r="R281" s="232"/>
      <c r="S281" s="232"/>
      <c r="AA281" s="171"/>
    </row>
    <row r="282" spans="3:27" s="230" customFormat="1" ht="15" customHeight="1">
      <c r="C282" s="995"/>
      <c r="D282" s="173" t="str">
        <f>IF(Indice_index!$Z$1=1,"agosto","August")</f>
        <v>agosto</v>
      </c>
      <c r="E282" s="1053">
        <v>0.26411909370043218</v>
      </c>
      <c r="F282" s="1053">
        <v>-3.032509530132351</v>
      </c>
      <c r="G282" s="1053">
        <v>-0.32315047598377017</v>
      </c>
      <c r="H282" s="1053">
        <v>-0.2423552424940838</v>
      </c>
      <c r="I282" s="1053">
        <v>0.98736879558796553</v>
      </c>
      <c r="J282" s="1053"/>
      <c r="K282" s="1053">
        <v>-3.4113955126699826</v>
      </c>
      <c r="L282" s="172"/>
      <c r="M282" s="172"/>
      <c r="N282" s="172"/>
      <c r="O282" s="172"/>
      <c r="P282" s="172"/>
      <c r="AA282" s="171"/>
    </row>
    <row r="283" spans="3:27" s="230" customFormat="1" ht="15" customHeight="1">
      <c r="C283" s="995"/>
      <c r="D283" s="173" t="str">
        <f>IF(Indice_index!$Z$1=1,"setembro","September")</f>
        <v>setembro</v>
      </c>
      <c r="E283" s="1054">
        <v>0.25519168458016966</v>
      </c>
      <c r="F283" s="1054">
        <v>-2.8822737300518582</v>
      </c>
      <c r="G283" s="1054">
        <v>-0.26112022385179467</v>
      </c>
      <c r="H283" s="1054">
        <v>-0.21472832701643321</v>
      </c>
      <c r="I283" s="1054">
        <v>0.6578362521112866</v>
      </c>
      <c r="J283" s="1054"/>
      <c r="K283" s="1054">
        <v>-3.3582285052894303</v>
      </c>
      <c r="L283" s="172"/>
      <c r="M283" s="172"/>
      <c r="N283" s="172"/>
      <c r="O283" s="172"/>
      <c r="P283" s="172"/>
      <c r="AA283" s="171"/>
    </row>
    <row r="284" spans="3:27" s="230" customFormat="1" ht="15" customHeight="1">
      <c r="C284" s="995"/>
      <c r="D284" s="173" t="str">
        <f>IF(Indice_index!$Z$1=1,"outubro","October")</f>
        <v>outubro</v>
      </c>
      <c r="E284" s="1046">
        <v>0.26374744184356796</v>
      </c>
      <c r="F284" s="1046">
        <v>-2.8337929449615076</v>
      </c>
      <c r="G284" s="1046">
        <v>-0.34665911050286674</v>
      </c>
      <c r="H284" s="1046">
        <v>-0.22501958703739117</v>
      </c>
      <c r="I284" s="1046">
        <v>1.1966422575459985</v>
      </c>
      <c r="J284" s="1046"/>
      <c r="K284" s="1046">
        <v>-3.3137824309350044</v>
      </c>
      <c r="L284" s="172"/>
      <c r="M284" s="172"/>
      <c r="N284" s="172"/>
      <c r="O284" s="172"/>
      <c r="P284" s="172"/>
      <c r="AA284" s="171"/>
    </row>
    <row r="285" spans="3:27" s="230" customFormat="1" ht="15" customHeight="1">
      <c r="C285" s="996"/>
      <c r="D285" s="173" t="str">
        <f>IF(Indice_index!$Z$1=1,"novembro","November")</f>
        <v>novembro</v>
      </c>
      <c r="E285" s="1047">
        <v>0.28203793591807585</v>
      </c>
      <c r="F285" s="1047">
        <v>-2.826346616011167</v>
      </c>
      <c r="G285" s="1047">
        <v>-0.37037260085878265</v>
      </c>
      <c r="H285" s="1047">
        <v>-0.2180070089099187</v>
      </c>
      <c r="I285" s="1047">
        <v>1.0269345104044763</v>
      </c>
      <c r="J285" s="1047"/>
      <c r="K285" s="1047">
        <v>-3.4625800216261737</v>
      </c>
      <c r="L285" s="172"/>
      <c r="M285" s="172"/>
      <c r="N285" s="172"/>
      <c r="O285" s="172"/>
      <c r="P285" s="172"/>
      <c r="AA285" s="171"/>
    </row>
    <row r="286" spans="3:27" s="230" customFormat="1" ht="15" customHeight="1">
      <c r="C286" s="996"/>
      <c r="D286" s="173" t="str">
        <f>IF(Indice_index!$Z$1=1,"dezembro","December")</f>
        <v>dezembro</v>
      </c>
      <c r="E286" s="1055">
        <v>0.35438674632299544</v>
      </c>
      <c r="F286" s="1055">
        <v>-2.8144429537946656</v>
      </c>
      <c r="G286" s="1055">
        <v>-0.407296442021923</v>
      </c>
      <c r="H286" s="1055">
        <v>-0.17945045610324259</v>
      </c>
      <c r="I286" s="1055">
        <v>0.99973691133912934</v>
      </c>
      <c r="J286" s="1055"/>
      <c r="K286" s="1055">
        <v>-3.5442363879733443</v>
      </c>
      <c r="L286" s="172"/>
      <c r="M286" s="172"/>
      <c r="N286" s="172"/>
      <c r="O286" s="172"/>
      <c r="P286" s="172"/>
      <c r="AA286" s="171"/>
    </row>
    <row r="287" spans="3:27" s="230" customFormat="1" ht="15" customHeight="1">
      <c r="C287" s="995" t="s">
        <v>74</v>
      </c>
      <c r="D287" s="172"/>
      <c r="E287" s="172"/>
      <c r="F287" s="172"/>
      <c r="G287" s="172"/>
      <c r="H287" s="172"/>
      <c r="I287" s="172"/>
      <c r="K287" s="172"/>
      <c r="L287" s="172"/>
      <c r="M287" s="232"/>
      <c r="N287" s="232"/>
      <c r="O287" s="232"/>
      <c r="P287" s="232"/>
      <c r="Q287" s="232"/>
      <c r="R287" s="232"/>
      <c r="S287" s="232"/>
      <c r="AA287" s="171"/>
    </row>
    <row r="288" spans="3:27" s="172" customFormat="1" ht="15" customHeight="1">
      <c r="C288" s="1041"/>
      <c r="D288" s="173" t="str">
        <f>IF(Indice_index!$Z$1=1,"janeiro","January")</f>
        <v>janeiro</v>
      </c>
      <c r="E288" s="1056">
        <v>0.45754735251965756</v>
      </c>
      <c r="F288" s="1056">
        <v>-2.8359050745491619</v>
      </c>
      <c r="G288" s="1056">
        <v>-0.46889859992536143</v>
      </c>
      <c r="H288" s="1056">
        <v>-0.13110101718965692</v>
      </c>
      <c r="I288" s="1056">
        <v>1.6511065006915748</v>
      </c>
      <c r="J288" s="1056"/>
      <c r="K288" s="1056">
        <v>-3.6132175987724247</v>
      </c>
      <c r="M288" s="232"/>
      <c r="N288" s="232"/>
      <c r="O288" s="232"/>
      <c r="P288" s="232"/>
      <c r="Q288" s="232"/>
      <c r="R288" s="232"/>
      <c r="S288" s="232"/>
      <c r="T288" s="232"/>
      <c r="U288" s="232"/>
      <c r="V288" s="232"/>
      <c r="W288" s="232"/>
      <c r="X288" s="232"/>
      <c r="Y288" s="232"/>
      <c r="AA288" s="173"/>
    </row>
    <row r="289" spans="3:27" s="172" customFormat="1" ht="15" customHeight="1">
      <c r="C289" s="1041"/>
      <c r="D289" s="173" t="str">
        <f>IF(Indice_index!$Z$1=1,"fevereiro","February")</f>
        <v>fevereiro</v>
      </c>
      <c r="E289" s="1057">
        <v>0.60177600263685982</v>
      </c>
      <c r="F289" s="1057">
        <v>-2.8556917942392803</v>
      </c>
      <c r="G289" s="1057">
        <v>-0.4489087600477229</v>
      </c>
      <c r="H289" s="1057">
        <v>-3.5522058426063922E-2</v>
      </c>
      <c r="I289" s="1057">
        <v>1.5953203935123637</v>
      </c>
      <c r="J289" s="1057"/>
      <c r="K289" s="1057">
        <v>-3.6276100493983714</v>
      </c>
      <c r="M289" s="232"/>
      <c r="N289" s="232"/>
      <c r="O289" s="232"/>
      <c r="P289" s="232"/>
      <c r="Q289" s="232"/>
      <c r="R289" s="232"/>
      <c r="S289" s="232"/>
      <c r="T289" s="232"/>
      <c r="U289" s="232"/>
      <c r="V289" s="232"/>
      <c r="W289" s="232"/>
      <c r="X289" s="232"/>
      <c r="Y289" s="232"/>
      <c r="AA289" s="173"/>
    </row>
    <row r="290" spans="3:27" s="230" customFormat="1" ht="15" customHeight="1">
      <c r="C290" s="995"/>
      <c r="D290" s="173" t="str">
        <f>IF(Indice_index!$Z$1=1,"março","March")</f>
        <v>março</v>
      </c>
      <c r="E290" s="1058">
        <v>0.82022160799382104</v>
      </c>
      <c r="F290" s="1058">
        <v>-2.7890244968104629</v>
      </c>
      <c r="G290" s="1058">
        <v>-0.24768026290353762</v>
      </c>
      <c r="H290" s="1058">
        <v>0.16286947528780832</v>
      </c>
      <c r="I290" s="1058">
        <v>1.6654854712969485</v>
      </c>
      <c r="J290" s="1058"/>
      <c r="K290" s="1058">
        <v>-3.6502333228559682</v>
      </c>
      <c r="L290" s="172"/>
      <c r="M290" s="232"/>
      <c r="N290" s="232"/>
      <c r="O290" s="232"/>
      <c r="P290" s="232"/>
      <c r="Q290" s="232"/>
      <c r="R290" s="232"/>
      <c r="S290" s="232"/>
      <c r="T290" s="232"/>
      <c r="U290" s="232"/>
      <c r="V290" s="232"/>
      <c r="W290" s="232"/>
      <c r="X290" s="232"/>
      <c r="Y290" s="232"/>
      <c r="AA290" s="171"/>
    </row>
    <row r="291" spans="3:27" s="230" customFormat="1" ht="15" customHeight="1">
      <c r="C291" s="995"/>
      <c r="D291" s="173" t="str">
        <f>IF(Indice_index!$Z$1=1,"abril","April")</f>
        <v>abril</v>
      </c>
      <c r="E291" s="1042">
        <v>0.9306451808912708</v>
      </c>
      <c r="F291" s="1042">
        <v>-2.6078557630392787</v>
      </c>
      <c r="G291" s="1042">
        <v>-0.22157420320829788</v>
      </c>
      <c r="H291" s="1042">
        <v>0.26030368763557482</v>
      </c>
      <c r="I291" s="1042">
        <v>1.4822657490735798</v>
      </c>
      <c r="J291" s="1042"/>
      <c r="K291" s="1042">
        <v>-3.7746599072397151</v>
      </c>
      <c r="L291" s="172"/>
      <c r="M291" s="232"/>
      <c r="N291" s="232"/>
      <c r="O291" s="232"/>
      <c r="P291" s="232"/>
      <c r="Q291" s="232"/>
      <c r="R291" s="232"/>
      <c r="S291" s="232"/>
      <c r="T291" s="232"/>
      <c r="U291" s="232"/>
      <c r="V291" s="232"/>
      <c r="W291" s="232"/>
      <c r="X291" s="232"/>
      <c r="Y291" s="232"/>
      <c r="AA291" s="171"/>
    </row>
    <row r="292" spans="3:27" s="230" customFormat="1" ht="15" customHeight="1">
      <c r="C292" s="995"/>
      <c r="D292" s="173" t="str">
        <f>IF(Indice_index!$Z$1=1,"maio","May")</f>
        <v>maio</v>
      </c>
      <c r="E292" s="1050">
        <v>0.97617491966413161</v>
      </c>
      <c r="F292" s="1050">
        <v>-2.7250872203817176</v>
      </c>
      <c r="G292" s="1050">
        <v>-0.40473112563579033</v>
      </c>
      <c r="H292" s="1050">
        <v>0.23083990090926135</v>
      </c>
      <c r="I292" s="1050">
        <v>0.653421633554092</v>
      </c>
      <c r="J292" s="1050"/>
      <c r="K292" s="1050">
        <v>-3.8458733261370601</v>
      </c>
      <c r="L292" s="172"/>
      <c r="M292" s="232"/>
      <c r="N292" s="232"/>
      <c r="O292" s="232"/>
      <c r="P292" s="232"/>
      <c r="Q292" s="232"/>
      <c r="R292" s="232"/>
      <c r="S292" s="232"/>
      <c r="T292" s="232"/>
      <c r="U292" s="232"/>
      <c r="V292" s="232"/>
      <c r="W292" s="232"/>
      <c r="X292" s="232"/>
      <c r="Y292" s="232"/>
      <c r="AA292" s="171"/>
    </row>
    <row r="293" spans="3:27" s="230" customFormat="1" ht="15" customHeight="1">
      <c r="C293" s="995"/>
      <c r="D293" s="173" t="str">
        <f>IF(Indice_index!$Z$1=1,"junho","June")</f>
        <v>junho</v>
      </c>
      <c r="E293" s="1051">
        <v>1.0089465753324938</v>
      </c>
      <c r="F293" s="1051">
        <v>-2.811917242999574</v>
      </c>
      <c r="G293" s="1051">
        <v>3.8819875776397512E-2</v>
      </c>
      <c r="H293" s="1051">
        <v>0.35763006138773484</v>
      </c>
      <c r="I293" s="1051">
        <v>1.6339869281045754</v>
      </c>
      <c r="J293" s="1051"/>
      <c r="K293" s="1051">
        <v>-3.8604954017914848</v>
      </c>
      <c r="L293" s="172"/>
      <c r="M293" s="232"/>
      <c r="N293" s="232"/>
      <c r="O293" s="232"/>
      <c r="P293" s="232"/>
      <c r="Q293" s="232"/>
      <c r="R293" s="232"/>
      <c r="S293" s="232"/>
      <c r="T293" s="232"/>
      <c r="U293" s="232"/>
      <c r="V293" s="232"/>
      <c r="W293" s="232"/>
      <c r="X293" s="232"/>
      <c r="Y293" s="232"/>
      <c r="AA293" s="171"/>
    </row>
    <row r="294" spans="3:27" s="230" customFormat="1" ht="15" customHeight="1">
      <c r="C294" s="995"/>
      <c r="D294" s="173" t="str">
        <f>IF(Indice_index!$Z$1=1,"julho","July")</f>
        <v>julho</v>
      </c>
      <c r="E294" s="1052">
        <v>0.87046476471044265</v>
      </c>
      <c r="F294" s="1052">
        <v>-2.9544986617253448</v>
      </c>
      <c r="G294" s="1052">
        <v>-0.11328870444976222</v>
      </c>
      <c r="H294" s="1052">
        <v>0.21631045892810968</v>
      </c>
      <c r="I294" s="1052">
        <v>1.9751744133369533</v>
      </c>
      <c r="J294" s="1052"/>
      <c r="K294" s="1052">
        <v>-3.8019891168918276</v>
      </c>
      <c r="L294" s="172"/>
      <c r="M294" s="232"/>
      <c r="N294" s="232"/>
      <c r="O294" s="232"/>
      <c r="P294" s="232"/>
      <c r="Q294" s="232"/>
      <c r="R294" s="232"/>
      <c r="S294" s="232"/>
      <c r="AA294" s="171"/>
    </row>
    <row r="295" spans="3:27" s="230" customFormat="1" ht="15" hidden="1" customHeight="1">
      <c r="C295" s="995"/>
      <c r="D295" s="173" t="str">
        <f>IF(Indice_index!$Z$1=1,"agosto","August")</f>
        <v>agosto</v>
      </c>
      <c r="E295" s="1053"/>
      <c r="F295" s="1053"/>
      <c r="G295" s="1053"/>
      <c r="H295" s="1053"/>
      <c r="I295" s="1053"/>
      <c r="J295" s="1053"/>
      <c r="K295" s="1053"/>
      <c r="L295" s="172"/>
      <c r="M295" s="172"/>
      <c r="N295" s="172"/>
      <c r="O295" s="172"/>
      <c r="P295" s="172"/>
      <c r="AA295" s="171"/>
    </row>
    <row r="296" spans="3:27" s="230" customFormat="1" ht="15" hidden="1" customHeight="1">
      <c r="C296" s="995"/>
      <c r="D296" s="173" t="str">
        <f>IF(Indice_index!$Z$1=1,"setembro","September")</f>
        <v>setembro</v>
      </c>
      <c r="E296" s="1054"/>
      <c r="F296" s="1054"/>
      <c r="G296" s="1054"/>
      <c r="H296" s="1054"/>
      <c r="I296" s="1054"/>
      <c r="J296" s="1054"/>
      <c r="K296" s="1054"/>
      <c r="L296" s="172"/>
      <c r="M296" s="172"/>
      <c r="N296" s="172"/>
      <c r="O296" s="172"/>
      <c r="P296" s="172"/>
      <c r="AA296" s="171"/>
    </row>
    <row r="297" spans="3:27" s="230" customFormat="1" ht="15" hidden="1" customHeight="1">
      <c r="C297" s="995"/>
      <c r="D297" s="173" t="str">
        <f>IF(Indice_index!$Z$1=1,"outubro","October")</f>
        <v>outubro</v>
      </c>
      <c r="E297" s="1046"/>
      <c r="F297" s="1046"/>
      <c r="G297" s="1046"/>
      <c r="H297" s="1046"/>
      <c r="I297" s="1046"/>
      <c r="J297" s="1046"/>
      <c r="K297" s="1046"/>
      <c r="L297" s="172"/>
      <c r="M297" s="172"/>
      <c r="N297" s="172"/>
      <c r="O297" s="172"/>
      <c r="P297" s="172"/>
      <c r="AA297" s="171"/>
    </row>
    <row r="298" spans="3:27" s="230" customFormat="1" ht="15" hidden="1" customHeight="1">
      <c r="C298" s="996"/>
      <c r="D298" s="173" t="str">
        <f>IF(Indice_index!$Z$1=1,"novembro","November")</f>
        <v>novembro</v>
      </c>
      <c r="E298" s="1047"/>
      <c r="F298" s="1047"/>
      <c r="G298" s="1047"/>
      <c r="H298" s="1047"/>
      <c r="I298" s="1047"/>
      <c r="J298" s="1047"/>
      <c r="K298" s="1047"/>
      <c r="L298" s="172"/>
      <c r="M298" s="172"/>
      <c r="N298" s="172"/>
      <c r="O298" s="172"/>
      <c r="P298" s="172"/>
      <c r="AA298" s="171"/>
    </row>
    <row r="299" spans="3:27" s="230" customFormat="1" ht="15" hidden="1" customHeight="1">
      <c r="C299" s="996"/>
      <c r="D299" s="173" t="str">
        <f>IF(Indice_index!$Z$1=1,"dezembro","December")</f>
        <v>dezembro</v>
      </c>
      <c r="E299" s="1055"/>
      <c r="F299" s="1055"/>
      <c r="G299" s="1055"/>
      <c r="H299" s="1055"/>
      <c r="I299" s="1055"/>
      <c r="J299" s="1055"/>
      <c r="K299" s="1055"/>
      <c r="L299" s="172"/>
      <c r="M299" s="172"/>
      <c r="N299" s="172"/>
      <c r="O299" s="172"/>
      <c r="P299" s="172"/>
      <c r="AA299" s="171"/>
    </row>
    <row r="300" spans="3:27" s="230" customFormat="1" ht="3" customHeight="1">
      <c r="C300" s="989"/>
      <c r="D300" s="990"/>
      <c r="E300" s="990"/>
      <c r="F300" s="990"/>
      <c r="G300" s="990"/>
      <c r="H300" s="990"/>
      <c r="I300" s="990"/>
      <c r="K300" s="1033"/>
      <c r="L300" s="172"/>
      <c r="M300" s="172"/>
      <c r="N300" s="172"/>
      <c r="O300" s="172"/>
      <c r="P300" s="172"/>
      <c r="AA300" s="171"/>
    </row>
    <row r="301" spans="3:27" s="230" customFormat="1" ht="15" customHeight="1">
      <c r="C301" s="996"/>
      <c r="D301" s="172"/>
      <c r="E301" s="172"/>
      <c r="F301" s="172"/>
      <c r="G301" s="172"/>
      <c r="H301" s="172"/>
      <c r="I301" s="172"/>
      <c r="K301" s="172"/>
      <c r="L301" s="172"/>
      <c r="M301" s="172"/>
      <c r="N301" s="172"/>
      <c r="O301" s="172"/>
      <c r="P301" s="172"/>
      <c r="AA301" s="171"/>
    </row>
    <row r="302" spans="3:27" s="230" customFormat="1" ht="15" customHeight="1">
      <c r="C302" s="996"/>
      <c r="D302" s="172"/>
      <c r="E302" s="172"/>
      <c r="F302" s="172"/>
      <c r="G302" s="172"/>
      <c r="H302" s="172"/>
      <c r="I302" s="172"/>
      <c r="K302" s="172"/>
      <c r="L302" s="172"/>
      <c r="M302" s="172"/>
      <c r="N302" s="172"/>
      <c r="O302" s="172"/>
      <c r="P302" s="172"/>
      <c r="AA302" s="171"/>
    </row>
    <row r="303" spans="3:27" s="230" customFormat="1" ht="15" customHeight="1">
      <c r="C303" s="1059" t="str">
        <f>IF(Indice_index!$Z$1=1,"Pensionistas de Aposentação/Reforma - Novos e Abatidos","Retirement Pensioners - New and extinct")</f>
        <v>Pensionistas de Aposentação/Reforma - Novos e Abatidos</v>
      </c>
      <c r="D303" s="1034"/>
      <c r="E303" s="172"/>
      <c r="F303" s="1034"/>
      <c r="G303" s="1034"/>
      <c r="H303" s="172"/>
      <c r="I303" s="172"/>
      <c r="J303" s="172"/>
      <c r="K303" s="172"/>
      <c r="L303" s="172"/>
      <c r="M303" s="172"/>
      <c r="N303" s="172"/>
      <c r="O303" s="86"/>
      <c r="X303" s="50"/>
      <c r="Y303" s="50"/>
      <c r="Z303" s="50"/>
      <c r="AA303" s="171"/>
    </row>
    <row r="304" spans="3:27" s="230" customFormat="1" ht="11.25" customHeight="1">
      <c r="C304" s="987"/>
      <c r="D304" s="1060"/>
      <c r="E304" s="1775" t="str">
        <f>IF(Indice_index!$Z$1=1,"Número","Number")</f>
        <v>Número</v>
      </c>
      <c r="F304" s="1775"/>
      <c r="G304" s="1775"/>
      <c r="H304" s="1775"/>
      <c r="I304" s="1775"/>
      <c r="J304" s="1744" t="str">
        <f>IF(Indice_index!$Z$1=1,"Despesa com pensões (€)","Expense with Pensions")</f>
        <v>Despesa com pensões (€)</v>
      </c>
      <c r="K304" s="1744"/>
      <c r="L304" s="1744"/>
      <c r="M304" s="1744"/>
      <c r="N304" s="1744"/>
      <c r="O304" s="1776" t="str">
        <f>IF(Indice_index!$Z$1=1,"Pensão média nova Aposentação/Reforma (€)"," Average Value paid per new Retirment Pensioner")</f>
        <v>Pensão média nova Aposentação/Reforma (€)</v>
      </c>
      <c r="P304" s="1777" t="str">
        <f>IF(Indice_index!$Z$1=1,"Pensão média nova Sobrevivência e Outras (€)"," Average Value paid per new Survival and Others Pensioner")</f>
        <v>Pensão média nova Sobrevivência e Outras (€)</v>
      </c>
      <c r="X304" s="50"/>
      <c r="Y304" s="50"/>
      <c r="Z304" s="50"/>
      <c r="AA304" s="171"/>
    </row>
    <row r="305" spans="3:27" s="230" customFormat="1" ht="11.25" customHeight="1">
      <c r="C305" s="1059"/>
      <c r="D305" s="1061"/>
      <c r="E305" s="1775" t="str">
        <f>IF(Indice_index!$Z$1=1,"Novos","New")</f>
        <v>Novos</v>
      </c>
      <c r="F305" s="1775"/>
      <c r="G305" s="1775"/>
      <c r="H305" s="1775"/>
      <c r="I305" s="1776" t="str">
        <f>IF(Indice_index!$Z$1=1,"Abonos abatidos de Aposentação /Reforma","Allowances deducted from Retirement / Pension")</f>
        <v>Abonos abatidos de Aposentação /Reforma</v>
      </c>
      <c r="J305" s="1744" t="str">
        <f>IF(Indice_index!$Z$1=1,"Novos","New")</f>
        <v>Novos</v>
      </c>
      <c r="K305" s="1744"/>
      <c r="L305" s="1744"/>
      <c r="M305" s="1744"/>
      <c r="N305" s="1776" t="str">
        <f>IF(Indice_index!$Z$1=1,"Abonos abatidos de Aposentação /Reforma","Allowances deducted from Retirement / Pension")</f>
        <v>Abonos abatidos de Aposentação /Reforma</v>
      </c>
      <c r="O305" s="1776"/>
      <c r="P305" s="1777"/>
      <c r="R305" s="97"/>
      <c r="S305" s="97"/>
      <c r="T305" s="97"/>
      <c r="X305" s="50"/>
      <c r="Y305" s="50"/>
      <c r="Z305" s="50"/>
      <c r="AA305" s="171"/>
    </row>
    <row r="306" spans="3:27" s="230" customFormat="1" ht="44.25" customHeight="1">
      <c r="C306" s="989"/>
      <c r="D306" s="1062"/>
      <c r="E306" s="991" t="str">
        <f>IF(Indice_index!$Z$1=1,"Velhice e Outros Motivos","Old age and other Reasons")</f>
        <v>Velhice e Outros Motivos</v>
      </c>
      <c r="F306" s="992" t="str">
        <f>IF(Indice_index!$Z$1=1,"Invalidez","Disability")</f>
        <v>Invalidez</v>
      </c>
      <c r="G306" s="991" t="str">
        <f>IF(Indice_index!$Z$1=1,"Sobrevivência e Outros","Survival and Others")</f>
        <v>Sobrevivência e Outros</v>
      </c>
      <c r="H306" s="991" t="str">
        <f>IF(Indice_index!$Z$1=1,"Total de Pensionistas","Total of Pensioners")</f>
        <v>Total de Pensionistas</v>
      </c>
      <c r="I306" s="1776"/>
      <c r="J306" s="991" t="str">
        <f>IF(Indice_index!$Z$1=1,"Velhice e Outros Motivos","Old age and other Reasons")</f>
        <v>Velhice e Outros Motivos</v>
      </c>
      <c r="K306" s="992" t="str">
        <f>IF(Indice_index!$Z$1=1,"Invalidez","Disability")</f>
        <v>Invalidez</v>
      </c>
      <c r="L306" s="991" t="str">
        <f>IF(Indice_index!$Z$1=1,"Sobrevivência e Outros","Survival and Others")</f>
        <v>Sobrevivência e Outros</v>
      </c>
      <c r="M306" s="991" t="str">
        <f>IF(Indice_index!$Z$1=1,"Total","Total")</f>
        <v>Total</v>
      </c>
      <c r="N306" s="1776"/>
      <c r="O306" s="1776"/>
      <c r="P306" s="1777"/>
      <c r="R306" s="97"/>
      <c r="S306" s="97"/>
      <c r="T306" s="97"/>
      <c r="X306" s="50"/>
      <c r="Y306" s="50"/>
      <c r="Z306" s="50"/>
      <c r="AA306" s="171"/>
    </row>
    <row r="307" spans="3:27" s="230" customFormat="1" hidden="1">
      <c r="C307" s="993" t="s">
        <v>10</v>
      </c>
      <c r="D307" s="685"/>
      <c r="E307" s="1063"/>
      <c r="F307" s="1063"/>
      <c r="G307" s="1063"/>
      <c r="H307" s="1063"/>
      <c r="I307" s="1063"/>
      <c r="J307" s="1064"/>
      <c r="K307" s="1064"/>
      <c r="L307" s="1064"/>
      <c r="M307" s="172"/>
      <c r="N307" s="1064"/>
      <c r="O307" s="1064"/>
      <c r="X307" s="50"/>
      <c r="Y307" s="50"/>
      <c r="Z307" s="50"/>
      <c r="AA307" s="171"/>
    </row>
    <row r="308" spans="3:27" s="230" customFormat="1" hidden="1">
      <c r="C308" s="993"/>
      <c r="D308" s="173" t="str">
        <f>IF(Indice_index!$Z$1=1,"janeiro","January")</f>
        <v>janeiro</v>
      </c>
      <c r="E308" s="1063">
        <v>1471</v>
      </c>
      <c r="F308" s="1063">
        <v>170</v>
      </c>
      <c r="G308" s="1063">
        <v>513</v>
      </c>
      <c r="H308" s="1063">
        <v>2154</v>
      </c>
      <c r="I308" s="1063">
        <v>912</v>
      </c>
      <c r="J308" s="1064">
        <v>2253347.4200000004</v>
      </c>
      <c r="K308" s="1064">
        <v>179900.55</v>
      </c>
      <c r="L308" s="1064">
        <v>249524.43</v>
      </c>
      <c r="M308" s="172">
        <v>2682772.4000000004</v>
      </c>
      <c r="N308" s="1064">
        <v>916372.71</v>
      </c>
      <c r="O308" s="1064">
        <v>1482.8</v>
      </c>
      <c r="P308" s="230">
        <v>486.4</v>
      </c>
      <c r="X308" s="50"/>
      <c r="Y308" s="50"/>
      <c r="Z308" s="50"/>
      <c r="AA308" s="171"/>
    </row>
    <row r="309" spans="3:27" s="230" customFormat="1" hidden="1">
      <c r="C309" s="993"/>
      <c r="D309" s="173" t="str">
        <f>IF(Indice_index!$Z$1=1,"fevereiro","February")</f>
        <v>fevereiro</v>
      </c>
      <c r="E309" s="1063">
        <v>1939</v>
      </c>
      <c r="F309" s="1063">
        <v>209</v>
      </c>
      <c r="G309" s="1063">
        <v>781</v>
      </c>
      <c r="H309" s="1063">
        <v>2929</v>
      </c>
      <c r="I309" s="1063">
        <v>1065</v>
      </c>
      <c r="J309" s="1064">
        <v>2945192.88</v>
      </c>
      <c r="K309" s="1064">
        <v>229212.15</v>
      </c>
      <c r="L309" s="1064">
        <v>361995.2</v>
      </c>
      <c r="M309" s="172">
        <v>3536400.23</v>
      </c>
      <c r="N309" s="1064">
        <v>1127751.53</v>
      </c>
      <c r="O309" s="1064">
        <v>1477.8</v>
      </c>
      <c r="P309" s="230">
        <v>463.5</v>
      </c>
      <c r="X309" s="50"/>
      <c r="Y309" s="50"/>
      <c r="Z309" s="50"/>
      <c r="AA309" s="171"/>
    </row>
    <row r="310" spans="3:27" s="230" customFormat="1" hidden="1">
      <c r="C310" s="993"/>
      <c r="D310" s="173" t="str">
        <f>IF(Indice_index!$Z$1=1,"março","March")</f>
        <v>março</v>
      </c>
      <c r="E310" s="1063">
        <v>1335</v>
      </c>
      <c r="F310" s="1063">
        <v>244</v>
      </c>
      <c r="G310" s="1063">
        <v>917</v>
      </c>
      <c r="H310" s="1063">
        <v>2496</v>
      </c>
      <c r="I310" s="1063">
        <v>1072</v>
      </c>
      <c r="J310" s="1064">
        <v>1800757.79</v>
      </c>
      <c r="K310" s="1064">
        <v>270853.71999999997</v>
      </c>
      <c r="L310" s="1064">
        <v>458403.63</v>
      </c>
      <c r="M310" s="172">
        <v>2530015.14</v>
      </c>
      <c r="N310" s="1064">
        <v>1000274.44</v>
      </c>
      <c r="O310" s="1064">
        <v>1312</v>
      </c>
      <c r="P310" s="230">
        <v>499.9</v>
      </c>
      <c r="X310" s="50"/>
      <c r="Y310" s="50"/>
      <c r="Z310" s="50"/>
      <c r="AA310" s="171"/>
    </row>
    <row r="311" spans="3:27" s="230" customFormat="1" hidden="1">
      <c r="C311" s="993"/>
      <c r="D311" s="173" t="str">
        <f>IF(Indice_index!$Z$1=1,"abril","April")</f>
        <v>abril</v>
      </c>
      <c r="E311" s="1063">
        <v>1515</v>
      </c>
      <c r="F311" s="1063">
        <v>271</v>
      </c>
      <c r="G311" s="1063">
        <v>913</v>
      </c>
      <c r="H311" s="1063">
        <v>2699</v>
      </c>
      <c r="I311" s="1063">
        <v>1281</v>
      </c>
      <c r="J311" s="1064">
        <v>1784019.16</v>
      </c>
      <c r="K311" s="1064">
        <v>320223.28999999998</v>
      </c>
      <c r="L311" s="1064">
        <v>410277</v>
      </c>
      <c r="M311" s="172">
        <v>2514519.4499999997</v>
      </c>
      <c r="N311" s="1064">
        <v>1232238.1499999999</v>
      </c>
      <c r="O311" s="1064">
        <v>1178.2</v>
      </c>
      <c r="P311" s="230">
        <v>449.4</v>
      </c>
      <c r="X311" s="50"/>
      <c r="Y311" s="50"/>
      <c r="Z311" s="50"/>
      <c r="AA311" s="171"/>
    </row>
    <row r="312" spans="3:27" s="230" customFormat="1" hidden="1">
      <c r="C312" s="993"/>
      <c r="D312" s="173" t="str">
        <f>IF(Indice_index!$Z$1=1,"maio","May")</f>
        <v>maio</v>
      </c>
      <c r="E312" s="1063">
        <v>1724</v>
      </c>
      <c r="F312" s="1063">
        <v>157</v>
      </c>
      <c r="G312" s="1063">
        <v>787</v>
      </c>
      <c r="H312" s="1063">
        <v>2668</v>
      </c>
      <c r="I312" s="1063">
        <v>1070</v>
      </c>
      <c r="J312" s="1064">
        <v>1822949.91</v>
      </c>
      <c r="K312" s="1064">
        <v>168669.13</v>
      </c>
      <c r="L312" s="1064">
        <v>376886.49</v>
      </c>
      <c r="M312" s="172">
        <v>2368505.5300000003</v>
      </c>
      <c r="N312" s="1064">
        <v>1044103.32</v>
      </c>
      <c r="O312" s="1064">
        <v>1058.8</v>
      </c>
      <c r="P312" s="230">
        <v>478.9</v>
      </c>
      <c r="X312" s="50"/>
      <c r="Y312" s="50"/>
      <c r="Z312" s="50"/>
      <c r="AA312" s="171"/>
    </row>
    <row r="313" spans="3:27" s="230" customFormat="1" hidden="1">
      <c r="C313" s="993"/>
      <c r="D313" s="173" t="str">
        <f>IF(Indice_index!$Z$1=1,"junho","June")</f>
        <v>junho</v>
      </c>
      <c r="E313" s="1063">
        <v>1732</v>
      </c>
      <c r="F313" s="1063">
        <v>222</v>
      </c>
      <c r="G313" s="1063">
        <v>872</v>
      </c>
      <c r="H313" s="1063">
        <v>2826</v>
      </c>
      <c r="I313" s="1063">
        <v>977</v>
      </c>
      <c r="J313" s="1064">
        <v>1733424.6700000002</v>
      </c>
      <c r="K313" s="1064">
        <v>266897.39999999997</v>
      </c>
      <c r="L313" s="1064">
        <v>419051.86</v>
      </c>
      <c r="M313" s="172">
        <v>2419373.9300000002</v>
      </c>
      <c r="N313" s="1064">
        <v>942522.85</v>
      </c>
      <c r="O313" s="1064">
        <v>1023.7</v>
      </c>
      <c r="P313" s="230">
        <v>480.6</v>
      </c>
      <c r="X313" s="50"/>
      <c r="Y313" s="50"/>
      <c r="Z313" s="50"/>
      <c r="AA313" s="171"/>
    </row>
    <row r="314" spans="3:27" s="230" customFormat="1" hidden="1">
      <c r="C314" s="993"/>
      <c r="D314" s="173" t="str">
        <f>IF(Indice_index!$Z$1=1,"julho","July")</f>
        <v>julho</v>
      </c>
      <c r="E314" s="1063">
        <v>1581</v>
      </c>
      <c r="F314" s="1063">
        <v>182</v>
      </c>
      <c r="G314" s="1063">
        <v>617</v>
      </c>
      <c r="H314" s="1063">
        <v>2380</v>
      </c>
      <c r="I314" s="1063">
        <v>849</v>
      </c>
      <c r="J314" s="1064">
        <v>1800225.19</v>
      </c>
      <c r="K314" s="1064">
        <v>184002.3</v>
      </c>
      <c r="L314" s="1064">
        <v>274219.46999999997</v>
      </c>
      <c r="M314" s="172">
        <v>2258446.96</v>
      </c>
      <c r="N314" s="1064">
        <v>858439.14</v>
      </c>
      <c r="O314" s="1064">
        <v>1125.5</v>
      </c>
      <c r="P314" s="230">
        <v>444.4</v>
      </c>
      <c r="X314" s="50"/>
      <c r="Y314" s="50"/>
      <c r="Z314" s="50"/>
      <c r="AA314" s="171"/>
    </row>
    <row r="315" spans="3:27" s="230" customFormat="1" hidden="1">
      <c r="C315" s="993"/>
      <c r="D315" s="173" t="str">
        <f>IF(Indice_index!$Z$1=1,"agosto","August")</f>
        <v>agosto</v>
      </c>
      <c r="E315" s="1063">
        <v>1669</v>
      </c>
      <c r="F315" s="1063">
        <v>158</v>
      </c>
      <c r="G315" s="1063">
        <v>772</v>
      </c>
      <c r="H315" s="1063">
        <v>2599</v>
      </c>
      <c r="I315" s="1063">
        <v>741</v>
      </c>
      <c r="J315" s="1064">
        <v>1727876</v>
      </c>
      <c r="K315" s="1064">
        <v>185126</v>
      </c>
      <c r="L315" s="1064">
        <v>352719.34</v>
      </c>
      <c r="M315" s="172">
        <v>2265721.34</v>
      </c>
      <c r="N315" s="1064">
        <v>778258.21</v>
      </c>
      <c r="O315" s="1064">
        <v>1047.0999999999999</v>
      </c>
      <c r="P315" s="230">
        <v>456.9</v>
      </c>
      <c r="X315" s="50"/>
      <c r="Y315" s="50"/>
      <c r="Z315" s="50"/>
      <c r="AA315" s="171"/>
    </row>
    <row r="316" spans="3:27" s="230" customFormat="1" hidden="1">
      <c r="C316" s="993"/>
      <c r="D316" s="173" t="str">
        <f>IF(Indice_index!$Z$1=1,"setembro","September")</f>
        <v>setembro</v>
      </c>
      <c r="E316" s="1063">
        <v>1866</v>
      </c>
      <c r="F316" s="1063">
        <v>170</v>
      </c>
      <c r="G316" s="1063">
        <v>644</v>
      </c>
      <c r="H316" s="1063">
        <v>2680</v>
      </c>
      <c r="I316" s="1063">
        <v>920</v>
      </c>
      <c r="J316" s="1064">
        <v>2272099.3400000003</v>
      </c>
      <c r="K316" s="1064">
        <v>175025.16999999998</v>
      </c>
      <c r="L316" s="1064">
        <v>302947.55</v>
      </c>
      <c r="M316" s="172">
        <v>2750072.06</v>
      </c>
      <c r="N316" s="1064">
        <v>888055.27</v>
      </c>
      <c r="O316" s="1064">
        <v>1201.9000000000001</v>
      </c>
      <c r="P316" s="230">
        <v>470.4</v>
      </c>
      <c r="X316" s="50"/>
      <c r="Y316" s="50"/>
      <c r="Z316" s="50"/>
      <c r="AA316" s="171"/>
    </row>
    <row r="317" spans="3:27" s="230" customFormat="1" hidden="1">
      <c r="C317" s="993"/>
      <c r="D317" s="173" t="str">
        <f>IF(Indice_index!$Z$1=1,"outubro","October")</f>
        <v>outubro</v>
      </c>
      <c r="E317" s="1063">
        <v>1561</v>
      </c>
      <c r="F317" s="1063">
        <v>188</v>
      </c>
      <c r="G317" s="1063">
        <v>580</v>
      </c>
      <c r="H317" s="1063">
        <v>2329</v>
      </c>
      <c r="I317" s="1063">
        <v>832</v>
      </c>
      <c r="J317" s="1064">
        <v>2178361.13</v>
      </c>
      <c r="K317" s="1064">
        <v>234236.07</v>
      </c>
      <c r="L317" s="1064">
        <v>288827.51</v>
      </c>
      <c r="M317" s="172">
        <v>2701424.71</v>
      </c>
      <c r="N317" s="1064">
        <v>809217.05</v>
      </c>
      <c r="O317" s="1064">
        <v>1379.4</v>
      </c>
      <c r="P317" s="230">
        <v>498</v>
      </c>
      <c r="X317" s="50"/>
      <c r="Y317" s="50"/>
      <c r="Z317" s="50"/>
      <c r="AA317" s="171"/>
    </row>
    <row r="318" spans="3:27" s="230" customFormat="1" hidden="1">
      <c r="C318" s="993"/>
      <c r="D318" s="173" t="str">
        <f>IF(Indice_index!$Z$1=1,"novembro","November")</f>
        <v>novembro</v>
      </c>
      <c r="E318" s="1063">
        <v>1234</v>
      </c>
      <c r="F318" s="1063">
        <v>61</v>
      </c>
      <c r="G318" s="1063">
        <v>671</v>
      </c>
      <c r="H318" s="1063">
        <v>1966</v>
      </c>
      <c r="I318" s="1063">
        <v>812</v>
      </c>
      <c r="J318" s="1064">
        <v>1909576.94</v>
      </c>
      <c r="K318" s="1064">
        <v>72721.81</v>
      </c>
      <c r="L318" s="1064">
        <v>305056.65000000002</v>
      </c>
      <c r="M318" s="172">
        <v>2287355.4</v>
      </c>
      <c r="N318" s="1064">
        <v>848710.81</v>
      </c>
      <c r="O318" s="1064">
        <v>1530.7</v>
      </c>
      <c r="P318" s="230">
        <v>454.6</v>
      </c>
      <c r="X318" s="50"/>
      <c r="Y318" s="50"/>
      <c r="Z318" s="50"/>
      <c r="AA318" s="171"/>
    </row>
    <row r="319" spans="3:27" s="230" customFormat="1" hidden="1">
      <c r="C319" s="993"/>
      <c r="D319" s="173" t="str">
        <f>IF(Indice_index!$Z$1=1,"dezembro","December")</f>
        <v>dezembro</v>
      </c>
      <c r="E319" s="1063">
        <v>983</v>
      </c>
      <c r="F319" s="1063">
        <v>92</v>
      </c>
      <c r="G319" s="1063">
        <v>718</v>
      </c>
      <c r="H319" s="1063">
        <v>1793</v>
      </c>
      <c r="I319" s="1063">
        <v>886</v>
      </c>
      <c r="J319" s="1064">
        <v>1287264.1600000001</v>
      </c>
      <c r="K319" s="1064">
        <v>95656.23000000001</v>
      </c>
      <c r="L319" s="1064">
        <v>338357.31</v>
      </c>
      <c r="M319" s="172">
        <v>1721277.7000000002</v>
      </c>
      <c r="N319" s="1064">
        <v>931999.81</v>
      </c>
      <c r="O319" s="1064">
        <v>1286.4000000000001</v>
      </c>
      <c r="P319" s="230">
        <v>471.2</v>
      </c>
      <c r="X319" s="50"/>
      <c r="Y319" s="50"/>
      <c r="Z319" s="50"/>
      <c r="AA319" s="171"/>
    </row>
    <row r="320" spans="3:27" s="230" customFormat="1" hidden="1">
      <c r="C320" s="993" t="s">
        <v>11</v>
      </c>
      <c r="D320" s="685"/>
      <c r="E320" s="1063"/>
      <c r="F320" s="1063"/>
      <c r="G320" s="1063"/>
      <c r="H320" s="1063"/>
      <c r="I320" s="1063"/>
      <c r="J320" s="1064"/>
      <c r="K320" s="1064"/>
      <c r="L320" s="1064"/>
      <c r="M320" s="172"/>
      <c r="N320" s="1064"/>
      <c r="O320" s="1064"/>
      <c r="X320" s="50"/>
      <c r="Y320" s="50"/>
      <c r="Z320" s="50"/>
      <c r="AA320" s="171"/>
    </row>
    <row r="321" spans="3:27" s="230" customFormat="1" hidden="1">
      <c r="C321" s="993"/>
      <c r="D321" s="173" t="str">
        <f>IF(Indice_index!$Z$1=1,"janeiro","January")</f>
        <v>janeiro</v>
      </c>
      <c r="E321" s="1063">
        <v>1613</v>
      </c>
      <c r="F321" s="1063">
        <v>179</v>
      </c>
      <c r="G321" s="1063">
        <v>623</v>
      </c>
      <c r="H321" s="1063">
        <v>2415</v>
      </c>
      <c r="I321" s="1063">
        <v>841</v>
      </c>
      <c r="J321" s="1064">
        <v>2400812.1300000004</v>
      </c>
      <c r="K321" s="1064">
        <v>227341.87</v>
      </c>
      <c r="L321" s="1064">
        <v>301045</v>
      </c>
      <c r="M321" s="172">
        <v>2929199.0000000005</v>
      </c>
      <c r="N321" s="1064">
        <v>866112.06</v>
      </c>
      <c r="O321" s="1064">
        <v>1466.6</v>
      </c>
      <c r="P321" s="230">
        <v>483.2</v>
      </c>
      <c r="X321" s="50"/>
      <c r="Y321" s="50"/>
      <c r="Z321" s="50"/>
      <c r="AA321" s="171"/>
    </row>
    <row r="322" spans="3:27" s="230" customFormat="1" hidden="1">
      <c r="C322" s="994"/>
      <c r="D322" s="173" t="str">
        <f>IF(Indice_index!$Z$1=1,"fevereiro","February")</f>
        <v>fevereiro</v>
      </c>
      <c r="E322" s="1063">
        <v>1506</v>
      </c>
      <c r="F322" s="1063">
        <v>218</v>
      </c>
      <c r="G322" s="1063">
        <v>731</v>
      </c>
      <c r="H322" s="1063">
        <v>2455</v>
      </c>
      <c r="I322" s="1063">
        <v>1081</v>
      </c>
      <c r="J322" s="1064">
        <v>1862688.8800000001</v>
      </c>
      <c r="K322" s="1064">
        <v>244140.95</v>
      </c>
      <c r="L322" s="1064">
        <v>345412</v>
      </c>
      <c r="M322" s="1064">
        <v>2452241.83</v>
      </c>
      <c r="N322" s="1064">
        <v>1114050.94</v>
      </c>
      <c r="O322" s="1064">
        <v>1222.0999999999999</v>
      </c>
      <c r="P322" s="1064">
        <v>472.5</v>
      </c>
      <c r="X322" s="50"/>
      <c r="Y322" s="50"/>
      <c r="Z322" s="50"/>
      <c r="AA322" s="171"/>
    </row>
    <row r="323" spans="3:27" s="230" customFormat="1" hidden="1">
      <c r="C323" s="994"/>
      <c r="D323" s="173" t="str">
        <f>IF(Indice_index!$Z$1=1,"março","March")</f>
        <v>março</v>
      </c>
      <c r="E323" s="1063">
        <v>1681</v>
      </c>
      <c r="F323" s="1063">
        <v>142</v>
      </c>
      <c r="G323" s="1063">
        <v>660</v>
      </c>
      <c r="H323" s="1063">
        <v>2483</v>
      </c>
      <c r="I323" s="1063">
        <v>1094</v>
      </c>
      <c r="J323" s="1064">
        <v>1953254.07</v>
      </c>
      <c r="K323" s="1064">
        <v>165596.85</v>
      </c>
      <c r="L323" s="1064">
        <v>320609</v>
      </c>
      <c r="M323" s="1064">
        <v>2439459.92</v>
      </c>
      <c r="N323" s="1064">
        <v>1038005.63</v>
      </c>
      <c r="O323" s="1064">
        <v>1162.3</v>
      </c>
      <c r="P323" s="1064">
        <v>485.8</v>
      </c>
      <c r="X323" s="50"/>
      <c r="Y323" s="50"/>
      <c r="Z323" s="50"/>
      <c r="AA323" s="171"/>
    </row>
    <row r="324" spans="3:27" s="230" customFormat="1" hidden="1">
      <c r="C324" s="994"/>
      <c r="D324" s="173" t="str">
        <f>IF(Indice_index!$Z$1=1,"abril","April")</f>
        <v>abril</v>
      </c>
      <c r="E324" s="1063">
        <v>1900</v>
      </c>
      <c r="F324" s="1063">
        <v>177</v>
      </c>
      <c r="G324" s="1063">
        <v>671</v>
      </c>
      <c r="H324" s="1063">
        <v>2748</v>
      </c>
      <c r="I324" s="1063">
        <v>1050</v>
      </c>
      <c r="J324" s="1064">
        <v>2059097.8399999999</v>
      </c>
      <c r="K324" s="1064">
        <v>198424.51</v>
      </c>
      <c r="L324" s="1064">
        <v>356233.68</v>
      </c>
      <c r="M324" s="1064">
        <v>2613756.0299999998</v>
      </c>
      <c r="N324" s="1064">
        <v>1024683.18</v>
      </c>
      <c r="O324" s="1064">
        <v>1086.9000000000001</v>
      </c>
      <c r="P324" s="1064">
        <v>530.9</v>
      </c>
      <c r="X324" s="50"/>
      <c r="Y324" s="50"/>
      <c r="Z324" s="50"/>
      <c r="AA324" s="171"/>
    </row>
    <row r="325" spans="3:27" s="230" customFormat="1" hidden="1">
      <c r="C325" s="994"/>
      <c r="D325" s="173" t="str">
        <f>IF(Indice_index!$Z$1=1,"maio","May")</f>
        <v>maio</v>
      </c>
      <c r="E325" s="1063">
        <v>1861</v>
      </c>
      <c r="F325" s="1063">
        <v>216</v>
      </c>
      <c r="G325" s="1063">
        <v>735</v>
      </c>
      <c r="H325" s="1063">
        <v>2812</v>
      </c>
      <c r="I325" s="1063">
        <v>1023</v>
      </c>
      <c r="J325" s="1064">
        <v>1969417.4999999998</v>
      </c>
      <c r="K325" s="1064">
        <v>246357.05999999997</v>
      </c>
      <c r="L325" s="1064">
        <v>355275.85</v>
      </c>
      <c r="M325" s="1064">
        <v>2571050.4099999997</v>
      </c>
      <c r="N325" s="1064">
        <v>1030219.37</v>
      </c>
      <c r="O325" s="1064">
        <v>1066.8</v>
      </c>
      <c r="P325" s="1064">
        <v>483.4</v>
      </c>
      <c r="X325" s="50"/>
      <c r="Y325" s="50"/>
      <c r="Z325" s="50"/>
      <c r="AA325" s="171"/>
    </row>
    <row r="326" spans="3:27" s="230" customFormat="1" hidden="1">
      <c r="C326" s="994"/>
      <c r="D326" s="173" t="str">
        <f>IF(Indice_index!$Z$1=1,"junho","June")</f>
        <v>junho</v>
      </c>
      <c r="E326" s="1063">
        <v>1365</v>
      </c>
      <c r="F326" s="1063">
        <v>384</v>
      </c>
      <c r="G326" s="1063">
        <v>741</v>
      </c>
      <c r="H326" s="1063">
        <v>2490</v>
      </c>
      <c r="I326" s="1063">
        <v>1059</v>
      </c>
      <c r="J326" s="1064">
        <v>1662954.27</v>
      </c>
      <c r="K326" s="1064">
        <v>419758.02999999997</v>
      </c>
      <c r="L326" s="1064">
        <v>355587.63999999996</v>
      </c>
      <c r="M326" s="1064">
        <v>2438299.94</v>
      </c>
      <c r="N326" s="1064">
        <v>1067108.72</v>
      </c>
      <c r="O326" s="1064">
        <v>1190.8</v>
      </c>
      <c r="P326" s="1064">
        <v>479.9</v>
      </c>
      <c r="X326" s="50"/>
      <c r="Y326" s="50"/>
      <c r="Z326" s="50"/>
      <c r="AA326" s="171"/>
    </row>
    <row r="327" spans="3:27" s="230" customFormat="1" hidden="1">
      <c r="C327" s="994"/>
      <c r="D327" s="173" t="str">
        <f>IF(Indice_index!$Z$1=1,"julho","July")</f>
        <v>julho</v>
      </c>
      <c r="E327" s="1063">
        <v>1213</v>
      </c>
      <c r="F327" s="1063">
        <v>164</v>
      </c>
      <c r="G327" s="1063">
        <v>517</v>
      </c>
      <c r="H327" s="1063">
        <v>1894</v>
      </c>
      <c r="I327" s="1063">
        <v>870</v>
      </c>
      <c r="J327" s="1064">
        <v>1340995.3999999999</v>
      </c>
      <c r="K327" s="1064">
        <v>188130.56</v>
      </c>
      <c r="L327" s="1064">
        <v>252965.25</v>
      </c>
      <c r="M327" s="1064">
        <v>1782091.21</v>
      </c>
      <c r="N327" s="1064">
        <v>901571.89</v>
      </c>
      <c r="O327" s="1064">
        <v>1110.5</v>
      </c>
      <c r="P327" s="1064">
        <v>489.3</v>
      </c>
      <c r="X327" s="50"/>
      <c r="Y327" s="50"/>
      <c r="Z327" s="50"/>
      <c r="AA327" s="171"/>
    </row>
    <row r="328" spans="3:27" s="230" customFormat="1" hidden="1">
      <c r="C328" s="994"/>
      <c r="D328" s="173" t="str">
        <f>IF(Indice_index!$Z$1=1,"agosto","August")</f>
        <v>agosto</v>
      </c>
      <c r="E328" s="1063">
        <v>982</v>
      </c>
      <c r="F328" s="1063">
        <v>127</v>
      </c>
      <c r="G328" s="1063">
        <v>804</v>
      </c>
      <c r="H328" s="1063">
        <v>1913</v>
      </c>
      <c r="I328" s="1063">
        <v>888</v>
      </c>
      <c r="J328" s="1064">
        <v>1183488.18</v>
      </c>
      <c r="K328" s="1064">
        <v>160049.88999999998</v>
      </c>
      <c r="L328" s="1064">
        <v>403157.06999999995</v>
      </c>
      <c r="M328" s="1064">
        <v>1746695.1399999997</v>
      </c>
      <c r="N328" s="1064">
        <v>896681.29</v>
      </c>
      <c r="O328" s="1064">
        <v>1211.5</v>
      </c>
      <c r="P328" s="1064">
        <v>501.4</v>
      </c>
      <c r="X328" s="50"/>
      <c r="Y328" s="50"/>
      <c r="Z328" s="50"/>
      <c r="AA328" s="171"/>
    </row>
    <row r="329" spans="3:27" s="230" customFormat="1" hidden="1">
      <c r="C329" s="994"/>
      <c r="D329" s="173" t="str">
        <f>IF(Indice_index!$Z$1=1,"setembro","September")</f>
        <v>setembro</v>
      </c>
      <c r="E329" s="1063">
        <v>917</v>
      </c>
      <c r="F329" s="1063">
        <v>109</v>
      </c>
      <c r="G329" s="1063">
        <v>593</v>
      </c>
      <c r="H329" s="1063">
        <v>1619</v>
      </c>
      <c r="I329" s="1063">
        <v>1070</v>
      </c>
      <c r="J329" s="1064">
        <v>1135377.3700000001</v>
      </c>
      <c r="K329" s="1064">
        <v>139130.28</v>
      </c>
      <c r="L329" s="1064">
        <v>308089.84000000003</v>
      </c>
      <c r="M329" s="1064">
        <v>1582597.49</v>
      </c>
      <c r="N329" s="1064">
        <v>1129850.44</v>
      </c>
      <c r="O329" s="1064">
        <v>1242.2</v>
      </c>
      <c r="P329" s="1064">
        <v>519.5</v>
      </c>
      <c r="X329" s="50"/>
      <c r="Y329" s="50"/>
      <c r="Z329" s="50"/>
      <c r="AA329" s="171"/>
    </row>
    <row r="330" spans="3:27" s="230" customFormat="1" hidden="1">
      <c r="C330" s="994"/>
      <c r="D330" s="173" t="str">
        <f>IF(Indice_index!$Z$1=1,"outubro","October")</f>
        <v>outubro</v>
      </c>
      <c r="E330" s="1063">
        <v>1029</v>
      </c>
      <c r="F330" s="1063">
        <v>99</v>
      </c>
      <c r="G330" s="1063">
        <v>677</v>
      </c>
      <c r="H330" s="1063">
        <v>1805</v>
      </c>
      <c r="I330" s="1063">
        <v>841</v>
      </c>
      <c r="J330" s="1064">
        <v>1586106.08</v>
      </c>
      <c r="K330" s="1064">
        <v>125250.46</v>
      </c>
      <c r="L330" s="1064">
        <v>298338.21000000002</v>
      </c>
      <c r="M330" s="1064">
        <v>2009694.75</v>
      </c>
      <c r="N330" s="1064">
        <v>890517.06</v>
      </c>
      <c r="O330" s="1064">
        <v>1517.2</v>
      </c>
      <c r="P330" s="1064">
        <v>440.7</v>
      </c>
      <c r="X330" s="50"/>
      <c r="Y330" s="50"/>
      <c r="Z330" s="50"/>
      <c r="AA330" s="171"/>
    </row>
    <row r="331" spans="3:27" s="230" customFormat="1" hidden="1">
      <c r="C331" s="994"/>
      <c r="D331" s="173" t="str">
        <f>IF(Indice_index!$Z$1=1,"novembro","November")</f>
        <v>novembro</v>
      </c>
      <c r="E331" s="1063">
        <v>2024</v>
      </c>
      <c r="F331" s="1063">
        <v>357</v>
      </c>
      <c r="G331" s="1063">
        <v>927</v>
      </c>
      <c r="H331" s="1063">
        <v>3308</v>
      </c>
      <c r="I331" s="1063">
        <v>899</v>
      </c>
      <c r="J331" s="1064">
        <v>3234310.3</v>
      </c>
      <c r="K331" s="1064">
        <v>451766.15</v>
      </c>
      <c r="L331" s="1064">
        <v>474381.68</v>
      </c>
      <c r="M331" s="1064">
        <v>4160458.13</v>
      </c>
      <c r="N331" s="1064">
        <v>973584.25</v>
      </c>
      <c r="O331" s="1064">
        <v>1548.1</v>
      </c>
      <c r="P331" s="1064">
        <v>511.7</v>
      </c>
      <c r="X331" s="50"/>
      <c r="Y331" s="50"/>
      <c r="Z331" s="50"/>
      <c r="AA331" s="171"/>
    </row>
    <row r="332" spans="3:27" s="230" customFormat="1" hidden="1">
      <c r="C332" s="994"/>
      <c r="D332" s="173" t="str">
        <f>IF(Indice_index!$Z$1=1,"dezembro","December")</f>
        <v>dezembro</v>
      </c>
      <c r="E332" s="1063">
        <v>1935</v>
      </c>
      <c r="F332" s="1063">
        <v>132</v>
      </c>
      <c r="G332" s="1063">
        <v>881</v>
      </c>
      <c r="H332" s="1063">
        <v>2948</v>
      </c>
      <c r="I332" s="1063">
        <v>911</v>
      </c>
      <c r="J332" s="1064">
        <v>3354755.0300000003</v>
      </c>
      <c r="K332" s="1064">
        <v>152507.60999999999</v>
      </c>
      <c r="L332" s="1064">
        <v>438256.88</v>
      </c>
      <c r="M332" s="1064">
        <v>3945519.52</v>
      </c>
      <c r="N332" s="1064">
        <v>919486.9</v>
      </c>
      <c r="O332" s="1064">
        <v>1696.8</v>
      </c>
      <c r="P332" s="1064">
        <v>497.5</v>
      </c>
      <c r="X332" s="50"/>
      <c r="Y332" s="50"/>
      <c r="Z332" s="50"/>
      <c r="AA332" s="171"/>
    </row>
    <row r="333" spans="3:27" s="230" customFormat="1" hidden="1">
      <c r="C333" s="993" t="s">
        <v>12</v>
      </c>
      <c r="D333" s="172"/>
      <c r="E333" s="1063"/>
      <c r="F333" s="1063"/>
      <c r="G333" s="1063"/>
      <c r="H333" s="1063"/>
      <c r="I333" s="1063"/>
      <c r="J333" s="1064"/>
      <c r="K333" s="1064"/>
      <c r="L333" s="1064"/>
      <c r="M333" s="1064"/>
      <c r="N333" s="1064"/>
      <c r="O333" s="1064"/>
      <c r="P333" s="1064"/>
      <c r="X333" s="50"/>
      <c r="Y333" s="50"/>
      <c r="Z333" s="50"/>
      <c r="AA333" s="171"/>
    </row>
    <row r="334" spans="3:27" s="230" customFormat="1" hidden="1">
      <c r="C334" s="994"/>
      <c r="D334" s="173" t="str">
        <f>IF(Indice_index!$Z$1=1,"janeiro","January")</f>
        <v>janeiro</v>
      </c>
      <c r="E334" s="1063">
        <v>1562</v>
      </c>
      <c r="F334" s="1063">
        <v>298</v>
      </c>
      <c r="G334" s="1063">
        <v>580</v>
      </c>
      <c r="H334" s="1063">
        <v>2440</v>
      </c>
      <c r="I334" s="1063">
        <v>887</v>
      </c>
      <c r="J334" s="1064">
        <v>2144170.29</v>
      </c>
      <c r="K334" s="1064">
        <v>342562.81</v>
      </c>
      <c r="L334" s="1064">
        <v>264495.68</v>
      </c>
      <c r="M334" s="1064">
        <v>2751228.78</v>
      </c>
      <c r="N334" s="1064">
        <v>938329.29</v>
      </c>
      <c r="O334" s="1064">
        <v>1337</v>
      </c>
      <c r="P334" s="1064">
        <v>456</v>
      </c>
      <c r="X334" s="50"/>
      <c r="Y334" s="50"/>
      <c r="Z334" s="50"/>
      <c r="AA334" s="171"/>
    </row>
    <row r="335" spans="3:27" s="230" customFormat="1" hidden="1">
      <c r="C335" s="994"/>
      <c r="D335" s="173" t="str">
        <f>IF(Indice_index!$Z$1=1,"fevereiro","February")</f>
        <v>fevereiro</v>
      </c>
      <c r="E335" s="1063">
        <v>1528</v>
      </c>
      <c r="F335" s="1063">
        <v>162</v>
      </c>
      <c r="G335" s="1063">
        <v>750</v>
      </c>
      <c r="H335" s="1063">
        <v>2440</v>
      </c>
      <c r="I335" s="1063">
        <v>1283</v>
      </c>
      <c r="J335" s="1064">
        <v>1757313.13</v>
      </c>
      <c r="K335" s="1064">
        <v>215035.99</v>
      </c>
      <c r="L335" s="1064">
        <v>377259.18</v>
      </c>
      <c r="M335" s="1064">
        <v>2349608.2999999998</v>
      </c>
      <c r="N335" s="1064">
        <v>1295736.5900000001</v>
      </c>
      <c r="O335" s="1064">
        <v>1167.0999999999999</v>
      </c>
      <c r="P335" s="1064">
        <v>503</v>
      </c>
      <c r="X335" s="50"/>
      <c r="Y335" s="50"/>
      <c r="Z335" s="50"/>
      <c r="AA335" s="171"/>
    </row>
    <row r="336" spans="3:27" s="230" customFormat="1" hidden="1">
      <c r="C336" s="994"/>
      <c r="D336" s="173" t="str">
        <f>IF(Indice_index!$Z$1=1,"março","March")</f>
        <v>março</v>
      </c>
      <c r="E336" s="1063">
        <v>1569</v>
      </c>
      <c r="F336" s="1063">
        <v>77</v>
      </c>
      <c r="G336" s="1063">
        <v>813</v>
      </c>
      <c r="H336" s="1063">
        <v>2459</v>
      </c>
      <c r="I336" s="1063">
        <v>1102</v>
      </c>
      <c r="J336" s="1064">
        <v>1989226.2</v>
      </c>
      <c r="K336" s="1064">
        <v>95593.09</v>
      </c>
      <c r="L336" s="1064">
        <v>424644.21</v>
      </c>
      <c r="M336" s="1064">
        <v>2509463.5</v>
      </c>
      <c r="N336" s="1064">
        <v>1117527.6599999999</v>
      </c>
      <c r="O336" s="1064">
        <v>1266.5999999999999</v>
      </c>
      <c r="P336" s="1064">
        <v>522.29999999999995</v>
      </c>
      <c r="X336" s="50"/>
      <c r="Y336" s="50"/>
      <c r="Z336" s="50"/>
      <c r="AA336" s="171"/>
    </row>
    <row r="337" spans="3:27" s="230" customFormat="1" hidden="1">
      <c r="C337" s="996"/>
      <c r="D337" s="173" t="str">
        <f>IF(Indice_index!$Z$1=1,"abril","April")</f>
        <v>abril</v>
      </c>
      <c r="E337" s="1063">
        <v>1334</v>
      </c>
      <c r="F337" s="1063">
        <v>341</v>
      </c>
      <c r="G337" s="1063">
        <v>818</v>
      </c>
      <c r="H337" s="1063">
        <v>2493</v>
      </c>
      <c r="I337" s="1063">
        <v>1031</v>
      </c>
      <c r="J337" s="1064">
        <v>1739113.49</v>
      </c>
      <c r="K337" s="1064">
        <v>381846.29</v>
      </c>
      <c r="L337" s="1064">
        <v>407992.44</v>
      </c>
      <c r="M337" s="1064">
        <v>2528952.2200000002</v>
      </c>
      <c r="N337" s="1064">
        <v>1083317.72</v>
      </c>
      <c r="O337" s="1064">
        <v>1266.2</v>
      </c>
      <c r="P337" s="1064">
        <v>498.8</v>
      </c>
      <c r="X337" s="50"/>
      <c r="Y337" s="50"/>
      <c r="Z337" s="50"/>
      <c r="AA337" s="171"/>
    </row>
    <row r="338" spans="3:27" s="230" customFormat="1" hidden="1">
      <c r="C338" s="996"/>
      <c r="D338" s="173" t="str">
        <f>IF(Indice_index!$Z$1=1,"maio","May")</f>
        <v>maio</v>
      </c>
      <c r="E338" s="1063">
        <v>1569</v>
      </c>
      <c r="F338" s="1063">
        <v>126</v>
      </c>
      <c r="G338" s="1063">
        <v>646</v>
      </c>
      <c r="H338" s="1063">
        <v>2341</v>
      </c>
      <c r="I338" s="1063">
        <v>921</v>
      </c>
      <c r="J338" s="1064">
        <v>1984561.34</v>
      </c>
      <c r="K338" s="1064">
        <v>142609.82</v>
      </c>
      <c r="L338" s="1064">
        <v>314798.21999999997</v>
      </c>
      <c r="M338" s="1064">
        <v>2441969.38</v>
      </c>
      <c r="N338" s="1064">
        <v>990536</v>
      </c>
      <c r="O338" s="1064">
        <v>1255</v>
      </c>
      <c r="P338" s="1064">
        <v>487.3</v>
      </c>
      <c r="X338" s="50"/>
      <c r="Y338" s="50"/>
      <c r="Z338" s="50"/>
      <c r="AA338" s="171"/>
    </row>
    <row r="339" spans="3:27" s="230" customFormat="1" hidden="1">
      <c r="C339" s="996"/>
      <c r="D339" s="173" t="str">
        <f>IF(Indice_index!$Z$1=1,"junho","June")</f>
        <v>junho</v>
      </c>
      <c r="E339" s="1063">
        <v>1552</v>
      </c>
      <c r="F339" s="1063">
        <v>186</v>
      </c>
      <c r="G339" s="1063">
        <v>759</v>
      </c>
      <c r="H339" s="1063">
        <v>2497</v>
      </c>
      <c r="I339" s="1063">
        <v>1019</v>
      </c>
      <c r="J339" s="1064">
        <v>1832568.78</v>
      </c>
      <c r="K339" s="1064">
        <v>213884.45</v>
      </c>
      <c r="L339" s="1064">
        <v>378716.78</v>
      </c>
      <c r="M339" s="1064">
        <v>2425170.0099999998</v>
      </c>
      <c r="N339" s="1064">
        <v>1050314.4099999999</v>
      </c>
      <c r="O339" s="1064">
        <v>1177.5</v>
      </c>
      <c r="P339" s="1064">
        <v>499</v>
      </c>
      <c r="X339" s="50"/>
      <c r="Y339" s="50"/>
      <c r="Z339" s="50"/>
      <c r="AA339" s="171"/>
    </row>
    <row r="340" spans="3:27" s="230" customFormat="1" hidden="1">
      <c r="C340" s="996"/>
      <c r="D340" s="173" t="str">
        <f>IF(Indice_index!$Z$1=1,"julho","July")</f>
        <v>julho</v>
      </c>
      <c r="E340" s="1063">
        <v>1796</v>
      </c>
      <c r="F340" s="1063">
        <v>87</v>
      </c>
      <c r="G340" s="1063">
        <v>13138</v>
      </c>
      <c r="H340" s="1063">
        <v>15021</v>
      </c>
      <c r="I340" s="1063">
        <v>853</v>
      </c>
      <c r="J340" s="1064">
        <v>1927040.2400000002</v>
      </c>
      <c r="K340" s="1064">
        <v>86949.419999999984</v>
      </c>
      <c r="L340" s="1064">
        <v>2496857.39</v>
      </c>
      <c r="M340" s="1064">
        <v>4510847.0500000007</v>
      </c>
      <c r="N340" s="1064">
        <v>877658.51</v>
      </c>
      <c r="O340" s="1064">
        <v>1069.5999999999999</v>
      </c>
      <c r="P340" s="1064">
        <v>190</v>
      </c>
      <c r="X340" s="50"/>
      <c r="Y340" s="50"/>
      <c r="Z340" s="50"/>
      <c r="AA340" s="171"/>
    </row>
    <row r="341" spans="3:27" s="230" customFormat="1" hidden="1">
      <c r="C341" s="996"/>
      <c r="D341" s="173" t="str">
        <f>IF(Indice_index!$Z$1=1,"agosto","August")</f>
        <v>agosto</v>
      </c>
      <c r="E341" s="1063">
        <v>2800</v>
      </c>
      <c r="F341" s="1063">
        <v>285</v>
      </c>
      <c r="G341" s="1063">
        <v>796</v>
      </c>
      <c r="H341" s="1063">
        <v>3881</v>
      </c>
      <c r="I341" s="1063">
        <v>911</v>
      </c>
      <c r="J341" s="1064">
        <v>1784574.77</v>
      </c>
      <c r="K341" s="1064">
        <v>279773.2</v>
      </c>
      <c r="L341" s="1064">
        <v>415378.73</v>
      </c>
      <c r="M341" s="1064">
        <v>2479726.7000000002</v>
      </c>
      <c r="N341" s="1064">
        <v>971128.11</v>
      </c>
      <c r="O341" s="1064">
        <v>669.2</v>
      </c>
      <c r="P341" s="1064">
        <v>521.79999999999995</v>
      </c>
      <c r="X341" s="50"/>
      <c r="Y341" s="50"/>
      <c r="Z341" s="50"/>
      <c r="AA341" s="171"/>
    </row>
    <row r="342" spans="3:27" s="230" customFormat="1" hidden="1">
      <c r="C342" s="996"/>
      <c r="D342" s="173" t="str">
        <f>IF(Indice_index!$Z$1=1,"setembro","September")</f>
        <v>setembro</v>
      </c>
      <c r="E342" s="1063">
        <v>2469</v>
      </c>
      <c r="F342" s="1063">
        <v>270</v>
      </c>
      <c r="G342" s="1063">
        <v>566</v>
      </c>
      <c r="H342" s="1063">
        <v>3305</v>
      </c>
      <c r="I342" s="1063">
        <v>887</v>
      </c>
      <c r="J342" s="1064">
        <v>1750249.17</v>
      </c>
      <c r="K342" s="1064">
        <v>269596.73</v>
      </c>
      <c r="L342" s="1064">
        <v>279032.69</v>
      </c>
      <c r="M342" s="1064">
        <v>2298878.59</v>
      </c>
      <c r="N342" s="1064">
        <v>910999.21</v>
      </c>
      <c r="O342" s="1064">
        <v>737.4</v>
      </c>
      <c r="P342" s="1064">
        <v>493</v>
      </c>
      <c r="X342" s="50"/>
      <c r="Y342" s="50"/>
      <c r="Z342" s="50"/>
      <c r="AA342" s="171"/>
    </row>
    <row r="343" spans="3:27" s="230" customFormat="1" hidden="1">
      <c r="C343" s="996"/>
      <c r="D343" s="173" t="str">
        <f>IF(Indice_index!$Z$1=1,"outubro","October")</f>
        <v>outubro</v>
      </c>
      <c r="E343" s="1063">
        <v>1613</v>
      </c>
      <c r="F343" s="1063">
        <v>100</v>
      </c>
      <c r="G343" s="1063">
        <v>849</v>
      </c>
      <c r="H343" s="1063">
        <v>2562</v>
      </c>
      <c r="I343" s="1063">
        <v>899</v>
      </c>
      <c r="J343" s="1064">
        <v>1797338.73</v>
      </c>
      <c r="K343" s="1064">
        <v>107549.74</v>
      </c>
      <c r="L343" s="1064">
        <v>415703.82</v>
      </c>
      <c r="M343" s="1064">
        <v>2320592.29</v>
      </c>
      <c r="N343" s="1064">
        <v>936966.85</v>
      </c>
      <c r="O343" s="1064">
        <v>1112</v>
      </c>
      <c r="P343" s="1064">
        <v>489</v>
      </c>
      <c r="X343" s="50"/>
      <c r="Y343" s="50"/>
      <c r="Z343" s="50"/>
      <c r="AA343" s="171"/>
    </row>
    <row r="344" spans="3:27" s="230" customFormat="1" hidden="1">
      <c r="C344" s="996"/>
      <c r="D344" s="173" t="str">
        <f>IF(Indice_index!$Z$1=1,"novembro","November")</f>
        <v>novembro</v>
      </c>
      <c r="E344" s="1063">
        <v>1796</v>
      </c>
      <c r="F344" s="1063">
        <v>142</v>
      </c>
      <c r="G344" s="1063">
        <v>834</v>
      </c>
      <c r="H344" s="1063">
        <v>2772</v>
      </c>
      <c r="I344" s="1063">
        <v>1014</v>
      </c>
      <c r="J344" s="1064">
        <v>2281320.89</v>
      </c>
      <c r="K344" s="1064">
        <v>136727.79</v>
      </c>
      <c r="L344" s="1064">
        <v>409322.86</v>
      </c>
      <c r="M344" s="1064">
        <v>2827371.54</v>
      </c>
      <c r="N344" s="1064">
        <v>1047371.52</v>
      </c>
      <c r="O344" s="1064">
        <v>1247.7</v>
      </c>
      <c r="P344" s="1064">
        <v>490.8</v>
      </c>
      <c r="X344" s="50"/>
      <c r="Y344" s="50"/>
      <c r="Z344" s="50"/>
      <c r="AA344" s="171"/>
    </row>
    <row r="345" spans="3:27" s="230" customFormat="1" hidden="1">
      <c r="C345" s="996"/>
      <c r="D345" s="173" t="str">
        <f>IF(Indice_index!$Z$1=1,"dezembro","December")</f>
        <v>dezembro</v>
      </c>
      <c r="E345" s="1063">
        <v>1523</v>
      </c>
      <c r="F345" s="1063">
        <v>115</v>
      </c>
      <c r="G345" s="1063">
        <v>677</v>
      </c>
      <c r="H345" s="1063">
        <v>2315</v>
      </c>
      <c r="I345" s="1063">
        <v>936</v>
      </c>
      <c r="J345" s="1064">
        <v>1839898.4</v>
      </c>
      <c r="K345" s="1064">
        <v>100441.60000000001</v>
      </c>
      <c r="L345" s="1064">
        <v>334836.89</v>
      </c>
      <c r="M345" s="1064">
        <v>2275176.89</v>
      </c>
      <c r="N345" s="1064">
        <v>1000387.68</v>
      </c>
      <c r="O345" s="1064">
        <v>1184.5999999999999</v>
      </c>
      <c r="P345" s="1064">
        <v>494.6</v>
      </c>
      <c r="X345" s="50"/>
      <c r="Y345" s="50"/>
      <c r="Z345" s="50"/>
      <c r="AA345" s="171"/>
    </row>
    <row r="346" spans="3:27" s="230" customFormat="1" hidden="1">
      <c r="C346" s="995">
        <v>2015</v>
      </c>
      <c r="D346" s="172"/>
      <c r="E346" s="1063"/>
      <c r="F346" s="1063"/>
      <c r="G346" s="1063"/>
      <c r="H346" s="1063"/>
      <c r="I346" s="1063"/>
      <c r="J346" s="1064"/>
      <c r="K346" s="1064"/>
      <c r="L346" s="1064"/>
      <c r="M346" s="1064"/>
      <c r="N346" s="1064"/>
      <c r="O346" s="1064"/>
      <c r="P346" s="1064"/>
      <c r="X346" s="50"/>
      <c r="Y346" s="50"/>
      <c r="Z346" s="50"/>
      <c r="AA346" s="171"/>
    </row>
    <row r="347" spans="3:27" s="230" customFormat="1" ht="11.25" hidden="1">
      <c r="C347" s="996"/>
      <c r="D347" s="173" t="str">
        <f>IF(Indice_index!$Z$1=1,"janeiro","January")</f>
        <v>janeiro</v>
      </c>
      <c r="E347" s="1063">
        <v>1770</v>
      </c>
      <c r="F347" s="1063">
        <v>136</v>
      </c>
      <c r="G347" s="1063">
        <v>606</v>
      </c>
      <c r="H347" s="1063">
        <v>2512</v>
      </c>
      <c r="I347" s="1063">
        <v>921</v>
      </c>
      <c r="J347" s="1064">
        <v>2407139.7599999998</v>
      </c>
      <c r="K347" s="1064">
        <v>109758.61</v>
      </c>
      <c r="L347" s="1064">
        <v>299494.09999999998</v>
      </c>
      <c r="M347" s="1064">
        <v>2816392.47</v>
      </c>
      <c r="N347" s="1064">
        <v>975542.06</v>
      </c>
      <c r="O347" s="1064">
        <v>1320.5</v>
      </c>
      <c r="P347" s="1064">
        <v>494.2</v>
      </c>
    </row>
    <row r="348" spans="3:27" s="230" customFormat="1" hidden="1">
      <c r="C348" s="996"/>
      <c r="D348" s="173" t="str">
        <f>IF(Indice_index!$Z$1=1,"fevereiro","February")</f>
        <v>fevereiro</v>
      </c>
      <c r="E348" s="1063">
        <v>1711</v>
      </c>
      <c r="F348" s="1063">
        <v>94</v>
      </c>
      <c r="G348" s="1063">
        <v>532</v>
      </c>
      <c r="H348" s="1063">
        <v>2337</v>
      </c>
      <c r="I348" s="1063">
        <v>1226</v>
      </c>
      <c r="J348" s="1064">
        <v>2130496.8199999998</v>
      </c>
      <c r="K348" s="1064">
        <v>96635.839999999997</v>
      </c>
      <c r="L348" s="1064">
        <v>306687.09000000003</v>
      </c>
      <c r="M348" s="1064">
        <v>2533819.75</v>
      </c>
      <c r="N348" s="1064">
        <v>1273588.1499999999</v>
      </c>
      <c r="O348" s="1064">
        <v>1233.9000000000001</v>
      </c>
      <c r="P348" s="1064">
        <v>576.5</v>
      </c>
      <c r="X348" s="50"/>
      <c r="Y348" s="50"/>
      <c r="Z348" s="50"/>
      <c r="AA348" s="171"/>
    </row>
    <row r="349" spans="3:27" s="230" customFormat="1" hidden="1">
      <c r="C349" s="996"/>
      <c r="D349" s="173" t="str">
        <f>IF(Indice_index!$Z$1=1,"março","March")</f>
        <v>março</v>
      </c>
      <c r="E349" s="1063">
        <v>1863</v>
      </c>
      <c r="F349" s="1063">
        <v>118</v>
      </c>
      <c r="G349" s="1063">
        <v>710</v>
      </c>
      <c r="H349" s="1063">
        <v>2691</v>
      </c>
      <c r="I349" s="1063">
        <v>1438</v>
      </c>
      <c r="J349" s="1064">
        <v>2491570.5099999998</v>
      </c>
      <c r="K349" s="1064">
        <v>123472.14</v>
      </c>
      <c r="L349" s="1064">
        <v>377539.71</v>
      </c>
      <c r="M349" s="1064">
        <v>2992582.36</v>
      </c>
      <c r="N349" s="1064">
        <v>1483538.72</v>
      </c>
      <c r="O349" s="1064">
        <v>1320.1</v>
      </c>
      <c r="P349" s="1064">
        <v>531.70000000000005</v>
      </c>
      <c r="X349" s="50"/>
      <c r="Y349" s="50"/>
      <c r="Z349" s="50"/>
      <c r="AA349" s="171"/>
    </row>
    <row r="350" spans="3:27" s="230" customFormat="1" hidden="1">
      <c r="C350" s="996"/>
      <c r="D350" s="173" t="str">
        <f>IF(Indice_index!$Z$1=1,"abril","April")</f>
        <v>abril</v>
      </c>
      <c r="E350" s="1063">
        <v>1442</v>
      </c>
      <c r="F350" s="1063">
        <v>218</v>
      </c>
      <c r="G350" s="1063">
        <v>952</v>
      </c>
      <c r="H350" s="1063">
        <v>2612</v>
      </c>
      <c r="I350" s="1063">
        <v>1325</v>
      </c>
      <c r="J350" s="1064">
        <v>1870266.71</v>
      </c>
      <c r="K350" s="1064">
        <v>207453.98</v>
      </c>
      <c r="L350" s="1064">
        <v>493357.47</v>
      </c>
      <c r="M350" s="1064">
        <v>2571078.16</v>
      </c>
      <c r="N350" s="1064">
        <v>1329636.56</v>
      </c>
      <c r="O350" s="1064">
        <v>1251.5999999999999</v>
      </c>
      <c r="P350" s="1064">
        <v>518.20000000000005</v>
      </c>
      <c r="X350" s="50"/>
      <c r="Y350" s="50"/>
      <c r="Z350" s="50"/>
      <c r="AA350" s="171"/>
    </row>
    <row r="351" spans="3:27" s="230" customFormat="1" hidden="1">
      <c r="C351" s="996"/>
      <c r="D351" s="173" t="str">
        <f>IF(Indice_index!$Z$1=1,"maio","May")</f>
        <v>maio</v>
      </c>
      <c r="E351" s="1063">
        <v>1389</v>
      </c>
      <c r="F351" s="1063">
        <v>135</v>
      </c>
      <c r="G351" s="1063">
        <v>2741</v>
      </c>
      <c r="H351" s="1063">
        <v>4265</v>
      </c>
      <c r="I351" s="1063">
        <v>1072</v>
      </c>
      <c r="J351" s="1064">
        <v>1490666.5</v>
      </c>
      <c r="K351" s="1064">
        <v>128359.52</v>
      </c>
      <c r="L351" s="1064">
        <v>646844.06000000006</v>
      </c>
      <c r="M351" s="1064">
        <v>2265870.08</v>
      </c>
      <c r="N351" s="1064">
        <v>1111609.3999999999</v>
      </c>
      <c r="O351" s="1064">
        <v>1062.4000000000001</v>
      </c>
      <c r="P351" s="1064">
        <v>236</v>
      </c>
      <c r="X351" s="50"/>
      <c r="Y351" s="50"/>
      <c r="Z351" s="50"/>
      <c r="AA351" s="171"/>
    </row>
    <row r="352" spans="3:27" s="230" customFormat="1" hidden="1">
      <c r="C352" s="996"/>
      <c r="D352" s="173" t="str">
        <f>IF(Indice_index!$Z$1=1,"junho","June")</f>
        <v>junho</v>
      </c>
      <c r="E352" s="1063">
        <v>1220</v>
      </c>
      <c r="F352" s="1063">
        <v>183</v>
      </c>
      <c r="G352" s="1063">
        <v>728</v>
      </c>
      <c r="H352" s="1063">
        <v>2131</v>
      </c>
      <c r="I352" s="1063">
        <v>953</v>
      </c>
      <c r="J352" s="1064">
        <v>1122638.95</v>
      </c>
      <c r="K352" s="1064">
        <v>154324.73000000001</v>
      </c>
      <c r="L352" s="1064">
        <v>340523.99</v>
      </c>
      <c r="M352" s="1064">
        <v>1617487.67</v>
      </c>
      <c r="N352" s="1064">
        <v>979034.81</v>
      </c>
      <c r="O352" s="1064">
        <v>910.2</v>
      </c>
      <c r="P352" s="1064">
        <v>467.8</v>
      </c>
      <c r="X352" s="50"/>
      <c r="Y352" s="50"/>
      <c r="Z352" s="50"/>
      <c r="AA352" s="171"/>
    </row>
    <row r="353" spans="3:27" s="230" customFormat="1" hidden="1">
      <c r="C353" s="996"/>
      <c r="D353" s="173" t="str">
        <f>IF(Indice_index!$Z$1=1,"julho","July")</f>
        <v>julho</v>
      </c>
      <c r="E353" s="1063">
        <v>665</v>
      </c>
      <c r="F353" s="1063">
        <v>150</v>
      </c>
      <c r="G353" s="1063">
        <v>802</v>
      </c>
      <c r="H353" s="1063">
        <v>1617</v>
      </c>
      <c r="I353" s="1063">
        <v>946</v>
      </c>
      <c r="J353" s="1064">
        <v>799815.27</v>
      </c>
      <c r="K353" s="1064">
        <v>164683.47</v>
      </c>
      <c r="L353" s="1064">
        <v>381132.69</v>
      </c>
      <c r="M353" s="1064">
        <v>1345631.43</v>
      </c>
      <c r="N353" s="1064">
        <v>982409.2</v>
      </c>
      <c r="O353" s="1064">
        <v>1183.4000000000001</v>
      </c>
      <c r="P353" s="1064">
        <v>475.2</v>
      </c>
      <c r="X353" s="50"/>
      <c r="Y353" s="50"/>
      <c r="Z353" s="50"/>
      <c r="AA353" s="171"/>
    </row>
    <row r="354" spans="3:27" s="230" customFormat="1" hidden="1">
      <c r="C354" s="996"/>
      <c r="D354" s="173" t="str">
        <f>IF(Indice_index!$Z$1=1,"agosto","August")</f>
        <v>agosto</v>
      </c>
      <c r="E354" s="1063">
        <v>1267</v>
      </c>
      <c r="F354" s="1063">
        <v>180</v>
      </c>
      <c r="G354" s="1063">
        <v>763</v>
      </c>
      <c r="H354" s="1063">
        <v>2210</v>
      </c>
      <c r="I354" s="1063">
        <v>983</v>
      </c>
      <c r="J354" s="1064">
        <v>729279.21</v>
      </c>
      <c r="K354" s="1064">
        <v>227538.68</v>
      </c>
      <c r="L354" s="1064">
        <v>369190.44</v>
      </c>
      <c r="M354" s="1064">
        <v>1326008.33</v>
      </c>
      <c r="N354" s="1064">
        <v>992158.48</v>
      </c>
      <c r="O354" s="1064">
        <v>661.2</v>
      </c>
      <c r="P354" s="1064">
        <v>483.9</v>
      </c>
      <c r="X354" s="50"/>
      <c r="Y354" s="50"/>
      <c r="Z354" s="50"/>
      <c r="AA354" s="171"/>
    </row>
    <row r="355" spans="3:27" s="230" customFormat="1" hidden="1">
      <c r="C355" s="996"/>
      <c r="D355" s="173" t="str">
        <f>IF(Indice_index!$Z$1=1,"setembro","September")</f>
        <v>setembro</v>
      </c>
      <c r="E355" s="1063">
        <v>967</v>
      </c>
      <c r="F355" s="1063">
        <v>184</v>
      </c>
      <c r="G355" s="1063">
        <v>748</v>
      </c>
      <c r="H355" s="1063">
        <v>1899</v>
      </c>
      <c r="I355" s="1063">
        <v>953</v>
      </c>
      <c r="J355" s="1064">
        <v>1047387.66</v>
      </c>
      <c r="K355" s="1064">
        <v>182236.75</v>
      </c>
      <c r="L355" s="1064">
        <v>397882.89</v>
      </c>
      <c r="M355" s="1064">
        <v>1627507.3000000003</v>
      </c>
      <c r="N355" s="1064">
        <v>1040644.97</v>
      </c>
      <c r="O355" s="1064">
        <v>1068.3</v>
      </c>
      <c r="P355" s="1064">
        <v>531.9</v>
      </c>
      <c r="X355" s="50"/>
      <c r="Y355" s="50"/>
      <c r="Z355" s="50"/>
      <c r="AA355" s="171"/>
    </row>
    <row r="356" spans="3:27" s="230" customFormat="1" hidden="1">
      <c r="C356" s="996"/>
      <c r="D356" s="173" t="str">
        <f>IF(Indice_index!$Z$1=1,"outubro","October")</f>
        <v>outubro</v>
      </c>
      <c r="E356" s="1063">
        <v>788</v>
      </c>
      <c r="F356" s="1063">
        <v>158</v>
      </c>
      <c r="G356" s="1063">
        <v>547</v>
      </c>
      <c r="H356" s="1063">
        <v>1493</v>
      </c>
      <c r="I356" s="1063">
        <v>909</v>
      </c>
      <c r="J356" s="1064">
        <v>718601.03</v>
      </c>
      <c r="K356" s="1064">
        <v>195071.44</v>
      </c>
      <c r="L356" s="1064">
        <v>275368.63</v>
      </c>
      <c r="M356" s="1064">
        <v>1189041.1000000001</v>
      </c>
      <c r="N356" s="1064">
        <v>914422.88</v>
      </c>
      <c r="O356" s="1064">
        <v>965.8</v>
      </c>
      <c r="P356" s="1064">
        <v>503.4</v>
      </c>
      <c r="X356" s="50"/>
      <c r="Y356" s="50"/>
      <c r="Z356" s="50"/>
      <c r="AA356" s="171"/>
    </row>
    <row r="357" spans="3:27" s="230" customFormat="1" hidden="1">
      <c r="C357" s="996"/>
      <c r="D357" s="173" t="str">
        <f>IF(Indice_index!$Z$1=1,"novembro","November")</f>
        <v>novembro</v>
      </c>
      <c r="E357" s="1063">
        <v>646</v>
      </c>
      <c r="F357" s="1063">
        <v>82</v>
      </c>
      <c r="G357" s="1063">
        <v>767</v>
      </c>
      <c r="H357" s="1063">
        <v>1495</v>
      </c>
      <c r="I357" s="1063">
        <v>974</v>
      </c>
      <c r="J357" s="1064">
        <v>678062.34</v>
      </c>
      <c r="K357" s="1064">
        <v>78490.509999999995</v>
      </c>
      <c r="L357" s="1064">
        <v>407768.24</v>
      </c>
      <c r="M357" s="1064">
        <v>1164321.0900000001</v>
      </c>
      <c r="N357" s="1064">
        <v>1016231.87</v>
      </c>
      <c r="O357" s="1064">
        <v>1039.2</v>
      </c>
      <c r="P357" s="1064">
        <v>531.6</v>
      </c>
      <c r="X357" s="50"/>
      <c r="Y357" s="50"/>
      <c r="Z357" s="50"/>
      <c r="AA357" s="171"/>
    </row>
    <row r="358" spans="3:27" s="230" customFormat="1" hidden="1">
      <c r="C358" s="996"/>
      <c r="D358" s="173" t="str">
        <f>IF(Indice_index!$Z$1=1,"dezembro","December")</f>
        <v>dezembro</v>
      </c>
      <c r="E358" s="1063">
        <v>647</v>
      </c>
      <c r="F358" s="1063">
        <v>185</v>
      </c>
      <c r="G358" s="1063">
        <v>719</v>
      </c>
      <c r="H358" s="1063">
        <v>1551</v>
      </c>
      <c r="I358" s="1063">
        <v>935</v>
      </c>
      <c r="J358" s="1064">
        <v>645465.87</v>
      </c>
      <c r="K358" s="1064">
        <v>219634.42</v>
      </c>
      <c r="L358" s="1064">
        <v>340514.09</v>
      </c>
      <c r="M358" s="1064">
        <v>1205614.3799999999</v>
      </c>
      <c r="N358" s="1064">
        <v>983801.21</v>
      </c>
      <c r="O358" s="1064">
        <v>1039.8</v>
      </c>
      <c r="P358" s="1064">
        <v>473.6</v>
      </c>
      <c r="X358" s="50"/>
      <c r="Y358" s="50"/>
      <c r="Z358" s="50"/>
      <c r="AA358" s="171"/>
    </row>
    <row r="359" spans="3:27" s="230" customFormat="1" hidden="1">
      <c r="C359" s="298">
        <v>2016</v>
      </c>
      <c r="D359" s="172"/>
      <c r="E359" s="1063"/>
      <c r="F359" s="1063"/>
      <c r="G359" s="1063"/>
      <c r="H359" s="1063"/>
      <c r="I359" s="1063"/>
      <c r="J359" s="1064"/>
      <c r="K359" s="1064"/>
      <c r="L359" s="1064"/>
      <c r="M359" s="1064"/>
      <c r="N359" s="1064"/>
      <c r="O359" s="1064"/>
      <c r="P359" s="1064"/>
      <c r="X359" s="50"/>
      <c r="Y359" s="50"/>
      <c r="Z359" s="50"/>
      <c r="AA359" s="171"/>
    </row>
    <row r="360" spans="3:27" s="230" customFormat="1" hidden="1">
      <c r="C360" s="996"/>
      <c r="D360" s="173" t="str">
        <f>IF(Indice_index!$Z$1=1,"janeiro","January")</f>
        <v>janeiro</v>
      </c>
      <c r="E360" s="1063">
        <v>581</v>
      </c>
      <c r="F360" s="1063">
        <v>114</v>
      </c>
      <c r="G360" s="1063">
        <v>551</v>
      </c>
      <c r="H360" s="1063">
        <v>1246</v>
      </c>
      <c r="I360" s="1063">
        <v>898</v>
      </c>
      <c r="J360" s="1064">
        <v>556067.03</v>
      </c>
      <c r="K360" s="1064">
        <v>121174.09</v>
      </c>
      <c r="L360" s="1064">
        <v>286234.01</v>
      </c>
      <c r="M360" s="1064">
        <v>963475.13</v>
      </c>
      <c r="N360" s="1064">
        <v>965165.38</v>
      </c>
      <c r="O360" s="1064">
        <v>974.4</v>
      </c>
      <c r="P360" s="1064">
        <v>519.5</v>
      </c>
      <c r="X360" s="50"/>
      <c r="Y360" s="50"/>
      <c r="Z360" s="50"/>
      <c r="AA360" s="171"/>
    </row>
    <row r="361" spans="3:27" s="230" customFormat="1" hidden="1">
      <c r="C361" s="996"/>
      <c r="D361" s="173" t="str">
        <f>IF(Indice_index!$Z$1=1,"fevereiro","February")</f>
        <v>fevereiro</v>
      </c>
      <c r="E361" s="1063">
        <v>608</v>
      </c>
      <c r="F361" s="1063">
        <v>81</v>
      </c>
      <c r="G361" s="1063">
        <v>608</v>
      </c>
      <c r="H361" s="1063">
        <v>1297</v>
      </c>
      <c r="I361" s="1063">
        <v>1117</v>
      </c>
      <c r="J361" s="1064">
        <v>577088.16</v>
      </c>
      <c r="K361" s="1064">
        <v>93877.26</v>
      </c>
      <c r="L361" s="1064">
        <v>298416.71999999997</v>
      </c>
      <c r="M361" s="1064">
        <v>969381.14</v>
      </c>
      <c r="N361" s="1064">
        <v>1166900.32</v>
      </c>
      <c r="O361" s="1064">
        <v>973.8</v>
      </c>
      <c r="P361" s="1064">
        <v>490.8</v>
      </c>
      <c r="X361" s="50"/>
      <c r="Y361" s="50"/>
      <c r="Z361" s="50"/>
      <c r="AA361" s="171"/>
    </row>
    <row r="362" spans="3:27" s="230" customFormat="1" hidden="1">
      <c r="C362" s="996"/>
      <c r="D362" s="173" t="str">
        <f>IF(Indice_index!$Z$1=1,"março","March")</f>
        <v>março</v>
      </c>
      <c r="E362" s="1063">
        <v>743</v>
      </c>
      <c r="F362" s="1063">
        <v>142</v>
      </c>
      <c r="G362" s="1063">
        <v>663</v>
      </c>
      <c r="H362" s="1063">
        <v>1548</v>
      </c>
      <c r="I362" s="1063">
        <v>1172</v>
      </c>
      <c r="J362" s="1064">
        <v>757732.41</v>
      </c>
      <c r="K362" s="1064">
        <v>164022.62</v>
      </c>
      <c r="L362" s="1064">
        <v>348417.45</v>
      </c>
      <c r="M362" s="1064">
        <v>1270172.48</v>
      </c>
      <c r="N362" s="1064">
        <v>1212648.3999999999</v>
      </c>
      <c r="O362" s="1064">
        <v>1041.5</v>
      </c>
      <c r="P362" s="1064">
        <v>525.5</v>
      </c>
      <c r="X362" s="50"/>
      <c r="Y362" s="50"/>
      <c r="Z362" s="50"/>
      <c r="AA362" s="171"/>
    </row>
    <row r="363" spans="3:27" s="230" customFormat="1" hidden="1">
      <c r="C363" s="996"/>
      <c r="D363" s="173" t="str">
        <f>IF(Indice_index!$Z$1=1,"abril","April")</f>
        <v>abril</v>
      </c>
      <c r="E363" s="1063">
        <v>796</v>
      </c>
      <c r="F363" s="1063">
        <v>145</v>
      </c>
      <c r="G363" s="1063">
        <v>810</v>
      </c>
      <c r="H363" s="1063">
        <v>1751</v>
      </c>
      <c r="I363" s="1063">
        <v>1163</v>
      </c>
      <c r="J363" s="1064">
        <v>709955.13</v>
      </c>
      <c r="K363" s="1064">
        <v>144923.67000000001</v>
      </c>
      <c r="L363" s="1064">
        <v>423348.57</v>
      </c>
      <c r="M363" s="1064">
        <v>1278227.3700000001</v>
      </c>
      <c r="N363" s="1064">
        <v>1280346.29</v>
      </c>
      <c r="O363" s="1064">
        <v>908.4</v>
      </c>
      <c r="P363" s="1064">
        <v>522.70000000000005</v>
      </c>
      <c r="X363" s="50"/>
      <c r="Y363" s="50"/>
      <c r="Z363" s="50"/>
      <c r="AA363" s="171"/>
    </row>
    <row r="364" spans="3:27" s="230" customFormat="1" hidden="1">
      <c r="C364" s="996"/>
      <c r="D364" s="173" t="str">
        <f>IF(Indice_index!$Z$1=1,"maio","May")</f>
        <v>maio</v>
      </c>
      <c r="E364" s="1063">
        <v>540</v>
      </c>
      <c r="F364" s="1063">
        <v>127</v>
      </c>
      <c r="G364" s="1063">
        <v>707</v>
      </c>
      <c r="H364" s="1063">
        <v>1374</v>
      </c>
      <c r="I364" s="1063">
        <v>1143</v>
      </c>
      <c r="J364" s="1064">
        <v>447117.33</v>
      </c>
      <c r="K364" s="1064">
        <v>130857.16</v>
      </c>
      <c r="L364" s="1064">
        <v>347806.21</v>
      </c>
      <c r="M364" s="1064">
        <v>925780.7</v>
      </c>
      <c r="N364" s="1064">
        <v>1225053.6299999999</v>
      </c>
      <c r="O364" s="1064">
        <v>866.5</v>
      </c>
      <c r="P364" s="1064">
        <v>491.9</v>
      </c>
      <c r="X364" s="50"/>
      <c r="Y364" s="50"/>
      <c r="Z364" s="50"/>
      <c r="AA364" s="171"/>
    </row>
    <row r="365" spans="3:27" s="230" customFormat="1" hidden="1">
      <c r="C365" s="996"/>
      <c r="D365" s="173" t="str">
        <f>IF(Indice_index!$Z$1=1,"junho","June")</f>
        <v>junho</v>
      </c>
      <c r="E365" s="1063">
        <v>602</v>
      </c>
      <c r="F365" s="1063">
        <v>151</v>
      </c>
      <c r="G365" s="1063">
        <v>906</v>
      </c>
      <c r="H365" s="1065">
        <v>1659</v>
      </c>
      <c r="I365" s="1063">
        <v>1092</v>
      </c>
      <c r="J365" s="1064">
        <v>463727.65</v>
      </c>
      <c r="K365" s="1064">
        <v>137148.81</v>
      </c>
      <c r="L365" s="1064">
        <v>458482.88</v>
      </c>
      <c r="M365" s="1066">
        <v>1059359.3400000001</v>
      </c>
      <c r="N365" s="1064">
        <v>1125006.02</v>
      </c>
      <c r="O365" s="230">
        <v>798</v>
      </c>
      <c r="P365" s="230">
        <v>506.1</v>
      </c>
      <c r="X365" s="50"/>
      <c r="Y365" s="50"/>
      <c r="Z365" s="50"/>
      <c r="AA365" s="171"/>
    </row>
    <row r="366" spans="3:27" s="230" customFormat="1" hidden="1">
      <c r="C366" s="996"/>
      <c r="D366" s="173" t="str">
        <f>IF(Indice_index!$Z$1=1,"julho","July")</f>
        <v>julho</v>
      </c>
      <c r="E366" s="1063">
        <v>489</v>
      </c>
      <c r="F366" s="1063">
        <v>172</v>
      </c>
      <c r="G366" s="1063">
        <v>633</v>
      </c>
      <c r="H366" s="1065">
        <v>1294</v>
      </c>
      <c r="I366" s="1063">
        <v>957</v>
      </c>
      <c r="J366" s="1064">
        <v>416511.64</v>
      </c>
      <c r="K366" s="1064">
        <v>160737.88</v>
      </c>
      <c r="L366" s="1064">
        <v>316744.83</v>
      </c>
      <c r="M366" s="1066">
        <v>893994.35</v>
      </c>
      <c r="N366" s="1064">
        <v>1020151.33</v>
      </c>
      <c r="O366" s="230">
        <v>873.3</v>
      </c>
      <c r="P366" s="230">
        <v>500.4</v>
      </c>
      <c r="X366" s="50"/>
      <c r="Y366" s="50"/>
      <c r="Z366" s="50"/>
      <c r="AA366" s="171"/>
    </row>
    <row r="367" spans="3:27" s="230" customFormat="1" hidden="1">
      <c r="C367" s="996"/>
      <c r="D367" s="173" t="str">
        <f>IF(Indice_index!$Z$1=1,"agosto","August")</f>
        <v>agosto</v>
      </c>
      <c r="E367" s="1063">
        <v>503</v>
      </c>
      <c r="F367" s="1063">
        <v>167</v>
      </c>
      <c r="G367" s="1063">
        <v>559</v>
      </c>
      <c r="H367" s="1065">
        <v>1229</v>
      </c>
      <c r="I367" s="1063">
        <v>911</v>
      </c>
      <c r="J367" s="1064">
        <v>441955.65</v>
      </c>
      <c r="K367" s="1064">
        <v>168720.69</v>
      </c>
      <c r="L367" s="1064">
        <v>270402.07</v>
      </c>
      <c r="M367" s="1066">
        <v>881078.41000000015</v>
      </c>
      <c r="N367" s="1064">
        <v>989137.72</v>
      </c>
      <c r="O367" s="230">
        <v>911.5</v>
      </c>
      <c r="P367" s="230">
        <v>483.7</v>
      </c>
      <c r="X367" s="50"/>
      <c r="Y367" s="50"/>
      <c r="Z367" s="50"/>
      <c r="AA367" s="171"/>
    </row>
    <row r="368" spans="3:27" s="230" customFormat="1" hidden="1">
      <c r="C368" s="996"/>
      <c r="D368" s="173" t="str">
        <f>IF(Indice_index!$Z$1=1,"setembro","September")</f>
        <v>setembro</v>
      </c>
      <c r="E368" s="1063">
        <v>561</v>
      </c>
      <c r="F368" s="1063">
        <v>197</v>
      </c>
      <c r="G368" s="1063">
        <v>647</v>
      </c>
      <c r="H368" s="1065">
        <v>1405</v>
      </c>
      <c r="I368" s="1063">
        <v>966</v>
      </c>
      <c r="J368" s="1064">
        <v>590543.46</v>
      </c>
      <c r="K368" s="1064">
        <v>187237.62</v>
      </c>
      <c r="L368" s="1064">
        <v>341862.92</v>
      </c>
      <c r="M368" s="1066">
        <v>1119644</v>
      </c>
      <c r="N368" s="1064">
        <v>1028801.2</v>
      </c>
      <c r="O368" s="230">
        <v>1026.0999999999999</v>
      </c>
      <c r="P368" s="230">
        <v>528.4</v>
      </c>
      <c r="X368" s="50"/>
      <c r="Y368" s="50"/>
      <c r="Z368" s="50"/>
      <c r="AA368" s="171"/>
    </row>
    <row r="369" spans="3:29" s="230" customFormat="1" hidden="1">
      <c r="C369" s="996"/>
      <c r="D369" s="173" t="str">
        <f>IF(Indice_index!$Z$1=1,"outubro","October")</f>
        <v>outubro</v>
      </c>
      <c r="E369" s="1063">
        <v>523</v>
      </c>
      <c r="F369" s="1063">
        <v>146</v>
      </c>
      <c r="G369" s="1063">
        <v>491</v>
      </c>
      <c r="H369" s="1065">
        <v>1160</v>
      </c>
      <c r="I369" s="1063">
        <v>1004</v>
      </c>
      <c r="J369" s="1064">
        <v>481812.93</v>
      </c>
      <c r="K369" s="1064">
        <v>139106.82</v>
      </c>
      <c r="L369" s="1064">
        <v>246229.43</v>
      </c>
      <c r="M369" s="1066">
        <v>867149.18</v>
      </c>
      <c r="N369" s="1064">
        <v>1043795.75</v>
      </c>
      <c r="O369" s="230">
        <v>928.1</v>
      </c>
      <c r="P369" s="230">
        <v>501.5</v>
      </c>
      <c r="X369" s="50"/>
      <c r="Y369" s="50"/>
      <c r="Z369" s="50"/>
      <c r="AA369" s="171"/>
    </row>
    <row r="370" spans="3:29" s="230" customFormat="1" hidden="1">
      <c r="C370" s="996"/>
      <c r="D370" s="173" t="str">
        <f>IF(Indice_index!$Z$1=1,"novembro","November")</f>
        <v>novembro</v>
      </c>
      <c r="E370" s="1063">
        <v>450</v>
      </c>
      <c r="F370" s="1063">
        <v>80</v>
      </c>
      <c r="G370" s="1063">
        <v>774</v>
      </c>
      <c r="H370" s="1065">
        <v>1304</v>
      </c>
      <c r="I370" s="1063">
        <v>946</v>
      </c>
      <c r="J370" s="1064">
        <v>408562.65</v>
      </c>
      <c r="K370" s="1064">
        <v>72794.44</v>
      </c>
      <c r="L370" s="1064">
        <v>390158.55</v>
      </c>
      <c r="M370" s="1066">
        <v>871515.61</v>
      </c>
      <c r="N370" s="1064">
        <v>977121.49</v>
      </c>
      <c r="O370" s="230">
        <v>908.2</v>
      </c>
      <c r="P370" s="230">
        <v>504.1</v>
      </c>
      <c r="X370" s="50"/>
      <c r="Y370" s="50"/>
      <c r="Z370" s="50"/>
      <c r="AA370" s="171"/>
    </row>
    <row r="371" spans="3:29" s="230" customFormat="1" hidden="1">
      <c r="C371" s="996"/>
      <c r="D371" s="173" t="str">
        <f>IF(Indice_index!$Z$1=1,"dezembro","December")</f>
        <v>dezembro</v>
      </c>
      <c r="E371" s="1063">
        <v>634</v>
      </c>
      <c r="F371" s="1063">
        <v>175</v>
      </c>
      <c r="G371" s="1063">
        <v>650</v>
      </c>
      <c r="H371" s="1065">
        <v>1459</v>
      </c>
      <c r="I371" s="1063">
        <v>1013</v>
      </c>
      <c r="J371" s="1064">
        <v>637254.05000000005</v>
      </c>
      <c r="K371" s="1064">
        <v>156384.87</v>
      </c>
      <c r="L371" s="1064">
        <v>321538.2</v>
      </c>
      <c r="M371" s="1066">
        <v>1115177.1200000001</v>
      </c>
      <c r="N371" s="1064">
        <v>1087068.3899999999</v>
      </c>
      <c r="O371" s="230">
        <v>981</v>
      </c>
      <c r="P371" s="230">
        <v>494.7</v>
      </c>
      <c r="X371" s="50"/>
      <c r="Y371" s="50"/>
      <c r="Z371" s="50"/>
      <c r="AA371" s="171"/>
    </row>
    <row r="372" spans="3:29" s="230" customFormat="1" hidden="1">
      <c r="C372" s="298">
        <v>2017</v>
      </c>
      <c r="D372" s="172"/>
      <c r="E372" s="1063"/>
      <c r="F372" s="1063"/>
      <c r="G372" s="1063"/>
      <c r="H372" s="1063"/>
      <c r="I372" s="1063"/>
      <c r="J372" s="1064"/>
      <c r="K372" s="1064"/>
      <c r="L372" s="1064"/>
      <c r="M372" s="1064"/>
      <c r="N372" s="1064"/>
      <c r="O372" s="1064"/>
      <c r="P372" s="1064"/>
      <c r="X372" s="50"/>
      <c r="Y372" s="50"/>
      <c r="Z372" s="50"/>
      <c r="AA372" s="171"/>
    </row>
    <row r="373" spans="3:29" s="172" customFormat="1" ht="11.25" hidden="1">
      <c r="C373" s="1067"/>
      <c r="D373" s="173" t="str">
        <f>IF(Indice_index!$Z$1=1,"janeiro","January")</f>
        <v>janeiro</v>
      </c>
      <c r="E373" s="1063">
        <v>786</v>
      </c>
      <c r="F373" s="1063">
        <v>140</v>
      </c>
      <c r="G373" s="1063">
        <v>593</v>
      </c>
      <c r="H373" s="1063">
        <v>1519</v>
      </c>
      <c r="I373" s="1063">
        <v>977</v>
      </c>
      <c r="J373" s="1064">
        <v>578370.84</v>
      </c>
      <c r="K373" s="1064">
        <v>138294.88</v>
      </c>
      <c r="L373" s="1064">
        <v>296116.46999999997</v>
      </c>
      <c r="M373" s="1064">
        <v>1012782.19</v>
      </c>
      <c r="N373" s="1064">
        <v>1011409.09</v>
      </c>
      <c r="O373" s="1064">
        <v>773.9</v>
      </c>
      <c r="P373" s="1064">
        <v>499.4</v>
      </c>
      <c r="R373" s="230"/>
      <c r="S373" s="230"/>
      <c r="T373" s="230"/>
      <c r="U373" s="230"/>
      <c r="V373" s="230"/>
      <c r="W373" s="230"/>
      <c r="X373" s="230"/>
      <c r="Y373" s="230"/>
      <c r="Z373" s="230"/>
      <c r="AA373" s="230"/>
      <c r="AB373" s="230"/>
      <c r="AC373" s="230"/>
    </row>
    <row r="374" spans="3:29" s="172" customFormat="1" ht="11.25" hidden="1">
      <c r="C374" s="1067"/>
      <c r="D374" s="173" t="str">
        <f>IF(Indice_index!$Z$1=1,"fevereiro","February")</f>
        <v>fevereiro</v>
      </c>
      <c r="E374" s="1063">
        <v>573</v>
      </c>
      <c r="F374" s="1063">
        <v>127</v>
      </c>
      <c r="G374" s="1063">
        <v>756</v>
      </c>
      <c r="H374" s="1063">
        <v>1456</v>
      </c>
      <c r="I374" s="1063">
        <v>1520</v>
      </c>
      <c r="J374" s="1064">
        <v>582431.9</v>
      </c>
      <c r="K374" s="1064">
        <v>128892.18</v>
      </c>
      <c r="L374" s="1064">
        <v>394383.93</v>
      </c>
      <c r="M374" s="1064">
        <v>1105708.01</v>
      </c>
      <c r="N374" s="1064">
        <v>1609971.21</v>
      </c>
      <c r="O374" s="1064">
        <v>1016.2</v>
      </c>
      <c r="P374" s="1064">
        <v>521.70000000000005</v>
      </c>
      <c r="R374" s="230"/>
      <c r="S374" s="230"/>
      <c r="T374" s="230"/>
      <c r="U374" s="230"/>
      <c r="V374" s="230"/>
      <c r="W374" s="230"/>
      <c r="X374" s="230"/>
      <c r="Y374" s="230"/>
      <c r="Z374" s="230"/>
      <c r="AA374" s="230"/>
      <c r="AB374" s="230"/>
      <c r="AC374" s="230"/>
    </row>
    <row r="375" spans="3:29" s="230" customFormat="1" ht="11.25" hidden="1">
      <c r="C375" s="298"/>
      <c r="D375" s="173" t="str">
        <f>IF(Indice_index!$Z$1=1,"março","March")</f>
        <v>março</v>
      </c>
      <c r="E375" s="1063">
        <v>374</v>
      </c>
      <c r="F375" s="1063">
        <v>148</v>
      </c>
      <c r="G375" s="1063">
        <v>899</v>
      </c>
      <c r="H375" s="1063">
        <v>1421</v>
      </c>
      <c r="I375" s="1063">
        <v>1377</v>
      </c>
      <c r="J375" s="1064">
        <v>394397.49</v>
      </c>
      <c r="K375" s="1064">
        <v>160746.25</v>
      </c>
      <c r="L375" s="1064">
        <v>461100.92</v>
      </c>
      <c r="M375" s="1064">
        <v>1016244.66</v>
      </c>
      <c r="N375" s="1064">
        <v>1410294.92</v>
      </c>
      <c r="O375" s="1064">
        <v>1063.5</v>
      </c>
      <c r="P375" s="1064">
        <v>512.9</v>
      </c>
    </row>
    <row r="376" spans="3:29" s="230" customFormat="1" ht="11.25" hidden="1">
      <c r="C376" s="298"/>
      <c r="D376" s="173" t="str">
        <f>IF(Indice_index!$Z$1=1,"abril","April")</f>
        <v>abril</v>
      </c>
      <c r="E376" s="1063">
        <v>541</v>
      </c>
      <c r="F376" s="1063">
        <v>157</v>
      </c>
      <c r="G376" s="1063">
        <v>820</v>
      </c>
      <c r="H376" s="1063">
        <v>1518</v>
      </c>
      <c r="I376" s="1063">
        <v>1227</v>
      </c>
      <c r="J376" s="1064">
        <v>649425</v>
      </c>
      <c r="K376" s="1064">
        <v>142514.06</v>
      </c>
      <c r="L376" s="1064">
        <v>435970.18</v>
      </c>
      <c r="M376" s="1064">
        <v>1227909.24</v>
      </c>
      <c r="N376" s="1064">
        <v>1306714.6399999999</v>
      </c>
      <c r="O376" s="1064">
        <v>1134.5999999999999</v>
      </c>
      <c r="P376" s="1064">
        <v>531.70000000000005</v>
      </c>
    </row>
    <row r="377" spans="3:29" s="230" customFormat="1" ht="12.75" hidden="1" customHeight="1">
      <c r="C377" s="298"/>
      <c r="D377" s="173" t="str">
        <f>IF(Indice_index!$Z$1=1,"maio","May")</f>
        <v>maio</v>
      </c>
      <c r="E377" s="1063">
        <v>787</v>
      </c>
      <c r="F377" s="1063">
        <v>137</v>
      </c>
      <c r="G377" s="1063">
        <v>667</v>
      </c>
      <c r="H377" s="1063">
        <v>1591</v>
      </c>
      <c r="I377" s="1063">
        <v>965</v>
      </c>
      <c r="J377" s="1064">
        <v>1126009.55</v>
      </c>
      <c r="K377" s="1064">
        <v>142162</v>
      </c>
      <c r="L377" s="1064">
        <v>344238.68</v>
      </c>
      <c r="M377" s="1064">
        <v>1612410.23</v>
      </c>
      <c r="N377" s="1064">
        <v>1013052.58</v>
      </c>
      <c r="O377" s="1064">
        <v>1372.5</v>
      </c>
      <c r="P377" s="1064">
        <v>516.1</v>
      </c>
    </row>
    <row r="378" spans="3:29" s="230" customFormat="1" ht="12.75" hidden="1" customHeight="1">
      <c r="C378" s="298"/>
      <c r="D378" s="173" t="str">
        <f>IF(Indice_index!$Z$1=1,"junho","June")</f>
        <v>junho</v>
      </c>
      <c r="E378" s="1063">
        <v>1047</v>
      </c>
      <c r="F378" s="1063">
        <v>142</v>
      </c>
      <c r="G378" s="1063">
        <v>828</v>
      </c>
      <c r="H378" s="1063">
        <v>2017</v>
      </c>
      <c r="I378" s="1063">
        <v>1057</v>
      </c>
      <c r="J378" s="1064">
        <v>1177461.47</v>
      </c>
      <c r="K378" s="1064">
        <v>163205.15</v>
      </c>
      <c r="L378" s="1064">
        <v>427465.75</v>
      </c>
      <c r="M378" s="1064">
        <v>1768132.37</v>
      </c>
      <c r="N378" s="1064">
        <v>1121550.1299999999</v>
      </c>
      <c r="O378" s="1064">
        <v>1127.5999999999999</v>
      </c>
      <c r="P378" s="1064">
        <v>516.29999999999995</v>
      </c>
    </row>
    <row r="379" spans="3:29" s="230" customFormat="1" ht="12.75" hidden="1" customHeight="1">
      <c r="C379" s="298"/>
      <c r="D379" s="173" t="str">
        <f>IF(Indice_index!$Z$1=1,"julho","July")</f>
        <v>julho</v>
      </c>
      <c r="E379" s="1063">
        <v>1387</v>
      </c>
      <c r="F379" s="1063">
        <v>166</v>
      </c>
      <c r="G379" s="1063">
        <v>557</v>
      </c>
      <c r="H379" s="1063">
        <v>2110</v>
      </c>
      <c r="I379" s="1063">
        <v>988</v>
      </c>
      <c r="J379" s="1064">
        <v>1562695.69</v>
      </c>
      <c r="K379" s="1064">
        <v>159216.19</v>
      </c>
      <c r="L379" s="1064">
        <v>302530.78999999998</v>
      </c>
      <c r="M379" s="1064">
        <v>2024442.67</v>
      </c>
      <c r="N379" s="1064">
        <v>1023568.02</v>
      </c>
      <c r="O379" s="1064">
        <v>1108.8</v>
      </c>
      <c r="P379" s="1064">
        <v>543.1</v>
      </c>
    </row>
    <row r="380" spans="3:29" s="230" customFormat="1" ht="12.75" hidden="1" customHeight="1">
      <c r="C380" s="298"/>
      <c r="D380" s="173" t="str">
        <f>IF(Indice_index!$Z$1=1,"agosto","August")</f>
        <v>agosto</v>
      </c>
      <c r="E380" s="1063">
        <v>1277</v>
      </c>
      <c r="F380" s="1063">
        <v>113</v>
      </c>
      <c r="G380" s="1063">
        <v>567</v>
      </c>
      <c r="H380" s="1063">
        <v>1957</v>
      </c>
      <c r="I380" s="1063">
        <v>995</v>
      </c>
      <c r="J380" s="1064">
        <v>1333807.08</v>
      </c>
      <c r="K380" s="1064">
        <v>126989.99</v>
      </c>
      <c r="L380" s="1064">
        <v>297063.33</v>
      </c>
      <c r="M380" s="1064">
        <v>1757860.4</v>
      </c>
      <c r="N380" s="1064">
        <v>914810.8</v>
      </c>
      <c r="O380" s="1064">
        <v>1050.9000000000001</v>
      </c>
      <c r="P380" s="1064">
        <v>523.9</v>
      </c>
    </row>
    <row r="381" spans="3:29" s="230" customFormat="1" ht="12.75" hidden="1" customHeight="1">
      <c r="C381" s="298"/>
      <c r="D381" s="173" t="str">
        <f>IF(Indice_index!$Z$1=1,"setembro","September")</f>
        <v>setembro</v>
      </c>
      <c r="E381" s="1063">
        <v>935</v>
      </c>
      <c r="F381" s="1063">
        <v>180</v>
      </c>
      <c r="G381" s="1063">
        <v>648</v>
      </c>
      <c r="H381" s="1063">
        <v>1763</v>
      </c>
      <c r="I381" s="1063">
        <v>925</v>
      </c>
      <c r="J381" s="1064">
        <v>1395259.46</v>
      </c>
      <c r="K381" s="1064">
        <v>185588.5</v>
      </c>
      <c r="L381" s="1064">
        <v>325847.75</v>
      </c>
      <c r="M381" s="1064">
        <v>1906695.71</v>
      </c>
      <c r="N381" s="1064">
        <v>1001667.37</v>
      </c>
      <c r="O381" s="1064">
        <v>1417.8</v>
      </c>
      <c r="P381" s="1064">
        <v>502.9</v>
      </c>
    </row>
    <row r="382" spans="3:29" s="230" customFormat="1" ht="12.75" hidden="1" customHeight="1">
      <c r="C382" s="298"/>
      <c r="D382" s="173" t="str">
        <f>IF(Indice_index!$Z$1=1,"outubro","October")</f>
        <v>outubro</v>
      </c>
      <c r="E382" s="1063">
        <v>1011</v>
      </c>
      <c r="F382" s="1063">
        <v>67</v>
      </c>
      <c r="G382" s="1063">
        <v>4020</v>
      </c>
      <c r="H382" s="1063">
        <v>5098</v>
      </c>
      <c r="I382" s="1063">
        <v>941</v>
      </c>
      <c r="J382" s="1064">
        <v>1275119.77</v>
      </c>
      <c r="K382" s="1064">
        <v>80781.440000000002</v>
      </c>
      <c r="L382" s="1064">
        <v>886881.41</v>
      </c>
      <c r="M382" s="1064">
        <v>2242782.62</v>
      </c>
      <c r="N382" s="1064">
        <v>1009636.48</v>
      </c>
      <c r="O382" s="1064">
        <v>1257.8</v>
      </c>
      <c r="P382" s="1064">
        <v>220.6</v>
      </c>
    </row>
    <row r="383" spans="3:29" s="172" customFormat="1" ht="12.75" hidden="1" customHeight="1">
      <c r="C383" s="1067"/>
      <c r="D383" s="173" t="str">
        <f>IF(Indice_index!$Z$1=1,"novembro","November")</f>
        <v>novembro</v>
      </c>
      <c r="E383" s="1063">
        <v>1160</v>
      </c>
      <c r="F383" s="1063">
        <v>161</v>
      </c>
      <c r="G383" s="1063">
        <v>717</v>
      </c>
      <c r="H383" s="1063">
        <v>2038</v>
      </c>
      <c r="I383" s="1063">
        <v>979</v>
      </c>
      <c r="J383" s="1064">
        <v>1888615.66</v>
      </c>
      <c r="K383" s="1064">
        <v>155626.68</v>
      </c>
      <c r="L383" s="1064">
        <v>360787.04</v>
      </c>
      <c r="M383" s="1064">
        <v>2405029.38</v>
      </c>
      <c r="N383" s="1064">
        <v>1056929.01</v>
      </c>
      <c r="O383" s="1064">
        <v>1547.5</v>
      </c>
      <c r="P383" s="1064">
        <v>503.2</v>
      </c>
      <c r="R383" s="230"/>
      <c r="S383" s="230"/>
      <c r="T383" s="230"/>
      <c r="U383" s="230"/>
      <c r="V383" s="230"/>
      <c r="W383" s="230"/>
      <c r="X383" s="230"/>
      <c r="Y383" s="230"/>
      <c r="Z383" s="230"/>
      <c r="AA383" s="230"/>
      <c r="AB383" s="230"/>
      <c r="AC383" s="230"/>
    </row>
    <row r="384" spans="3:29" s="230" customFormat="1" ht="11.25" hidden="1">
      <c r="C384" s="996"/>
      <c r="D384" s="173" t="str">
        <f>IF(Indice_index!$Z$1=1,"dezembro","December")</f>
        <v>dezembro</v>
      </c>
      <c r="E384" s="1063">
        <v>698</v>
      </c>
      <c r="F384" s="1063">
        <v>184</v>
      </c>
      <c r="G384" s="1063">
        <v>851</v>
      </c>
      <c r="H384" s="1063">
        <v>1733</v>
      </c>
      <c r="I384" s="1063">
        <v>1084</v>
      </c>
      <c r="J384" s="1064">
        <v>798282.51</v>
      </c>
      <c r="K384" s="1064">
        <v>152255.45000000001</v>
      </c>
      <c r="L384" s="1064">
        <v>447597.94</v>
      </c>
      <c r="M384" s="1064">
        <v>1398135.9</v>
      </c>
      <c r="N384" s="1064">
        <v>1138241.57</v>
      </c>
      <c r="O384" s="1064">
        <v>1077.7</v>
      </c>
      <c r="P384" s="1064">
        <v>526</v>
      </c>
    </row>
    <row r="385" spans="3:29" s="230" customFormat="1" ht="15" hidden="1" customHeight="1">
      <c r="C385" s="298">
        <v>2018</v>
      </c>
      <c r="D385" s="172"/>
      <c r="E385" s="1063"/>
      <c r="F385" s="1063"/>
      <c r="G385" s="1063"/>
      <c r="H385" s="1063"/>
      <c r="I385" s="1063"/>
      <c r="J385" s="1064"/>
      <c r="K385" s="1064"/>
      <c r="L385" s="1064"/>
      <c r="M385" s="1064"/>
      <c r="N385" s="1064"/>
      <c r="O385" s="1064"/>
      <c r="P385" s="1064"/>
      <c r="X385" s="50"/>
      <c r="Y385" s="50"/>
      <c r="Z385" s="50"/>
      <c r="AA385" s="171"/>
    </row>
    <row r="386" spans="3:29" s="172" customFormat="1" ht="15" hidden="1" customHeight="1">
      <c r="C386" s="1067"/>
      <c r="D386" s="173" t="str">
        <f>IF(Indice_index!$Z$1=1,"janeiro","January")</f>
        <v>janeiro</v>
      </c>
      <c r="E386" s="171">
        <v>704</v>
      </c>
      <c r="F386" s="171">
        <v>125</v>
      </c>
      <c r="G386" s="171">
        <v>557</v>
      </c>
      <c r="H386" s="171">
        <v>1386</v>
      </c>
      <c r="I386" s="171">
        <v>982</v>
      </c>
      <c r="J386" s="230">
        <v>649244.81999999995</v>
      </c>
      <c r="K386" s="230">
        <v>118696.11</v>
      </c>
      <c r="L386" s="230">
        <v>289384.83</v>
      </c>
      <c r="M386" s="230">
        <v>1057325.76</v>
      </c>
      <c r="N386" s="230">
        <v>1016310.96</v>
      </c>
      <c r="O386" s="230">
        <v>926.3</v>
      </c>
      <c r="P386" s="230">
        <v>519.5</v>
      </c>
      <c r="R386" s="231"/>
      <c r="S386" s="231"/>
      <c r="T386" s="231"/>
      <c r="U386" s="231"/>
      <c r="V386" s="231"/>
      <c r="W386" s="231"/>
      <c r="X386" s="231"/>
      <c r="Y386" s="231"/>
      <c r="Z386" s="231"/>
      <c r="AA386" s="231"/>
      <c r="AB386" s="231"/>
      <c r="AC386" s="231"/>
    </row>
    <row r="387" spans="3:29" s="172" customFormat="1" ht="15" hidden="1" customHeight="1">
      <c r="C387" s="1067"/>
      <c r="D387" s="173" t="str">
        <f>IF(Indice_index!$Z$1=1,"fevereiro","February")</f>
        <v>fevereiro</v>
      </c>
      <c r="E387" s="171">
        <v>736</v>
      </c>
      <c r="F387" s="171">
        <v>82</v>
      </c>
      <c r="G387" s="171">
        <v>677</v>
      </c>
      <c r="H387" s="171">
        <v>1495</v>
      </c>
      <c r="I387" s="171">
        <v>1351</v>
      </c>
      <c r="J387" s="230">
        <v>984989.74</v>
      </c>
      <c r="K387" s="230">
        <v>91052.5</v>
      </c>
      <c r="L387" s="230">
        <v>356073.66</v>
      </c>
      <c r="M387" s="230">
        <v>1432115.9</v>
      </c>
      <c r="N387" s="230">
        <v>1446462.79</v>
      </c>
      <c r="O387" s="230">
        <v>1315.5</v>
      </c>
      <c r="P387" s="230">
        <v>526</v>
      </c>
      <c r="R387" s="231"/>
      <c r="S387" s="231"/>
      <c r="T387" s="231"/>
      <c r="U387" s="231"/>
      <c r="V387" s="231"/>
      <c r="W387" s="231"/>
      <c r="X387" s="231"/>
      <c r="Y387" s="231"/>
      <c r="Z387" s="231"/>
      <c r="AA387" s="231"/>
      <c r="AB387" s="231"/>
      <c r="AC387" s="231"/>
    </row>
    <row r="388" spans="3:29" s="230" customFormat="1" ht="15" hidden="1" customHeight="1">
      <c r="C388" s="298"/>
      <c r="D388" s="173" t="str">
        <f>IF(Indice_index!$Z$1=1,"março","March")</f>
        <v>março</v>
      </c>
      <c r="E388" s="171">
        <v>671</v>
      </c>
      <c r="F388" s="171">
        <v>170</v>
      </c>
      <c r="G388" s="171">
        <v>607</v>
      </c>
      <c r="H388" s="171">
        <v>1448</v>
      </c>
      <c r="I388" s="171">
        <v>1314</v>
      </c>
      <c r="J388" s="230">
        <v>906528.91</v>
      </c>
      <c r="K388" s="230">
        <v>161943.29999999999</v>
      </c>
      <c r="L388" s="230">
        <v>334897.33</v>
      </c>
      <c r="M388" s="230">
        <v>1403369.54</v>
      </c>
      <c r="N388" s="230">
        <v>1384282.53</v>
      </c>
      <c r="O388" s="230">
        <v>1270.5</v>
      </c>
      <c r="P388" s="230">
        <v>551.70000000000005</v>
      </c>
      <c r="R388" s="231"/>
      <c r="S388" s="231"/>
      <c r="T388" s="231"/>
      <c r="U388" s="231"/>
      <c r="V388" s="231"/>
      <c r="W388" s="231"/>
      <c r="X388" s="231"/>
      <c r="Y388" s="231"/>
      <c r="Z388" s="231"/>
      <c r="AA388" s="231"/>
      <c r="AB388" s="231"/>
      <c r="AC388" s="231"/>
    </row>
    <row r="389" spans="3:29" s="230" customFormat="1" ht="15" hidden="1" customHeight="1">
      <c r="C389" s="298"/>
      <c r="D389" s="173" t="str">
        <f>IF(Indice_index!$Z$1=1,"abril","April")</f>
        <v>abril</v>
      </c>
      <c r="E389" s="171">
        <v>662</v>
      </c>
      <c r="F389" s="171">
        <v>121</v>
      </c>
      <c r="G389" s="171">
        <v>664</v>
      </c>
      <c r="H389" s="171">
        <v>1447</v>
      </c>
      <c r="I389" s="171">
        <v>1498</v>
      </c>
      <c r="J389" s="230">
        <v>880272.05</v>
      </c>
      <c r="K389" s="230">
        <v>130755.48</v>
      </c>
      <c r="L389" s="230">
        <v>334385.78000000003</v>
      </c>
      <c r="M389" s="230">
        <v>1345413.31</v>
      </c>
      <c r="N389" s="230">
        <v>1619775.04</v>
      </c>
      <c r="O389" s="230">
        <v>1291.2</v>
      </c>
      <c r="P389" s="230">
        <v>503.6</v>
      </c>
      <c r="R389" s="231"/>
      <c r="S389" s="231"/>
      <c r="T389" s="231"/>
      <c r="U389" s="231"/>
      <c r="V389" s="231"/>
      <c r="W389" s="231"/>
      <c r="X389" s="231"/>
      <c r="Y389" s="231"/>
      <c r="Z389" s="231"/>
      <c r="AA389" s="231"/>
      <c r="AB389" s="231"/>
      <c r="AC389" s="231"/>
    </row>
    <row r="390" spans="3:29" s="230" customFormat="1" ht="15" hidden="1" customHeight="1">
      <c r="C390" s="298"/>
      <c r="D390" s="173" t="str">
        <f>IF(Indice_index!$Z$1=1,"maio","May")</f>
        <v>maio</v>
      </c>
      <c r="E390" s="171">
        <v>960</v>
      </c>
      <c r="F390" s="171">
        <v>137</v>
      </c>
      <c r="G390" s="171">
        <v>652</v>
      </c>
      <c r="H390" s="171">
        <v>1749</v>
      </c>
      <c r="I390" s="171">
        <v>995</v>
      </c>
      <c r="J390" s="230">
        <v>1360647.94</v>
      </c>
      <c r="K390" s="230">
        <v>138764.43</v>
      </c>
      <c r="L390" s="230">
        <v>364375</v>
      </c>
      <c r="M390" s="230">
        <v>1863787.37</v>
      </c>
      <c r="N390" s="230">
        <v>1084089.8</v>
      </c>
      <c r="O390" s="230">
        <v>1366.8</v>
      </c>
      <c r="P390" s="230">
        <v>558.9</v>
      </c>
      <c r="R390" s="231"/>
      <c r="S390" s="231"/>
      <c r="T390" s="231"/>
      <c r="U390" s="231"/>
      <c r="V390" s="231"/>
      <c r="W390" s="231"/>
      <c r="X390" s="231"/>
      <c r="Y390" s="231"/>
      <c r="Z390" s="231"/>
      <c r="AA390" s="231"/>
      <c r="AB390" s="231"/>
      <c r="AC390" s="231"/>
    </row>
    <row r="391" spans="3:29" s="230" customFormat="1" ht="15" hidden="1" customHeight="1">
      <c r="C391" s="298"/>
      <c r="D391" s="173" t="str">
        <f>IF(Indice_index!$Z$1=1,"junho","June")</f>
        <v>junho</v>
      </c>
      <c r="E391" s="171">
        <v>719</v>
      </c>
      <c r="F391" s="171">
        <v>122</v>
      </c>
      <c r="G391" s="171">
        <v>607</v>
      </c>
      <c r="H391" s="171">
        <v>1448</v>
      </c>
      <c r="I391" s="171">
        <v>1188</v>
      </c>
      <c r="J391" s="230">
        <v>1057409.9099999999</v>
      </c>
      <c r="K391" s="230">
        <v>111931.88</v>
      </c>
      <c r="L391" s="230">
        <v>329419.95</v>
      </c>
      <c r="M391" s="230">
        <v>1498761.74</v>
      </c>
      <c r="N391" s="230">
        <v>1318705.6299999999</v>
      </c>
      <c r="O391" s="230">
        <v>1390.4</v>
      </c>
      <c r="P391" s="230">
        <v>542.70000000000005</v>
      </c>
      <c r="R391" s="231"/>
      <c r="S391" s="231"/>
      <c r="T391" s="231"/>
      <c r="U391" s="231"/>
      <c r="V391" s="231"/>
      <c r="W391" s="231"/>
      <c r="X391" s="231"/>
      <c r="Y391" s="231"/>
      <c r="Z391" s="231"/>
      <c r="AA391" s="231"/>
      <c r="AB391" s="231"/>
      <c r="AC391" s="231"/>
    </row>
    <row r="392" spans="3:29" s="230" customFormat="1" ht="15" hidden="1" customHeight="1">
      <c r="C392" s="298"/>
      <c r="D392" s="173" t="str">
        <f>IF(Indice_index!$Z$1=1,"julho","July")</f>
        <v>julho</v>
      </c>
      <c r="E392" s="171">
        <v>693</v>
      </c>
      <c r="F392" s="171">
        <v>129</v>
      </c>
      <c r="G392" s="171">
        <v>701</v>
      </c>
      <c r="H392" s="171">
        <v>1523</v>
      </c>
      <c r="I392" s="171">
        <v>988</v>
      </c>
      <c r="J392" s="230">
        <v>919354.92</v>
      </c>
      <c r="K392" s="230">
        <v>121307.29</v>
      </c>
      <c r="L392" s="230">
        <v>370489.63</v>
      </c>
      <c r="M392" s="230">
        <v>1411151.84</v>
      </c>
      <c r="N392" s="230">
        <v>1101581.99</v>
      </c>
      <c r="O392" s="230">
        <v>1266</v>
      </c>
      <c r="P392" s="230">
        <v>528.5</v>
      </c>
      <c r="R392" s="231"/>
      <c r="S392" s="231"/>
      <c r="T392" s="231"/>
      <c r="U392" s="231"/>
      <c r="V392" s="231"/>
      <c r="W392" s="231"/>
      <c r="X392" s="231"/>
      <c r="Y392" s="231"/>
      <c r="Z392" s="231"/>
      <c r="AA392" s="231"/>
      <c r="AB392" s="231"/>
      <c r="AC392" s="231"/>
    </row>
    <row r="393" spans="3:29" s="230" customFormat="1" ht="15" hidden="1" customHeight="1">
      <c r="C393" s="298"/>
      <c r="D393" s="173" t="str">
        <f>IF(Indice_index!$Z$1=1,"agosto","August")</f>
        <v>agosto</v>
      </c>
      <c r="E393" s="1063">
        <v>808</v>
      </c>
      <c r="F393" s="1063">
        <v>99</v>
      </c>
      <c r="G393" s="1063">
        <v>576</v>
      </c>
      <c r="H393" s="1063">
        <v>1483</v>
      </c>
      <c r="I393" s="1063">
        <v>948</v>
      </c>
      <c r="J393" s="1064">
        <v>1121156.8400000001</v>
      </c>
      <c r="K393" s="1064">
        <v>125035.88</v>
      </c>
      <c r="L393" s="1064">
        <v>296873.08</v>
      </c>
      <c r="M393" s="1064">
        <v>1543065.8</v>
      </c>
      <c r="N393" s="1064">
        <v>997270.6</v>
      </c>
      <c r="O393" s="1064">
        <v>1374</v>
      </c>
      <c r="P393" s="1064">
        <v>515.4</v>
      </c>
      <c r="R393" s="231"/>
      <c r="S393" s="231"/>
      <c r="T393" s="231"/>
      <c r="U393" s="231"/>
      <c r="V393" s="231"/>
      <c r="W393" s="231"/>
      <c r="X393" s="231"/>
      <c r="Y393" s="231"/>
      <c r="Z393" s="231"/>
      <c r="AA393" s="231"/>
      <c r="AB393" s="231"/>
      <c r="AC393" s="231"/>
    </row>
    <row r="394" spans="3:29" s="230" customFormat="1" ht="15" hidden="1" customHeight="1">
      <c r="C394" s="298"/>
      <c r="D394" s="173" t="str">
        <f>IF(Indice_index!$Z$1=1,"setembro","September")</f>
        <v>setembro</v>
      </c>
      <c r="E394" s="1063">
        <v>898</v>
      </c>
      <c r="F394" s="1063">
        <v>139</v>
      </c>
      <c r="G394" s="1063">
        <v>635</v>
      </c>
      <c r="H394" s="1063">
        <v>1672</v>
      </c>
      <c r="I394" s="1063">
        <v>1000</v>
      </c>
      <c r="J394" s="1064">
        <v>1227038.67</v>
      </c>
      <c r="K394" s="1064">
        <v>134826.20000000001</v>
      </c>
      <c r="L394" s="1064">
        <v>335400.65999999997</v>
      </c>
      <c r="M394" s="1064">
        <v>1697265.53</v>
      </c>
      <c r="N394" s="1064">
        <v>1112186.8</v>
      </c>
      <c r="O394" s="1064">
        <v>1313.3</v>
      </c>
      <c r="P394" s="1064">
        <v>528.20000000000005</v>
      </c>
      <c r="R394" s="231"/>
      <c r="S394" s="231"/>
      <c r="T394" s="231"/>
      <c r="U394" s="231"/>
      <c r="V394" s="231"/>
      <c r="W394" s="231"/>
      <c r="X394" s="231"/>
      <c r="Y394" s="231"/>
      <c r="Z394" s="231"/>
      <c r="AA394" s="231"/>
      <c r="AB394" s="231"/>
      <c r="AC394" s="231"/>
    </row>
    <row r="395" spans="3:29" s="230" customFormat="1" ht="15" hidden="1" customHeight="1">
      <c r="C395" s="298"/>
      <c r="D395" s="173" t="str">
        <f>IF(Indice_index!$Z$1=1,"outubro","October")</f>
        <v>outubro</v>
      </c>
      <c r="E395" s="1063">
        <v>595</v>
      </c>
      <c r="F395" s="1063">
        <v>90</v>
      </c>
      <c r="G395" s="1063">
        <v>549</v>
      </c>
      <c r="H395" s="1063">
        <v>1234</v>
      </c>
      <c r="I395" s="1063">
        <v>1098</v>
      </c>
      <c r="J395" s="1064">
        <v>853401.65</v>
      </c>
      <c r="K395" s="1064">
        <v>109404.93</v>
      </c>
      <c r="L395" s="1064">
        <v>297062.19</v>
      </c>
      <c r="M395" s="1064">
        <v>1259868.77</v>
      </c>
      <c r="N395" s="1064">
        <v>1220062.75</v>
      </c>
      <c r="O395" s="1064">
        <v>1405.6</v>
      </c>
      <c r="P395" s="1064">
        <v>541.1</v>
      </c>
      <c r="R395" s="231"/>
      <c r="S395" s="231"/>
      <c r="T395" s="231"/>
      <c r="U395" s="231"/>
      <c r="V395" s="231"/>
      <c r="W395" s="231"/>
      <c r="X395" s="231"/>
      <c r="Y395" s="231"/>
      <c r="Z395" s="231"/>
      <c r="AA395" s="231"/>
      <c r="AB395" s="231"/>
      <c r="AC395" s="231"/>
    </row>
    <row r="396" spans="3:29" s="172" customFormat="1" ht="15" hidden="1" customHeight="1">
      <c r="C396" s="1067"/>
      <c r="D396" s="173" t="str">
        <f>IF(Indice_index!$Z$1=1,"novembro","November")</f>
        <v>novembro</v>
      </c>
      <c r="E396" s="1063">
        <v>721</v>
      </c>
      <c r="F396" s="1063">
        <v>134</v>
      </c>
      <c r="G396" s="1063">
        <v>920</v>
      </c>
      <c r="H396" s="1063">
        <v>1775</v>
      </c>
      <c r="I396" s="1063">
        <v>979</v>
      </c>
      <c r="J396" s="1064">
        <v>913278.22</v>
      </c>
      <c r="K396" s="1064">
        <v>154092.66</v>
      </c>
      <c r="L396" s="1064">
        <v>529161.11</v>
      </c>
      <c r="M396" s="1064">
        <v>1596531.99</v>
      </c>
      <c r="N396" s="1064">
        <v>1070531.94</v>
      </c>
      <c r="O396" s="1064">
        <v>1248.4000000000001</v>
      </c>
      <c r="P396" s="1064">
        <v>575.20000000000005</v>
      </c>
      <c r="R396" s="231"/>
      <c r="S396" s="231"/>
      <c r="T396" s="231"/>
      <c r="U396" s="231"/>
      <c r="V396" s="231"/>
      <c r="W396" s="231"/>
      <c r="X396" s="231"/>
      <c r="Y396" s="231"/>
      <c r="Z396" s="231"/>
      <c r="AA396" s="231"/>
      <c r="AB396" s="231"/>
      <c r="AC396" s="231"/>
    </row>
    <row r="397" spans="3:29" s="230" customFormat="1" ht="15" hidden="1" customHeight="1">
      <c r="C397" s="996"/>
      <c r="D397" s="173" t="str">
        <f>IF(Indice_index!$Z$1=1,"dezembro","December")</f>
        <v>dezembro</v>
      </c>
      <c r="E397" s="1063">
        <v>876</v>
      </c>
      <c r="F397" s="1063">
        <v>218</v>
      </c>
      <c r="G397" s="1063">
        <v>830</v>
      </c>
      <c r="H397" s="1063">
        <v>1924</v>
      </c>
      <c r="I397" s="1063">
        <v>1013</v>
      </c>
      <c r="J397" s="1064">
        <v>1300968.45</v>
      </c>
      <c r="K397" s="1064">
        <v>230659.94</v>
      </c>
      <c r="L397" s="1064">
        <v>471993.47</v>
      </c>
      <c r="M397" s="1064">
        <v>2003621.86</v>
      </c>
      <c r="N397" s="1064">
        <v>1096958.03</v>
      </c>
      <c r="O397" s="1064">
        <v>1400</v>
      </c>
      <c r="P397" s="1064">
        <v>568.70000000000005</v>
      </c>
      <c r="R397" s="231"/>
      <c r="S397" s="231"/>
      <c r="T397" s="231"/>
      <c r="U397" s="231"/>
      <c r="V397" s="231"/>
      <c r="W397" s="231"/>
      <c r="X397" s="231"/>
      <c r="Y397" s="231"/>
      <c r="Z397" s="231"/>
      <c r="AA397" s="231"/>
      <c r="AB397" s="231"/>
      <c r="AC397" s="231"/>
    </row>
    <row r="398" spans="3:29" s="230" customFormat="1" ht="15" customHeight="1">
      <c r="C398" s="298">
        <v>2019</v>
      </c>
      <c r="D398" s="172"/>
      <c r="E398" s="1063"/>
      <c r="F398" s="1063"/>
      <c r="G398" s="1063"/>
      <c r="H398" s="1063"/>
      <c r="I398" s="1063"/>
      <c r="J398" s="1064"/>
      <c r="K398" s="1064"/>
      <c r="L398" s="1064"/>
      <c r="M398" s="1064"/>
      <c r="N398" s="1064"/>
      <c r="O398" s="1064"/>
      <c r="P398" s="1064"/>
      <c r="R398" s="231"/>
      <c r="S398" s="231"/>
      <c r="T398" s="231"/>
      <c r="U398" s="231"/>
      <c r="V398" s="231"/>
      <c r="W398" s="231"/>
      <c r="X398" s="231"/>
      <c r="Y398" s="231"/>
      <c r="Z398" s="231"/>
      <c r="AA398" s="231"/>
      <c r="AB398" s="231"/>
      <c r="AC398" s="231"/>
    </row>
    <row r="399" spans="3:29" s="172" customFormat="1" ht="15" customHeight="1">
      <c r="C399" s="1067"/>
      <c r="D399" s="173" t="str">
        <f>IF(Indice_index!$Z$1=1,"janeiro","January")</f>
        <v>janeiro</v>
      </c>
      <c r="E399" s="1068">
        <v>800</v>
      </c>
      <c r="F399" s="1068">
        <v>175</v>
      </c>
      <c r="G399" s="1068">
        <v>760</v>
      </c>
      <c r="H399" s="1068">
        <v>1735</v>
      </c>
      <c r="I399" s="1068">
        <v>1018</v>
      </c>
      <c r="J399" s="1069">
        <v>1089572.17</v>
      </c>
      <c r="K399" s="1069">
        <v>171869</v>
      </c>
      <c r="L399" s="1069">
        <v>395310.99</v>
      </c>
      <c r="M399" s="1069">
        <v>1656752.16</v>
      </c>
      <c r="N399" s="1069">
        <v>1079656.3899999999</v>
      </c>
      <c r="O399" s="1069">
        <v>1293.8</v>
      </c>
      <c r="P399" s="1069">
        <v>520.1</v>
      </c>
      <c r="R399" s="231"/>
      <c r="S399" s="231"/>
      <c r="T399" s="231"/>
      <c r="U399" s="231"/>
      <c r="V399" s="231"/>
      <c r="W399" s="231"/>
      <c r="X399" s="231"/>
      <c r="Y399" s="231"/>
      <c r="Z399" s="231"/>
      <c r="AA399" s="231"/>
      <c r="AB399" s="231"/>
      <c r="AC399" s="231"/>
    </row>
    <row r="400" spans="3:29" s="172" customFormat="1" ht="15" customHeight="1">
      <c r="C400" s="1067"/>
      <c r="D400" s="173" t="str">
        <f>IF(Indice_index!$Z$1=1,"fevereiro","February")</f>
        <v>fevereiro</v>
      </c>
      <c r="E400" s="1068">
        <v>681</v>
      </c>
      <c r="F400" s="1068">
        <v>166</v>
      </c>
      <c r="G400" s="1068">
        <v>899</v>
      </c>
      <c r="H400" s="1068">
        <v>1746</v>
      </c>
      <c r="I400" s="1068">
        <v>1239</v>
      </c>
      <c r="J400" s="1069">
        <v>811436.59</v>
      </c>
      <c r="K400" s="1069">
        <v>182202.01</v>
      </c>
      <c r="L400" s="1069">
        <v>501172.89</v>
      </c>
      <c r="M400" s="1069">
        <v>1494811.49</v>
      </c>
      <c r="N400" s="1069">
        <v>1399159.51</v>
      </c>
      <c r="O400" s="1069">
        <v>1173.0999999999999</v>
      </c>
      <c r="P400" s="1069">
        <v>557.5</v>
      </c>
      <c r="R400" s="231"/>
      <c r="S400" s="231"/>
      <c r="T400" s="231"/>
      <c r="U400" s="231"/>
      <c r="V400" s="231"/>
      <c r="W400" s="231"/>
      <c r="X400" s="231"/>
      <c r="Y400" s="231"/>
      <c r="Z400" s="231"/>
      <c r="AA400" s="231"/>
      <c r="AB400" s="231"/>
      <c r="AC400" s="231"/>
    </row>
    <row r="401" spans="3:41" s="230" customFormat="1" ht="15" customHeight="1">
      <c r="C401" s="298"/>
      <c r="D401" s="173" t="str">
        <f>IF(Indice_index!$Z$1=1,"março","March")</f>
        <v>março</v>
      </c>
      <c r="E401" s="1068">
        <v>515</v>
      </c>
      <c r="F401" s="1068">
        <v>256</v>
      </c>
      <c r="G401" s="1068">
        <v>907</v>
      </c>
      <c r="H401" s="1068">
        <v>1678</v>
      </c>
      <c r="I401" s="1068">
        <v>1514</v>
      </c>
      <c r="J401" s="1069">
        <v>716359.79</v>
      </c>
      <c r="K401" s="1069">
        <v>275750.90000000002</v>
      </c>
      <c r="L401" s="1069">
        <v>494600.39</v>
      </c>
      <c r="M401" s="1069">
        <v>1486711.08</v>
      </c>
      <c r="N401" s="1069">
        <v>1614644.05</v>
      </c>
      <c r="O401" s="1069">
        <v>1286.8</v>
      </c>
      <c r="P401" s="1069">
        <v>545.29999999999995</v>
      </c>
      <c r="R401" s="231"/>
      <c r="S401" s="231"/>
      <c r="T401" s="231"/>
      <c r="U401" s="231"/>
      <c r="V401" s="231"/>
      <c r="W401" s="231"/>
      <c r="X401" s="231"/>
      <c r="Y401" s="231"/>
      <c r="Z401" s="231"/>
      <c r="AA401" s="231"/>
      <c r="AB401" s="231"/>
      <c r="AC401" s="231"/>
    </row>
    <row r="402" spans="3:41" s="230" customFormat="1" ht="15" customHeight="1">
      <c r="C402" s="298"/>
      <c r="D402" s="173" t="str">
        <f>IF(Indice_index!$Z$1=1,"abril","April")</f>
        <v>abril</v>
      </c>
      <c r="E402" s="1068">
        <v>1065</v>
      </c>
      <c r="F402" s="1068">
        <v>314</v>
      </c>
      <c r="G402" s="1068">
        <v>733</v>
      </c>
      <c r="H402" s="1068">
        <v>2112</v>
      </c>
      <c r="I402" s="1068">
        <v>1232</v>
      </c>
      <c r="J402" s="1069">
        <v>1303373.69</v>
      </c>
      <c r="K402" s="1069">
        <v>353465.21</v>
      </c>
      <c r="L402" s="1069">
        <v>409577.3</v>
      </c>
      <c r="M402" s="1069">
        <v>2066416.2</v>
      </c>
      <c r="N402" s="1069">
        <v>1325659.73</v>
      </c>
      <c r="O402" s="1069">
        <v>1201.5</v>
      </c>
      <c r="P402" s="1069">
        <v>558.79999999999995</v>
      </c>
      <c r="R402" s="231"/>
      <c r="S402" s="231"/>
      <c r="T402" s="231"/>
      <c r="U402" s="231"/>
      <c r="V402" s="231"/>
      <c r="W402" s="231"/>
      <c r="X402" s="231"/>
      <c r="Y402" s="231"/>
      <c r="Z402" s="231"/>
      <c r="AA402" s="231"/>
      <c r="AB402" s="231"/>
      <c r="AC402" s="231"/>
    </row>
    <row r="403" spans="3:41" s="230" customFormat="1" ht="15" customHeight="1">
      <c r="C403" s="298"/>
      <c r="D403" s="173" t="str">
        <f>IF(Indice_index!$Z$1=1,"maio","May")</f>
        <v>maio</v>
      </c>
      <c r="E403" s="1068">
        <v>1128</v>
      </c>
      <c r="F403" s="1068">
        <v>244</v>
      </c>
      <c r="G403" s="1068">
        <v>882</v>
      </c>
      <c r="H403" s="1068">
        <v>2254</v>
      </c>
      <c r="I403" s="1068">
        <v>1085</v>
      </c>
      <c r="J403" s="1069">
        <v>1546773.28</v>
      </c>
      <c r="K403" s="1069">
        <v>248128.21</v>
      </c>
      <c r="L403" s="1069">
        <v>454247.7</v>
      </c>
      <c r="M403" s="1069">
        <v>2249149.19</v>
      </c>
      <c r="N403" s="1069">
        <v>1794901.49</v>
      </c>
      <c r="O403" s="1069">
        <v>1308.2</v>
      </c>
      <c r="P403" s="1069">
        <v>515</v>
      </c>
      <c r="R403" s="231"/>
      <c r="S403" s="231"/>
      <c r="T403" s="231"/>
      <c r="U403" s="231"/>
      <c r="V403" s="231"/>
      <c r="W403" s="231"/>
      <c r="X403" s="231"/>
      <c r="Y403" s="231"/>
      <c r="Z403" s="231"/>
      <c r="AA403" s="231"/>
      <c r="AB403" s="231"/>
      <c r="AC403" s="231"/>
    </row>
    <row r="404" spans="3:41" s="230" customFormat="1" ht="15" customHeight="1">
      <c r="C404" s="298"/>
      <c r="D404" s="173" t="str">
        <f>IF(Indice_index!$Z$1=1,"junho","June")</f>
        <v>junho</v>
      </c>
      <c r="E404" s="1068">
        <v>945</v>
      </c>
      <c r="F404" s="1068">
        <v>258</v>
      </c>
      <c r="G404" s="1068">
        <v>982</v>
      </c>
      <c r="H404" s="1068">
        <v>2185</v>
      </c>
      <c r="I404" s="1068">
        <v>1255</v>
      </c>
      <c r="J404" s="1069">
        <v>1136649.44</v>
      </c>
      <c r="K404" s="1069">
        <v>315491.37</v>
      </c>
      <c r="L404" s="1069">
        <v>500211.27</v>
      </c>
      <c r="M404" s="1069">
        <v>1952352.08</v>
      </c>
      <c r="N404" s="1069">
        <v>1423669.42</v>
      </c>
      <c r="O404" s="1069">
        <v>1207.0999999999999</v>
      </c>
      <c r="P404" s="1069">
        <v>509.4</v>
      </c>
      <c r="R404" s="231"/>
      <c r="S404" s="231"/>
      <c r="T404" s="231"/>
      <c r="U404" s="231"/>
      <c r="V404" s="231"/>
      <c r="W404" s="231"/>
      <c r="X404" s="231"/>
      <c r="Y404" s="231"/>
      <c r="Z404" s="231"/>
      <c r="AA404" s="231"/>
      <c r="AB404" s="231"/>
      <c r="AC404" s="231"/>
    </row>
    <row r="405" spans="3:41" s="230" customFormat="1" ht="15" customHeight="1">
      <c r="C405" s="298"/>
      <c r="D405" s="173" t="str">
        <f>IF(Indice_index!$Z$1=1,"julho","July")</f>
        <v>julho</v>
      </c>
      <c r="E405" s="1068">
        <v>1013</v>
      </c>
      <c r="F405" s="1068">
        <v>164</v>
      </c>
      <c r="G405" s="1068">
        <v>747</v>
      </c>
      <c r="H405" s="1068">
        <v>1924</v>
      </c>
      <c r="I405" s="1068">
        <v>920</v>
      </c>
      <c r="J405" s="1069">
        <v>1350515.13</v>
      </c>
      <c r="K405" s="1069">
        <v>191515.13</v>
      </c>
      <c r="L405" s="1069">
        <v>414170.55</v>
      </c>
      <c r="M405" s="1069">
        <v>1956200.8099999998</v>
      </c>
      <c r="N405" s="1069">
        <v>966080.69</v>
      </c>
      <c r="O405" s="1069">
        <v>1310</v>
      </c>
      <c r="P405" s="1069">
        <v>554.4</v>
      </c>
      <c r="R405" s="231"/>
      <c r="S405" s="231"/>
      <c r="T405" s="231"/>
      <c r="U405" s="231"/>
      <c r="V405" s="231"/>
      <c r="W405" s="231"/>
      <c r="X405" s="231"/>
      <c r="Y405" s="231"/>
      <c r="Z405" s="231"/>
      <c r="AA405" s="231"/>
      <c r="AB405" s="231"/>
      <c r="AC405" s="231"/>
    </row>
    <row r="406" spans="3:41" s="230" customFormat="1" ht="15" customHeight="1">
      <c r="C406" s="298"/>
      <c r="D406" s="173" t="str">
        <f>IF(Indice_index!$Z$1=1,"agosto","August")</f>
        <v>agosto</v>
      </c>
      <c r="E406" s="1068">
        <v>973</v>
      </c>
      <c r="F406" s="1068">
        <v>157</v>
      </c>
      <c r="G406" s="1068">
        <v>853</v>
      </c>
      <c r="H406" s="1068">
        <v>1983</v>
      </c>
      <c r="I406" s="1068">
        <v>1061</v>
      </c>
      <c r="J406" s="1069">
        <v>1053354.69</v>
      </c>
      <c r="K406" s="1069">
        <v>161216.37</v>
      </c>
      <c r="L406" s="1069">
        <v>418478.12</v>
      </c>
      <c r="M406" s="1069">
        <v>1633049.1800000002</v>
      </c>
      <c r="N406" s="1069">
        <v>1130360.99</v>
      </c>
      <c r="O406" s="1069">
        <v>1074.8</v>
      </c>
      <c r="P406" s="1069">
        <v>490.6</v>
      </c>
    </row>
    <row r="407" spans="3:41" s="230" customFormat="1" ht="15" customHeight="1">
      <c r="C407" s="298"/>
      <c r="D407" s="173" t="str">
        <f>IF(Indice_index!$Z$1=1,"setembro","September")</f>
        <v>setembro</v>
      </c>
      <c r="E407" s="1068">
        <v>1018</v>
      </c>
      <c r="F407" s="1068">
        <v>188</v>
      </c>
      <c r="G407" s="1068">
        <v>921</v>
      </c>
      <c r="H407" s="1068">
        <v>2127</v>
      </c>
      <c r="I407" s="1068">
        <v>957</v>
      </c>
      <c r="J407" s="1069">
        <v>1180241.8500000001</v>
      </c>
      <c r="K407" s="1069">
        <v>212205.83</v>
      </c>
      <c r="L407" s="1069">
        <v>399925.98</v>
      </c>
      <c r="M407" s="1069">
        <v>1792373.66</v>
      </c>
      <c r="N407" s="1069">
        <v>1085699.8899999999</v>
      </c>
      <c r="O407" s="1069">
        <v>1154.5999999999999</v>
      </c>
      <c r="P407" s="1069">
        <v>434.2</v>
      </c>
    </row>
    <row r="408" spans="3:41" s="230" customFormat="1" ht="15" customHeight="1">
      <c r="C408" s="298"/>
      <c r="D408" s="173" t="str">
        <f>IF(Indice_index!$Z$1=1,"outubro","October")</f>
        <v>outubro</v>
      </c>
      <c r="E408" s="1070">
        <v>830</v>
      </c>
      <c r="F408" s="1070">
        <v>87</v>
      </c>
      <c r="G408" s="1070">
        <v>735</v>
      </c>
      <c r="H408" s="1070">
        <v>1652</v>
      </c>
      <c r="I408" s="1070">
        <v>1129</v>
      </c>
      <c r="J408" s="1071">
        <v>937535.28</v>
      </c>
      <c r="K408" s="1071">
        <v>96065.17</v>
      </c>
      <c r="L408" s="1071">
        <v>327182.71999999997</v>
      </c>
      <c r="M408" s="1071">
        <v>1360783.17</v>
      </c>
      <c r="N408" s="1071">
        <v>1273577.6299999999</v>
      </c>
      <c r="O408" s="1071">
        <v>1127.2</v>
      </c>
      <c r="P408" s="1071">
        <v>445.1</v>
      </c>
    </row>
    <row r="409" spans="3:41" s="172" customFormat="1" ht="15" customHeight="1">
      <c r="C409" s="1067"/>
      <c r="D409" s="173" t="str">
        <f>IF(Indice_index!$Z$1=1,"novembro","November")</f>
        <v>novembro</v>
      </c>
      <c r="E409" s="1072">
        <v>2057</v>
      </c>
      <c r="F409" s="1072">
        <v>176</v>
      </c>
      <c r="G409" s="1072">
        <v>1034</v>
      </c>
      <c r="H409" s="1072">
        <v>3267</v>
      </c>
      <c r="I409" s="1072">
        <v>1052</v>
      </c>
      <c r="J409" s="1073">
        <v>1512838.7399999998</v>
      </c>
      <c r="K409" s="1073">
        <v>194177.99999999997</v>
      </c>
      <c r="L409" s="1073">
        <v>482554.58</v>
      </c>
      <c r="M409" s="1073">
        <v>2189571.3199999998</v>
      </c>
      <c r="N409" s="1073">
        <v>1179613.68</v>
      </c>
      <c r="O409" s="1073">
        <v>764.4</v>
      </c>
      <c r="P409" s="1073">
        <v>466.7</v>
      </c>
      <c r="R409" s="230"/>
      <c r="S409" s="230"/>
      <c r="T409" s="230"/>
      <c r="U409" s="230"/>
      <c r="V409" s="230"/>
      <c r="W409" s="230"/>
      <c r="X409" s="230"/>
      <c r="Y409" s="230"/>
      <c r="Z409" s="230"/>
      <c r="AA409" s="230"/>
      <c r="AB409" s="230"/>
      <c r="AC409" s="230"/>
    </row>
    <row r="410" spans="3:41" s="230" customFormat="1" ht="15" customHeight="1">
      <c r="C410" s="996"/>
      <c r="D410" s="173" t="str">
        <f>IF(Indice_index!$Z$1=1,"dezembro","December")</f>
        <v>dezembro</v>
      </c>
      <c r="E410" s="1063">
        <v>2065</v>
      </c>
      <c r="F410" s="1063">
        <v>165</v>
      </c>
      <c r="G410" s="1063">
        <v>643</v>
      </c>
      <c r="H410" s="1063">
        <v>2873</v>
      </c>
      <c r="I410" s="1063">
        <v>1095</v>
      </c>
      <c r="J410" s="1064">
        <v>1764593.98</v>
      </c>
      <c r="K410" s="1064">
        <v>160955.39000000001</v>
      </c>
      <c r="L410" s="1064">
        <v>305412.8</v>
      </c>
      <c r="M410" s="1064">
        <v>2230962.17</v>
      </c>
      <c r="N410" s="1064">
        <v>1240568.53</v>
      </c>
      <c r="O410" s="1064">
        <v>863.5</v>
      </c>
      <c r="P410" s="1064">
        <v>475</v>
      </c>
      <c r="X410" s="50"/>
      <c r="Y410" s="50"/>
      <c r="Z410" s="50"/>
      <c r="AA410" s="171"/>
    </row>
    <row r="411" spans="3:41" s="230" customFormat="1" ht="15" customHeight="1">
      <c r="C411" s="298">
        <v>2020</v>
      </c>
      <c r="D411" s="172"/>
      <c r="E411" s="1063"/>
      <c r="F411" s="1063"/>
      <c r="G411" s="1063"/>
      <c r="H411" s="1063"/>
      <c r="I411" s="1063"/>
      <c r="J411" s="1064"/>
      <c r="K411" s="1064"/>
      <c r="L411" s="1064"/>
      <c r="M411" s="1064"/>
      <c r="N411" s="1064"/>
      <c r="O411" s="1064"/>
      <c r="P411" s="1064"/>
      <c r="R411" s="231"/>
      <c r="S411" s="231"/>
      <c r="T411" s="231"/>
      <c r="U411" s="231"/>
      <c r="V411" s="231"/>
      <c r="W411" s="231"/>
      <c r="X411" s="231"/>
      <c r="Y411" s="231"/>
      <c r="Z411" s="231"/>
      <c r="AA411" s="231"/>
      <c r="AB411" s="231"/>
      <c r="AC411" s="231"/>
    </row>
    <row r="412" spans="3:41" s="172" customFormat="1" ht="15" customHeight="1">
      <c r="C412" s="1067"/>
      <c r="D412" s="173" t="str">
        <f>IF(Indice_index!$Z$1=1,"janeiro","January")</f>
        <v>janeiro</v>
      </c>
      <c r="E412" s="1068">
        <v>1301</v>
      </c>
      <c r="F412" s="1068">
        <v>101</v>
      </c>
      <c r="G412" s="1068">
        <v>1606</v>
      </c>
      <c r="H412" s="1068">
        <v>3008</v>
      </c>
      <c r="I412" s="1068">
        <v>1254</v>
      </c>
      <c r="J412" s="1069">
        <v>1406215.8599999999</v>
      </c>
      <c r="K412" s="1069">
        <v>120721.40999999999</v>
      </c>
      <c r="L412" s="1069">
        <v>1121634.8500000001</v>
      </c>
      <c r="M412" s="1069">
        <v>2648572.12</v>
      </c>
      <c r="N412" s="1069">
        <v>1181130.18</v>
      </c>
      <c r="O412" s="1069">
        <v>1089.0999999999999</v>
      </c>
      <c r="P412" s="1069">
        <v>698.4</v>
      </c>
      <c r="R412" s="231"/>
      <c r="S412" s="231"/>
      <c r="T412" s="231"/>
      <c r="U412" s="231"/>
      <c r="V412" s="231"/>
      <c r="W412" s="231"/>
      <c r="X412" s="231"/>
      <c r="Y412" s="231"/>
      <c r="Z412" s="231"/>
      <c r="AA412" s="231"/>
      <c r="AB412" s="231"/>
      <c r="AC412" s="231"/>
      <c r="AD412" s="422"/>
      <c r="AE412" s="422"/>
      <c r="AF412" s="422"/>
      <c r="AG412" s="422"/>
      <c r="AH412" s="422"/>
      <c r="AI412" s="422"/>
      <c r="AJ412" s="422"/>
      <c r="AK412" s="422"/>
      <c r="AL412" s="422"/>
      <c r="AM412" s="422"/>
      <c r="AN412" s="422"/>
      <c r="AO412" s="422"/>
    </row>
    <row r="413" spans="3:41" s="172" customFormat="1" ht="15" customHeight="1">
      <c r="C413" s="1067"/>
      <c r="D413" s="173" t="str">
        <f>IF(Indice_index!$Z$1=1,"fevereiro","February")</f>
        <v>fevereiro</v>
      </c>
      <c r="E413" s="1068">
        <v>1156</v>
      </c>
      <c r="F413" s="1068">
        <v>86</v>
      </c>
      <c r="G413" s="1068">
        <v>784</v>
      </c>
      <c r="H413" s="1068">
        <v>2026</v>
      </c>
      <c r="I413" s="1068">
        <v>1433</v>
      </c>
      <c r="J413" s="1069">
        <v>1256302.7600000002</v>
      </c>
      <c r="K413" s="1069">
        <v>93955.06</v>
      </c>
      <c r="L413" s="1069">
        <v>340075.64</v>
      </c>
      <c r="M413" s="1069">
        <v>1690333.4600000004</v>
      </c>
      <c r="N413" s="1069">
        <v>1470168.61</v>
      </c>
      <c r="O413" s="1069">
        <v>1087.2</v>
      </c>
      <c r="P413" s="1069">
        <v>433.8</v>
      </c>
      <c r="R413" s="231"/>
      <c r="S413" s="231"/>
      <c r="T413" s="231"/>
      <c r="U413" s="231"/>
      <c r="V413" s="231"/>
      <c r="W413" s="231"/>
      <c r="X413" s="231"/>
      <c r="Y413" s="231"/>
      <c r="Z413" s="231"/>
      <c r="AA413" s="231"/>
      <c r="AB413" s="231"/>
      <c r="AC413" s="231"/>
      <c r="AD413" s="422"/>
      <c r="AE413" s="422"/>
      <c r="AF413" s="422"/>
      <c r="AG413" s="422"/>
      <c r="AH413" s="422"/>
      <c r="AI413" s="422"/>
      <c r="AJ413" s="422"/>
      <c r="AK413" s="422"/>
      <c r="AL413" s="422"/>
      <c r="AM413" s="422"/>
      <c r="AN413" s="422"/>
      <c r="AO413" s="422"/>
    </row>
    <row r="414" spans="3:41" s="230" customFormat="1" ht="15" customHeight="1">
      <c r="C414" s="298"/>
      <c r="D414" s="173" t="str">
        <f>IF(Indice_index!$Z$1=1,"março","March")</f>
        <v>março</v>
      </c>
      <c r="E414" s="1068">
        <v>1124</v>
      </c>
      <c r="F414" s="1068">
        <v>296</v>
      </c>
      <c r="G414" s="1068">
        <v>885</v>
      </c>
      <c r="H414" s="1068">
        <v>2305</v>
      </c>
      <c r="I414" s="1068">
        <v>1405</v>
      </c>
      <c r="J414" s="1069">
        <v>1455949.83</v>
      </c>
      <c r="K414" s="1069">
        <v>284777.40000000002</v>
      </c>
      <c r="L414" s="1069">
        <v>458761.12</v>
      </c>
      <c r="M414" s="1069">
        <v>2199488.35</v>
      </c>
      <c r="N414" s="1069">
        <v>1464110.3</v>
      </c>
      <c r="O414" s="1069">
        <v>1225.9000000000001</v>
      </c>
      <c r="P414" s="1069">
        <v>518.4</v>
      </c>
      <c r="R414" s="231"/>
      <c r="S414" s="231"/>
      <c r="T414" s="231"/>
      <c r="U414" s="231"/>
      <c r="V414" s="231"/>
      <c r="W414" s="231"/>
      <c r="X414" s="231"/>
      <c r="Y414" s="231"/>
      <c r="Z414" s="231"/>
      <c r="AA414" s="231"/>
      <c r="AB414" s="231"/>
      <c r="AC414" s="231"/>
      <c r="AD414" s="422"/>
      <c r="AE414" s="422"/>
      <c r="AF414" s="422"/>
      <c r="AG414" s="422"/>
      <c r="AH414" s="422"/>
      <c r="AI414" s="422"/>
      <c r="AJ414" s="422"/>
      <c r="AK414" s="422"/>
      <c r="AL414" s="422"/>
      <c r="AM414" s="422"/>
      <c r="AN414" s="422"/>
      <c r="AO414" s="422"/>
    </row>
    <row r="415" spans="3:41" s="230" customFormat="1" ht="15" customHeight="1">
      <c r="C415" s="298"/>
      <c r="D415" s="173" t="str">
        <f>IF(Indice_index!$Z$1=1,"abril","April")</f>
        <v>abril</v>
      </c>
      <c r="E415" s="1068">
        <v>1369</v>
      </c>
      <c r="F415" s="1068">
        <v>110</v>
      </c>
      <c r="G415" s="1068">
        <v>958</v>
      </c>
      <c r="H415" s="1068">
        <v>2437</v>
      </c>
      <c r="I415" s="1068">
        <v>1330</v>
      </c>
      <c r="J415" s="1069">
        <v>1733658.78</v>
      </c>
      <c r="K415" s="1069">
        <v>136607.13</v>
      </c>
      <c r="L415" s="1069">
        <v>469100.58</v>
      </c>
      <c r="M415" s="1069">
        <v>2339366.4900000002</v>
      </c>
      <c r="N415" s="1069">
        <v>1389223.38</v>
      </c>
      <c r="O415" s="1069">
        <v>1264.5</v>
      </c>
      <c r="P415" s="1069">
        <v>489.7</v>
      </c>
      <c r="R415" s="231"/>
      <c r="S415" s="231"/>
      <c r="T415" s="231"/>
      <c r="U415" s="231"/>
      <c r="V415" s="231"/>
      <c r="W415" s="231"/>
      <c r="X415" s="231"/>
      <c r="Y415" s="231"/>
      <c r="Z415" s="231"/>
      <c r="AA415" s="231"/>
      <c r="AB415" s="231"/>
      <c r="AC415" s="231"/>
      <c r="AD415" s="422"/>
      <c r="AE415" s="422"/>
      <c r="AF415" s="422"/>
      <c r="AG415" s="422"/>
      <c r="AH415" s="422"/>
      <c r="AI415" s="422"/>
      <c r="AJ415" s="422"/>
      <c r="AK415" s="422"/>
      <c r="AL415" s="422"/>
      <c r="AM415" s="422"/>
      <c r="AN415" s="422"/>
      <c r="AO415" s="422"/>
    </row>
    <row r="416" spans="3:41" s="230" customFormat="1" ht="15" customHeight="1">
      <c r="C416" s="298"/>
      <c r="D416" s="173" t="str">
        <f>IF(Indice_index!$Z$1=1,"maio","May")</f>
        <v>maio</v>
      </c>
      <c r="E416" s="1068">
        <v>1531</v>
      </c>
      <c r="F416" s="1068">
        <v>78</v>
      </c>
      <c r="G416" s="1068">
        <v>981</v>
      </c>
      <c r="H416" s="1068">
        <v>2590</v>
      </c>
      <c r="I416" s="1068">
        <v>1371</v>
      </c>
      <c r="J416" s="1069">
        <v>1984223.61</v>
      </c>
      <c r="K416" s="1069">
        <v>92547.049999999988</v>
      </c>
      <c r="L416" s="1069">
        <v>505983.3</v>
      </c>
      <c r="M416" s="1069">
        <v>2582753.96</v>
      </c>
      <c r="N416" s="1069">
        <v>1531210.28</v>
      </c>
      <c r="O416" s="1069">
        <v>1290.7</v>
      </c>
      <c r="P416" s="1069">
        <v>515.79999999999995</v>
      </c>
      <c r="R416" s="231"/>
      <c r="S416" s="231"/>
      <c r="T416" s="231"/>
      <c r="U416" s="231"/>
      <c r="V416" s="231"/>
      <c r="W416" s="231"/>
      <c r="X416" s="231"/>
      <c r="Y416" s="231"/>
      <c r="Z416" s="231"/>
      <c r="AA416" s="231"/>
      <c r="AB416" s="231"/>
      <c r="AC416" s="231"/>
      <c r="AD416" s="422"/>
      <c r="AE416" s="422"/>
      <c r="AF416" s="422"/>
      <c r="AG416" s="422"/>
      <c r="AH416" s="422"/>
      <c r="AI416" s="422"/>
      <c r="AJ416" s="422"/>
      <c r="AK416" s="422"/>
      <c r="AL416" s="422"/>
      <c r="AM416" s="422"/>
      <c r="AN416" s="422"/>
      <c r="AO416" s="422"/>
    </row>
    <row r="417" spans="3:41" s="230" customFormat="1" ht="15" customHeight="1">
      <c r="C417" s="298"/>
      <c r="D417" s="173" t="str">
        <f>IF(Indice_index!$Z$1=1,"junho","June")</f>
        <v>junho</v>
      </c>
      <c r="E417" s="1068">
        <v>1499</v>
      </c>
      <c r="F417" s="1068">
        <v>89</v>
      </c>
      <c r="G417" s="1068">
        <v>865</v>
      </c>
      <c r="H417" s="1068">
        <v>2453</v>
      </c>
      <c r="I417" s="1068">
        <v>1349</v>
      </c>
      <c r="J417" s="1069">
        <v>1855493.75</v>
      </c>
      <c r="K417" s="1069">
        <v>106652.79</v>
      </c>
      <c r="L417" s="1069">
        <v>464286.68</v>
      </c>
      <c r="M417" s="1069">
        <v>2426433.2200000002</v>
      </c>
      <c r="N417" s="1069">
        <v>1540020.1</v>
      </c>
      <c r="O417" s="1069">
        <v>1235.5999999999999</v>
      </c>
      <c r="P417" s="1069">
        <v>536.70000000000005</v>
      </c>
      <c r="R417" s="231"/>
      <c r="S417" s="231"/>
      <c r="T417" s="231"/>
      <c r="U417" s="231"/>
      <c r="V417" s="231"/>
      <c r="W417" s="231"/>
      <c r="X417" s="231"/>
      <c r="Y417" s="231"/>
      <c r="Z417" s="231"/>
      <c r="AA417" s="231"/>
      <c r="AB417" s="231"/>
      <c r="AC417" s="231"/>
    </row>
    <row r="418" spans="3:41" s="230" customFormat="1" ht="15" customHeight="1">
      <c r="C418" s="298"/>
      <c r="D418" s="173" t="str">
        <f>IF(Indice_index!$Z$1=1,"julho","July")</f>
        <v>julho</v>
      </c>
      <c r="E418" s="1068">
        <v>1452</v>
      </c>
      <c r="F418" s="1068">
        <v>58</v>
      </c>
      <c r="G418" s="1068">
        <v>929</v>
      </c>
      <c r="H418" s="1068">
        <v>2439</v>
      </c>
      <c r="I418" s="1068">
        <v>1105</v>
      </c>
      <c r="J418" s="1069">
        <v>1944599.44</v>
      </c>
      <c r="K418" s="1069">
        <v>67974.77</v>
      </c>
      <c r="L418" s="1069">
        <v>541800.02</v>
      </c>
      <c r="M418" s="1069">
        <v>2554374.23</v>
      </c>
      <c r="N418" s="1069">
        <v>1241641.8799999999</v>
      </c>
      <c r="O418" s="1069">
        <v>1332.8</v>
      </c>
      <c r="P418" s="1069">
        <v>583.20000000000005</v>
      </c>
      <c r="R418" s="231"/>
      <c r="S418" s="231"/>
      <c r="T418" s="231"/>
      <c r="U418" s="231"/>
      <c r="V418" s="231"/>
      <c r="W418" s="231"/>
      <c r="X418" s="231"/>
      <c r="Y418" s="231"/>
      <c r="Z418" s="231"/>
      <c r="AA418" s="231"/>
      <c r="AB418" s="231"/>
      <c r="AC418" s="231"/>
    </row>
    <row r="419" spans="3:41" s="230" customFormat="1" ht="15" customHeight="1">
      <c r="C419" s="298"/>
      <c r="D419" s="173" t="str">
        <f>IF(Indice_index!$Z$1=1,"agosto","August")</f>
        <v>agosto</v>
      </c>
      <c r="E419" s="1068">
        <v>1470</v>
      </c>
      <c r="F419" s="1068">
        <v>36</v>
      </c>
      <c r="G419" s="1068">
        <v>1000</v>
      </c>
      <c r="H419" s="1068">
        <v>2506</v>
      </c>
      <c r="I419" s="1068">
        <v>1168</v>
      </c>
      <c r="J419" s="1069">
        <v>1875739.22</v>
      </c>
      <c r="K419" s="1069">
        <v>36978.129999999997</v>
      </c>
      <c r="L419" s="1069">
        <v>554835.69000000006</v>
      </c>
      <c r="M419" s="1069">
        <v>2467553.04</v>
      </c>
      <c r="N419" s="1069">
        <v>1282507.42</v>
      </c>
      <c r="O419" s="1069">
        <v>1270.0999999999999</v>
      </c>
      <c r="P419" s="1069">
        <v>554.79999999999995</v>
      </c>
    </row>
    <row r="420" spans="3:41" s="230" customFormat="1" ht="15" customHeight="1">
      <c r="C420" s="298"/>
      <c r="D420" s="173" t="str">
        <f>IF(Indice_index!$Z$1=1,"setembro","September")</f>
        <v>setembro</v>
      </c>
      <c r="E420" s="1068">
        <v>1318</v>
      </c>
      <c r="F420" s="1068">
        <v>29</v>
      </c>
      <c r="G420" s="1068">
        <v>773</v>
      </c>
      <c r="H420" s="1068">
        <v>2120</v>
      </c>
      <c r="I420" s="1068">
        <v>1265</v>
      </c>
      <c r="J420" s="1069">
        <v>2047092.5899999999</v>
      </c>
      <c r="K420" s="1069">
        <v>39101.64</v>
      </c>
      <c r="L420" s="1069">
        <v>431175.01</v>
      </c>
      <c r="M420" s="1069">
        <v>2517369.2399999998</v>
      </c>
      <c r="N420" s="1069">
        <v>1390071.15</v>
      </c>
      <c r="O420" s="1069">
        <v>1548.8</v>
      </c>
      <c r="P420" s="1069">
        <v>557.79999999999995</v>
      </c>
    </row>
    <row r="421" spans="3:41" s="230" customFormat="1" ht="15" customHeight="1">
      <c r="C421" s="298"/>
      <c r="D421" s="173" t="str">
        <f>IF(Indice_index!$Z$1=1,"outubro","October")</f>
        <v>outubro</v>
      </c>
      <c r="E421" s="1074">
        <v>1206</v>
      </c>
      <c r="F421" s="1074">
        <v>27</v>
      </c>
      <c r="G421" s="1074">
        <v>773</v>
      </c>
      <c r="H421" s="1074">
        <v>2006</v>
      </c>
      <c r="I421" s="1074">
        <v>1151</v>
      </c>
      <c r="J421" s="1075">
        <v>1774555.76</v>
      </c>
      <c r="K421" s="1075">
        <v>41696.28</v>
      </c>
      <c r="L421" s="1075">
        <v>424627.48</v>
      </c>
      <c r="M421" s="1075">
        <v>2240879.52</v>
      </c>
      <c r="N421" s="1075">
        <v>1317894.17</v>
      </c>
      <c r="O421" s="1075">
        <v>1473</v>
      </c>
      <c r="P421" s="1075">
        <v>549.29999999999995</v>
      </c>
    </row>
    <row r="422" spans="3:41" s="172" customFormat="1" ht="15" customHeight="1">
      <c r="C422" s="1067"/>
      <c r="D422" s="173" t="str">
        <f>IF(Indice_index!$Z$1=1,"novembro","November")</f>
        <v>novembro</v>
      </c>
      <c r="E422" s="1076">
        <v>1111</v>
      </c>
      <c r="F422" s="1076">
        <v>86</v>
      </c>
      <c r="G422" s="1076">
        <v>871</v>
      </c>
      <c r="H422" s="1076">
        <v>2068</v>
      </c>
      <c r="I422" s="1076">
        <v>1162</v>
      </c>
      <c r="J422" s="1077">
        <v>1770166.95</v>
      </c>
      <c r="K422" s="1077">
        <v>101722.77</v>
      </c>
      <c r="L422" s="1077">
        <v>447410.54</v>
      </c>
      <c r="M422" s="1077">
        <v>2319300.2599999998</v>
      </c>
      <c r="N422" s="1077">
        <v>1306216.53</v>
      </c>
      <c r="O422" s="1077">
        <v>1563.8</v>
      </c>
      <c r="P422" s="1077">
        <v>513.70000000000005</v>
      </c>
      <c r="R422" s="230"/>
      <c r="S422" s="230"/>
      <c r="T422" s="230"/>
      <c r="U422" s="230"/>
      <c r="V422" s="230"/>
      <c r="W422" s="230"/>
      <c r="X422" s="230"/>
      <c r="Y422" s="230"/>
      <c r="Z422" s="230"/>
      <c r="AA422" s="230"/>
      <c r="AB422" s="230"/>
      <c r="AC422" s="230"/>
    </row>
    <row r="423" spans="3:41" s="230" customFormat="1" ht="15" customHeight="1">
      <c r="C423" s="996"/>
      <c r="D423" s="173" t="str">
        <f>IF(Indice_index!$Z$1=1,"dezembro","December")</f>
        <v>dezembro</v>
      </c>
      <c r="E423" s="1078">
        <v>1057</v>
      </c>
      <c r="F423" s="1078">
        <v>106</v>
      </c>
      <c r="G423" s="1078">
        <v>889</v>
      </c>
      <c r="H423" s="1078">
        <v>2052</v>
      </c>
      <c r="I423" s="1078">
        <v>1288</v>
      </c>
      <c r="J423" s="1079">
        <v>1823991.91</v>
      </c>
      <c r="K423" s="1079">
        <v>121644.84</v>
      </c>
      <c r="L423" s="1079">
        <v>467474.39</v>
      </c>
      <c r="M423" s="1079">
        <v>2413111.14</v>
      </c>
      <c r="N423" s="1079">
        <v>1486433.23</v>
      </c>
      <c r="O423" s="1079">
        <v>1672.9</v>
      </c>
      <c r="P423" s="1079">
        <v>525.79999999999995</v>
      </c>
      <c r="X423" s="50"/>
      <c r="Y423" s="50"/>
      <c r="Z423" s="50"/>
      <c r="AA423" s="171"/>
    </row>
    <row r="424" spans="3:41" s="230" customFormat="1" ht="15" customHeight="1">
      <c r="C424" s="1080" t="s">
        <v>67</v>
      </c>
      <c r="D424" s="172"/>
      <c r="E424" s="1063"/>
      <c r="F424" s="1063"/>
      <c r="G424" s="1063"/>
      <c r="H424" s="1063"/>
      <c r="I424" s="1063"/>
      <c r="J424" s="1064"/>
      <c r="K424" s="1064"/>
      <c r="L424" s="1064"/>
      <c r="M424" s="1064"/>
      <c r="N424" s="1064"/>
      <c r="O424" s="1064"/>
      <c r="P424" s="1064"/>
      <c r="R424" s="231"/>
      <c r="S424" s="231"/>
      <c r="T424" s="231"/>
      <c r="U424" s="231"/>
      <c r="V424" s="231"/>
      <c r="W424" s="231"/>
      <c r="X424" s="231"/>
      <c r="Y424" s="231"/>
      <c r="Z424" s="231"/>
      <c r="AA424" s="231"/>
      <c r="AB424" s="231"/>
      <c r="AC424" s="231"/>
    </row>
    <row r="425" spans="3:41" s="172" customFormat="1" ht="15" customHeight="1">
      <c r="C425" s="1067"/>
      <c r="D425" s="173" t="str">
        <f>IF(Indice_index!$Z$1=1,"janeiro","January")</f>
        <v>janeiro</v>
      </c>
      <c r="E425" s="1068">
        <v>1024</v>
      </c>
      <c r="F425" s="1068">
        <v>87</v>
      </c>
      <c r="G425" s="1068">
        <v>678</v>
      </c>
      <c r="H425" s="1068">
        <v>1789</v>
      </c>
      <c r="I425" s="1068">
        <v>1319</v>
      </c>
      <c r="J425" s="1069">
        <v>1639431.98</v>
      </c>
      <c r="K425" s="1069">
        <v>104309.67</v>
      </c>
      <c r="L425" s="1069">
        <v>372691.26</v>
      </c>
      <c r="M425" s="1069">
        <v>2116432.91</v>
      </c>
      <c r="N425" s="1069">
        <v>1451929.72</v>
      </c>
      <c r="O425" s="1069">
        <v>1569.5</v>
      </c>
      <c r="P425" s="1069">
        <v>549.70000000000005</v>
      </c>
      <c r="R425" s="231"/>
      <c r="S425" s="231"/>
      <c r="T425" s="231"/>
      <c r="U425" s="231"/>
      <c r="V425" s="231"/>
      <c r="W425" s="231"/>
      <c r="X425" s="231"/>
      <c r="Y425" s="231"/>
      <c r="Z425" s="231"/>
      <c r="AA425" s="231"/>
      <c r="AB425" s="231"/>
      <c r="AC425" s="231"/>
      <c r="AD425" s="422"/>
      <c r="AE425" s="422"/>
      <c r="AF425" s="422"/>
      <c r="AG425" s="422"/>
      <c r="AH425" s="422"/>
      <c r="AI425" s="422"/>
      <c r="AJ425" s="422"/>
      <c r="AK425" s="422"/>
      <c r="AL425" s="422"/>
      <c r="AM425" s="422"/>
      <c r="AN425" s="422"/>
      <c r="AO425" s="422"/>
    </row>
    <row r="426" spans="3:41" s="172" customFormat="1" ht="15" customHeight="1">
      <c r="C426" s="1067"/>
      <c r="D426" s="173" t="str">
        <f>IF(Indice_index!$Z$1=1,"fevereiro","February")</f>
        <v>fevereiro</v>
      </c>
      <c r="E426" s="1068">
        <v>883</v>
      </c>
      <c r="F426" s="1068">
        <v>101</v>
      </c>
      <c r="G426" s="1068">
        <v>836</v>
      </c>
      <c r="H426" s="1068">
        <v>1820</v>
      </c>
      <c r="I426" s="1068">
        <v>1678</v>
      </c>
      <c r="J426" s="1069">
        <v>1306138.5900000001</v>
      </c>
      <c r="K426" s="1069">
        <v>100339.62</v>
      </c>
      <c r="L426" s="1069">
        <v>458772.69</v>
      </c>
      <c r="M426" s="1069">
        <v>1865250.9</v>
      </c>
      <c r="N426" s="1069">
        <v>1928449.74</v>
      </c>
      <c r="O426" s="1069">
        <v>1429.3</v>
      </c>
      <c r="P426" s="1069">
        <v>548.79999999999995</v>
      </c>
      <c r="R426" s="231"/>
      <c r="S426" s="231"/>
      <c r="T426" s="231"/>
      <c r="U426" s="231"/>
      <c r="V426" s="231"/>
      <c r="W426" s="231"/>
      <c r="X426" s="231"/>
      <c r="Y426" s="231"/>
      <c r="Z426" s="231"/>
      <c r="AA426" s="231"/>
      <c r="AB426" s="231"/>
      <c r="AC426" s="231"/>
      <c r="AD426" s="422"/>
      <c r="AE426" s="422"/>
      <c r="AF426" s="422"/>
      <c r="AG426" s="422"/>
      <c r="AH426" s="422"/>
      <c r="AI426" s="422"/>
      <c r="AJ426" s="422"/>
      <c r="AK426" s="422"/>
      <c r="AL426" s="422"/>
      <c r="AM426" s="422"/>
      <c r="AN426" s="422"/>
      <c r="AO426" s="422"/>
    </row>
    <row r="427" spans="3:41" s="230" customFormat="1" ht="15" customHeight="1">
      <c r="C427" s="298"/>
      <c r="D427" s="173" t="str">
        <f>IF(Indice_index!$Z$1=1,"março","March")</f>
        <v>março</v>
      </c>
      <c r="E427" s="1081">
        <v>1036</v>
      </c>
      <c r="F427" s="1081">
        <v>222</v>
      </c>
      <c r="G427" s="1081">
        <v>1078</v>
      </c>
      <c r="H427" s="1081">
        <v>2336</v>
      </c>
      <c r="I427" s="1081">
        <v>2405</v>
      </c>
      <c r="J427" s="1082">
        <v>1613764.1900000002</v>
      </c>
      <c r="K427" s="1082">
        <v>133205.26999999999</v>
      </c>
      <c r="L427" s="1082">
        <v>613383.06000000006</v>
      </c>
      <c r="M427" s="1082">
        <v>2360352.5200000005</v>
      </c>
      <c r="N427" s="1082">
        <v>2673440.56</v>
      </c>
      <c r="O427" s="1082">
        <v>1388.7</v>
      </c>
      <c r="P427" s="1082">
        <v>569</v>
      </c>
      <c r="R427" s="231"/>
      <c r="S427" s="231"/>
      <c r="T427" s="231"/>
      <c r="U427" s="231"/>
      <c r="V427" s="231"/>
      <c r="W427" s="231"/>
      <c r="X427" s="231"/>
      <c r="Y427" s="231"/>
      <c r="Z427" s="231"/>
      <c r="AA427" s="231"/>
      <c r="AB427" s="231"/>
      <c r="AC427" s="231"/>
      <c r="AD427" s="422"/>
      <c r="AE427" s="422"/>
      <c r="AF427" s="422"/>
      <c r="AG427" s="422"/>
      <c r="AH427" s="422"/>
      <c r="AI427" s="422"/>
      <c r="AJ427" s="422"/>
      <c r="AK427" s="422"/>
      <c r="AL427" s="422"/>
      <c r="AM427" s="422"/>
      <c r="AN427" s="422"/>
      <c r="AO427" s="422"/>
    </row>
    <row r="428" spans="3:41" s="230" customFormat="1" ht="15" customHeight="1">
      <c r="C428" s="298"/>
      <c r="D428" s="173" t="str">
        <f>IF(Indice_index!$Z$1=1,"abril","April")</f>
        <v>abril</v>
      </c>
      <c r="E428" s="1068">
        <v>1283</v>
      </c>
      <c r="F428" s="1068">
        <v>72</v>
      </c>
      <c r="G428" s="1068">
        <v>1236</v>
      </c>
      <c r="H428" s="1068">
        <v>2591</v>
      </c>
      <c r="I428" s="1068">
        <v>1968</v>
      </c>
      <c r="J428" s="1069">
        <v>1804177.68</v>
      </c>
      <c r="K428" s="1069">
        <v>70996.08</v>
      </c>
      <c r="L428" s="1069">
        <v>710753.37</v>
      </c>
      <c r="M428" s="1069">
        <v>2585927.13</v>
      </c>
      <c r="N428" s="1069">
        <v>2223482.38</v>
      </c>
      <c r="O428" s="1069">
        <v>1383.9</v>
      </c>
      <c r="P428" s="1069">
        <v>575</v>
      </c>
      <c r="R428" s="231"/>
      <c r="S428" s="231"/>
      <c r="T428" s="231"/>
      <c r="U428" s="231"/>
      <c r="V428" s="231"/>
      <c r="W428" s="231"/>
      <c r="X428" s="231"/>
      <c r="Y428" s="231"/>
      <c r="Z428" s="231"/>
      <c r="AA428" s="231"/>
      <c r="AB428" s="231"/>
      <c r="AC428" s="231"/>
      <c r="AD428" s="422"/>
      <c r="AE428" s="422"/>
      <c r="AF428" s="422"/>
      <c r="AG428" s="422"/>
      <c r="AH428" s="422"/>
      <c r="AI428" s="422"/>
      <c r="AJ428" s="422"/>
      <c r="AK428" s="422"/>
      <c r="AL428" s="422"/>
      <c r="AM428" s="422"/>
      <c r="AN428" s="422"/>
      <c r="AO428" s="422"/>
    </row>
    <row r="429" spans="3:41" s="230" customFormat="1" ht="15" customHeight="1">
      <c r="C429" s="298"/>
      <c r="D429" s="173" t="str">
        <f>IF(Indice_index!$Z$1=1,"maio","May")</f>
        <v>maio</v>
      </c>
      <c r="E429" s="1083">
        <v>1308</v>
      </c>
      <c r="F429" s="1083">
        <v>110</v>
      </c>
      <c r="G429" s="1083">
        <v>1023</v>
      </c>
      <c r="H429" s="1083">
        <v>2441</v>
      </c>
      <c r="I429" s="1083">
        <v>1258</v>
      </c>
      <c r="J429" s="1084">
        <v>1815930.3900000001</v>
      </c>
      <c r="K429" s="1084">
        <v>133305.41</v>
      </c>
      <c r="L429" s="1084">
        <v>555171.43000000005</v>
      </c>
      <c r="M429" s="1084">
        <v>2504407.23</v>
      </c>
      <c r="N429" s="1084">
        <v>1405971.93</v>
      </c>
      <c r="O429" s="1084">
        <v>1374.6</v>
      </c>
      <c r="P429" s="1084">
        <v>542.70000000000005</v>
      </c>
      <c r="R429" s="231"/>
      <c r="S429" s="231"/>
      <c r="T429" s="231"/>
      <c r="U429" s="231"/>
      <c r="V429" s="231"/>
      <c r="W429" s="231"/>
      <c r="X429" s="231"/>
      <c r="Y429" s="231"/>
      <c r="Z429" s="231"/>
      <c r="AA429" s="231"/>
      <c r="AB429" s="231"/>
      <c r="AC429" s="231"/>
      <c r="AD429" s="422"/>
      <c r="AE429" s="422"/>
      <c r="AF429" s="422"/>
      <c r="AG429" s="422"/>
      <c r="AH429" s="422"/>
      <c r="AI429" s="422"/>
      <c r="AJ429" s="422"/>
      <c r="AK429" s="422"/>
      <c r="AL429" s="422"/>
      <c r="AM429" s="422"/>
      <c r="AN429" s="422"/>
      <c r="AO429" s="422"/>
    </row>
    <row r="430" spans="3:41" s="230" customFormat="1" ht="15" customHeight="1">
      <c r="C430" s="298"/>
      <c r="D430" s="173" t="str">
        <f>IF(Indice_index!$Z$1=1,"junho","June")</f>
        <v>junho</v>
      </c>
      <c r="E430" s="1085">
        <v>1295</v>
      </c>
      <c r="F430" s="1085">
        <v>111</v>
      </c>
      <c r="G430" s="1085">
        <v>934</v>
      </c>
      <c r="H430" s="1085">
        <v>2340</v>
      </c>
      <c r="I430" s="1085">
        <v>1117</v>
      </c>
      <c r="J430" s="1086">
        <v>1705979.83</v>
      </c>
      <c r="K430" s="1086">
        <v>133788.29999999999</v>
      </c>
      <c r="L430" s="1086">
        <v>509751.18</v>
      </c>
      <c r="M430" s="1086">
        <v>2349519.31</v>
      </c>
      <c r="N430" s="1086">
        <v>1237118.06</v>
      </c>
      <c r="O430" s="1086">
        <v>1308.5</v>
      </c>
      <c r="P430" s="1086">
        <v>545.79999999999995</v>
      </c>
      <c r="R430" s="231"/>
      <c r="S430" s="231"/>
      <c r="T430" s="231"/>
      <c r="U430" s="231"/>
      <c r="V430" s="231"/>
      <c r="W430" s="231"/>
      <c r="X430" s="231"/>
      <c r="Y430" s="231"/>
      <c r="Z430" s="231"/>
      <c r="AA430" s="231"/>
      <c r="AB430" s="231"/>
      <c r="AC430" s="231"/>
    </row>
    <row r="431" spans="3:41" s="230" customFormat="1" ht="15" customHeight="1">
      <c r="C431" s="298"/>
      <c r="D431" s="173" t="str">
        <f>IF(Indice_index!$Z$1=1,"julho","July")</f>
        <v>julho</v>
      </c>
      <c r="E431" s="1087">
        <v>1548</v>
      </c>
      <c r="F431" s="1087">
        <v>107</v>
      </c>
      <c r="G431" s="1087">
        <v>769</v>
      </c>
      <c r="H431" s="1087">
        <v>2424</v>
      </c>
      <c r="I431" s="1087">
        <v>1105</v>
      </c>
      <c r="J431" s="1088">
        <v>2041996.1</v>
      </c>
      <c r="K431" s="1088">
        <v>127232.38</v>
      </c>
      <c r="L431" s="1088">
        <v>390379.21</v>
      </c>
      <c r="M431" s="1088">
        <v>2559607.69</v>
      </c>
      <c r="N431" s="1088">
        <v>1305963.02</v>
      </c>
      <c r="O431" s="1088">
        <v>1310.7</v>
      </c>
      <c r="P431" s="1088">
        <v>507.6</v>
      </c>
      <c r="R431" s="231"/>
      <c r="S431" s="231"/>
      <c r="T431" s="231"/>
      <c r="U431" s="231"/>
      <c r="V431" s="231"/>
      <c r="W431" s="231"/>
      <c r="X431" s="231"/>
      <c r="Y431" s="231"/>
      <c r="Z431" s="231"/>
      <c r="AA431" s="231"/>
      <c r="AB431" s="231"/>
      <c r="AC431" s="231"/>
    </row>
    <row r="432" spans="3:41" s="230" customFormat="1" ht="15" customHeight="1">
      <c r="C432" s="298"/>
      <c r="D432" s="173" t="str">
        <f>IF(Indice_index!$Z$1=1,"agosto","August")</f>
        <v>agosto</v>
      </c>
      <c r="E432" s="1089">
        <v>1486</v>
      </c>
      <c r="F432" s="1089">
        <v>126</v>
      </c>
      <c r="G432" s="1089">
        <v>863</v>
      </c>
      <c r="H432" s="1089">
        <v>2475</v>
      </c>
      <c r="I432" s="1089">
        <v>1058</v>
      </c>
      <c r="J432" s="1090">
        <v>1897364.2</v>
      </c>
      <c r="K432" s="1090">
        <v>142210.25</v>
      </c>
      <c r="L432" s="1090">
        <v>468601</v>
      </c>
      <c r="M432" s="1090">
        <v>2508175.4500000002</v>
      </c>
      <c r="N432" s="1090">
        <v>1161705</v>
      </c>
      <c r="O432" s="1091">
        <v>1265.2</v>
      </c>
      <c r="P432" s="1091">
        <v>543</v>
      </c>
    </row>
    <row r="433" spans="3:41" s="230" customFormat="1" ht="15" customHeight="1">
      <c r="C433" s="298"/>
      <c r="D433" s="173" t="str">
        <f>IF(Indice_index!$Z$1=1,"setembro","September")</f>
        <v>setembro</v>
      </c>
      <c r="E433" s="1092">
        <v>1195</v>
      </c>
      <c r="F433" s="1092">
        <v>88</v>
      </c>
      <c r="G433" s="1092">
        <v>728</v>
      </c>
      <c r="H433" s="1092">
        <v>2011</v>
      </c>
      <c r="I433" s="1092">
        <v>1125</v>
      </c>
      <c r="J433" s="1093">
        <v>1784873.2</v>
      </c>
      <c r="K433" s="1093">
        <v>94208.49</v>
      </c>
      <c r="L433" s="1093">
        <v>389174.55</v>
      </c>
      <c r="M433" s="1093">
        <v>2268256.2399999998</v>
      </c>
      <c r="N433" s="1093">
        <v>1343124.69</v>
      </c>
      <c r="O433" s="1094">
        <v>1464.6</v>
      </c>
      <c r="P433" s="1094">
        <v>534.6</v>
      </c>
    </row>
    <row r="434" spans="3:41" s="230" customFormat="1" ht="15" customHeight="1">
      <c r="C434" s="298"/>
      <c r="D434" s="173" t="str">
        <f>IF(Indice_index!$Z$1=1,"outubro","October")</f>
        <v>outubro</v>
      </c>
      <c r="E434" s="1074">
        <v>1266</v>
      </c>
      <c r="F434" s="1074">
        <v>100</v>
      </c>
      <c r="G434" s="1074">
        <v>617</v>
      </c>
      <c r="H434" s="1074">
        <v>1983</v>
      </c>
      <c r="I434" s="1074">
        <v>1209</v>
      </c>
      <c r="J434" s="1075">
        <v>1666727.6800000002</v>
      </c>
      <c r="K434" s="1075">
        <v>122592.57999999999</v>
      </c>
      <c r="L434" s="1075">
        <v>317206.96000000002</v>
      </c>
      <c r="M434" s="1075">
        <v>2106527.2200000002</v>
      </c>
      <c r="N434" s="1075">
        <v>1330476.01</v>
      </c>
      <c r="O434" s="1075">
        <v>1309.9000000000001</v>
      </c>
      <c r="P434" s="1075">
        <v>514.1</v>
      </c>
    </row>
    <row r="435" spans="3:41" s="172" customFormat="1" ht="15" customHeight="1">
      <c r="C435" s="1067"/>
      <c r="D435" s="173" t="str">
        <f>IF(Indice_index!$Z$1=1,"novembro","November")</f>
        <v>novembro</v>
      </c>
      <c r="E435" s="1076">
        <v>1183</v>
      </c>
      <c r="F435" s="1076">
        <v>103</v>
      </c>
      <c r="G435" s="1076">
        <v>799</v>
      </c>
      <c r="H435" s="1076">
        <v>2085</v>
      </c>
      <c r="I435" s="1076">
        <v>1166</v>
      </c>
      <c r="J435" s="1077">
        <v>1598623.57</v>
      </c>
      <c r="K435" s="1077">
        <v>130135.86000000002</v>
      </c>
      <c r="L435" s="1077">
        <v>460655.36000000004</v>
      </c>
      <c r="M435" s="1077">
        <v>2189414.79</v>
      </c>
      <c r="N435" s="1077">
        <v>1319273.3500000001</v>
      </c>
      <c r="O435" s="1077">
        <v>1344.3</v>
      </c>
      <c r="P435" s="1077">
        <v>576.5</v>
      </c>
      <c r="R435" s="230"/>
      <c r="S435" s="230"/>
      <c r="T435" s="230"/>
      <c r="U435" s="230"/>
      <c r="V435" s="230"/>
      <c r="W435" s="230"/>
      <c r="X435" s="230"/>
      <c r="Y435" s="230"/>
      <c r="Z435" s="230"/>
      <c r="AA435" s="230"/>
      <c r="AB435" s="230"/>
      <c r="AC435" s="230"/>
    </row>
    <row r="436" spans="3:41" s="230" customFormat="1" ht="15" customHeight="1">
      <c r="C436" s="996"/>
      <c r="D436" s="173" t="str">
        <f>IF(Indice_index!$Z$1=1,"dezembro","December")</f>
        <v>dezembro</v>
      </c>
      <c r="E436" s="1095">
        <v>1258</v>
      </c>
      <c r="F436" s="1095">
        <v>86</v>
      </c>
      <c r="G436" s="1095">
        <v>799</v>
      </c>
      <c r="H436" s="1095">
        <v>2143</v>
      </c>
      <c r="I436" s="1095">
        <v>1157</v>
      </c>
      <c r="J436" s="1096">
        <v>1695800.9499999997</v>
      </c>
      <c r="K436" s="1096">
        <v>99472.79</v>
      </c>
      <c r="L436" s="1096">
        <v>423524.91</v>
      </c>
      <c r="M436" s="1096">
        <v>2218798.65</v>
      </c>
      <c r="N436" s="1096">
        <v>1390334.04</v>
      </c>
      <c r="O436" s="1097">
        <v>1335.8</v>
      </c>
      <c r="P436" s="1097">
        <v>530.1</v>
      </c>
      <c r="X436" s="50"/>
      <c r="Y436" s="50"/>
      <c r="Z436" s="50"/>
      <c r="AA436" s="171"/>
    </row>
    <row r="437" spans="3:41" s="230" customFormat="1" ht="15" customHeight="1">
      <c r="C437" s="1080" t="s">
        <v>74</v>
      </c>
      <c r="D437" s="172"/>
      <c r="E437" s="1063"/>
      <c r="F437" s="1063"/>
      <c r="G437" s="1063"/>
      <c r="H437" s="1063"/>
      <c r="I437" s="1063"/>
      <c r="J437" s="1064"/>
      <c r="K437" s="1064"/>
      <c r="L437" s="1064"/>
      <c r="M437" s="1064"/>
      <c r="N437" s="1064"/>
      <c r="O437" s="1064"/>
      <c r="P437" s="1064"/>
      <c r="R437" s="231"/>
      <c r="S437" s="231"/>
      <c r="T437" s="231"/>
      <c r="U437" s="231"/>
      <c r="V437" s="231"/>
      <c r="W437" s="231"/>
      <c r="X437" s="231"/>
      <c r="Y437" s="231"/>
      <c r="Z437" s="231"/>
      <c r="AA437" s="231"/>
      <c r="AB437" s="231"/>
      <c r="AC437" s="231"/>
    </row>
    <row r="438" spans="3:41" s="172" customFormat="1" ht="15" customHeight="1">
      <c r="C438" s="1067"/>
      <c r="D438" s="173" t="str">
        <f>IF(Indice_index!$Z$1=1,"janeiro","January")</f>
        <v>janeiro</v>
      </c>
      <c r="E438" s="1098">
        <v>1437</v>
      </c>
      <c r="F438" s="1098">
        <v>96</v>
      </c>
      <c r="G438" s="1098">
        <v>623</v>
      </c>
      <c r="H438" s="1098">
        <v>2156</v>
      </c>
      <c r="I438" s="1098">
        <v>1325</v>
      </c>
      <c r="J438" s="1099">
        <v>2005121.44</v>
      </c>
      <c r="K438" s="1099">
        <v>106031.63</v>
      </c>
      <c r="L438" s="1099">
        <v>320876.56999999989</v>
      </c>
      <c r="M438" s="1099">
        <v>2432029.6399999997</v>
      </c>
      <c r="N438" s="1099">
        <v>1521835.02</v>
      </c>
      <c r="O438" s="1100">
        <v>1377.1</v>
      </c>
      <c r="P438" s="1100">
        <v>515.1</v>
      </c>
      <c r="R438" s="231"/>
      <c r="S438" s="231"/>
      <c r="T438" s="231"/>
      <c r="U438" s="231"/>
      <c r="V438" s="231"/>
      <c r="W438" s="231"/>
      <c r="X438" s="231"/>
      <c r="Y438" s="231"/>
      <c r="Z438" s="231"/>
      <c r="AA438" s="231"/>
      <c r="AB438" s="231"/>
      <c r="AC438" s="231"/>
      <c r="AD438" s="422"/>
      <c r="AE438" s="422"/>
      <c r="AF438" s="422"/>
      <c r="AG438" s="422"/>
      <c r="AH438" s="422"/>
      <c r="AI438" s="422"/>
      <c r="AJ438" s="422"/>
      <c r="AK438" s="422"/>
      <c r="AL438" s="422"/>
      <c r="AM438" s="422"/>
      <c r="AN438" s="422"/>
      <c r="AO438" s="422"/>
    </row>
    <row r="439" spans="3:41" s="172" customFormat="1" ht="15" customHeight="1">
      <c r="C439" s="1067"/>
      <c r="D439" s="173" t="str">
        <f>IF(Indice_index!$Z$1=1,"fevereiro","February")</f>
        <v>fevereiro</v>
      </c>
      <c r="E439" s="1101">
        <v>1337</v>
      </c>
      <c r="F439" s="1101">
        <v>52</v>
      </c>
      <c r="G439" s="1101">
        <v>696</v>
      </c>
      <c r="H439" s="1101">
        <v>2085</v>
      </c>
      <c r="I439" s="1101">
        <v>1497</v>
      </c>
      <c r="J439" s="1102">
        <v>1901082.0899999999</v>
      </c>
      <c r="K439" s="1102">
        <v>66170.700000000012</v>
      </c>
      <c r="L439" s="1102">
        <v>405249.56</v>
      </c>
      <c r="M439" s="1102">
        <v>2372502.3499999996</v>
      </c>
      <c r="N439" s="1102">
        <v>1719682.26</v>
      </c>
      <c r="O439" s="1103">
        <v>1416.3</v>
      </c>
      <c r="P439" s="1104">
        <v>582.29999999999995</v>
      </c>
      <c r="R439" s="231"/>
      <c r="S439" s="231"/>
      <c r="T439" s="231"/>
      <c r="U439" s="231"/>
      <c r="V439" s="231"/>
      <c r="W439" s="231"/>
      <c r="X439" s="231"/>
      <c r="Y439" s="231"/>
      <c r="Z439" s="231"/>
      <c r="AA439" s="231"/>
      <c r="AB439" s="231"/>
      <c r="AC439" s="231"/>
      <c r="AD439" s="422"/>
      <c r="AE439" s="422"/>
      <c r="AF439" s="422"/>
      <c r="AG439" s="422"/>
      <c r="AH439" s="422"/>
      <c r="AI439" s="422"/>
      <c r="AJ439" s="422"/>
      <c r="AK439" s="422"/>
      <c r="AL439" s="422"/>
      <c r="AM439" s="422"/>
      <c r="AN439" s="422"/>
      <c r="AO439" s="422"/>
    </row>
    <row r="440" spans="3:41" s="230" customFormat="1" ht="15" customHeight="1">
      <c r="C440" s="298"/>
      <c r="D440" s="173" t="str">
        <f>IF(Indice_index!$Z$1=1,"março","March")</f>
        <v>março</v>
      </c>
      <c r="E440" s="1105">
        <v>1127</v>
      </c>
      <c r="F440" s="1105">
        <v>81</v>
      </c>
      <c r="G440" s="1105">
        <v>752</v>
      </c>
      <c r="H440" s="1105">
        <v>1960</v>
      </c>
      <c r="I440" s="1105">
        <v>1408</v>
      </c>
      <c r="J440" s="1106">
        <v>1752452.3</v>
      </c>
      <c r="K440" s="1106">
        <v>92017.790000000008</v>
      </c>
      <c r="L440" s="1106">
        <v>360523.12999999995</v>
      </c>
      <c r="M440" s="1106">
        <v>2204993.2200000002</v>
      </c>
      <c r="N440" s="1106">
        <v>1619825.08</v>
      </c>
      <c r="O440" s="1107">
        <v>1526.9</v>
      </c>
      <c r="P440" s="1108">
        <v>479.4</v>
      </c>
      <c r="R440" s="231"/>
      <c r="S440" s="231"/>
      <c r="T440" s="231"/>
      <c r="U440" s="231"/>
      <c r="V440" s="231"/>
      <c r="W440" s="231"/>
      <c r="X440" s="231"/>
      <c r="Y440" s="231"/>
      <c r="Z440" s="231"/>
      <c r="AA440" s="231"/>
      <c r="AB440" s="231"/>
      <c r="AC440" s="231"/>
      <c r="AD440" s="422"/>
      <c r="AE440" s="422"/>
      <c r="AF440" s="422"/>
      <c r="AG440" s="422"/>
      <c r="AH440" s="422"/>
      <c r="AI440" s="422"/>
      <c r="AJ440" s="422"/>
      <c r="AK440" s="422"/>
      <c r="AL440" s="422"/>
      <c r="AM440" s="422"/>
      <c r="AN440" s="422"/>
      <c r="AO440" s="422"/>
    </row>
    <row r="441" spans="3:41" s="230" customFormat="1" ht="15" customHeight="1">
      <c r="C441" s="298"/>
      <c r="D441" s="173" t="str">
        <f>IF(Indice_index!$Z$1=1,"abril","April")</f>
        <v>abril</v>
      </c>
      <c r="E441" s="1068">
        <v>1334</v>
      </c>
      <c r="F441" s="1068">
        <v>67</v>
      </c>
      <c r="G441" s="1068">
        <v>932</v>
      </c>
      <c r="H441" s="1068">
        <v>2333</v>
      </c>
      <c r="I441" s="1068">
        <v>1429</v>
      </c>
      <c r="J441" s="1069">
        <v>1988858.03</v>
      </c>
      <c r="K441" s="1069">
        <v>70479.95</v>
      </c>
      <c r="L441" s="1069">
        <v>490821.11999999988</v>
      </c>
      <c r="M441" s="1069">
        <v>2550159.0999999996</v>
      </c>
      <c r="N441" s="1069">
        <v>1619993.07</v>
      </c>
      <c r="O441" s="1069">
        <v>1469.9</v>
      </c>
      <c r="P441" s="1069">
        <v>526.6</v>
      </c>
      <c r="R441" s="231"/>
      <c r="S441" s="231"/>
      <c r="T441" s="231"/>
      <c r="U441" s="231"/>
      <c r="V441" s="231"/>
      <c r="W441" s="231"/>
      <c r="X441" s="231"/>
      <c r="Y441" s="231"/>
      <c r="Z441" s="231"/>
      <c r="AA441" s="231"/>
      <c r="AB441" s="231"/>
      <c r="AC441" s="231"/>
      <c r="AD441" s="422"/>
      <c r="AE441" s="422"/>
      <c r="AF441" s="422"/>
      <c r="AG441" s="422"/>
      <c r="AH441" s="422"/>
      <c r="AI441" s="422"/>
      <c r="AJ441" s="422"/>
      <c r="AK441" s="422"/>
      <c r="AL441" s="422"/>
      <c r="AM441" s="422"/>
      <c r="AN441" s="422"/>
      <c r="AO441" s="422"/>
    </row>
    <row r="442" spans="3:41" s="230" customFormat="1" ht="15" customHeight="1">
      <c r="C442" s="298"/>
      <c r="D442" s="173" t="str">
        <f>IF(Indice_index!$Z$1=1,"maio","May")</f>
        <v>maio</v>
      </c>
      <c r="E442" s="1083">
        <v>1554</v>
      </c>
      <c r="F442" s="1083">
        <v>77</v>
      </c>
      <c r="G442" s="1083">
        <v>810</v>
      </c>
      <c r="H442" s="1083">
        <v>2441</v>
      </c>
      <c r="I442" s="1083">
        <v>1358</v>
      </c>
      <c r="J442" s="1084">
        <v>2514972.58</v>
      </c>
      <c r="K442" s="1084">
        <v>86613.47</v>
      </c>
      <c r="L442" s="1084">
        <v>459321.77999999997</v>
      </c>
      <c r="M442" s="1084">
        <v>3060907.83</v>
      </c>
      <c r="N442" s="1084">
        <v>1554368.07</v>
      </c>
      <c r="O442" s="1084">
        <v>1595.1</v>
      </c>
      <c r="P442" s="1084">
        <v>567.1</v>
      </c>
      <c r="R442" s="231"/>
      <c r="S442" s="231"/>
      <c r="T442" s="231"/>
      <c r="U442" s="231"/>
      <c r="V442" s="231"/>
      <c r="W442" s="231"/>
      <c r="X442" s="231"/>
      <c r="Y442" s="231"/>
      <c r="Z442" s="231"/>
      <c r="AA442" s="231"/>
      <c r="AB442" s="231"/>
      <c r="AC442" s="231"/>
      <c r="AD442" s="422"/>
      <c r="AE442" s="422"/>
      <c r="AF442" s="422"/>
      <c r="AG442" s="422"/>
      <c r="AH442" s="422"/>
      <c r="AI442" s="422"/>
      <c r="AJ442" s="422"/>
      <c r="AK442" s="422"/>
      <c r="AL442" s="422"/>
      <c r="AM442" s="422"/>
      <c r="AN442" s="422"/>
      <c r="AO442" s="422"/>
    </row>
    <row r="443" spans="3:41" s="230" customFormat="1" ht="15" customHeight="1">
      <c r="C443" s="298"/>
      <c r="D443" s="173" t="str">
        <f>IF(Indice_index!$Z$1=1,"junho","June")</f>
        <v>junho</v>
      </c>
      <c r="E443" s="1085">
        <v>1596</v>
      </c>
      <c r="F443" s="1085">
        <v>97</v>
      </c>
      <c r="G443" s="1085">
        <v>836</v>
      </c>
      <c r="H443" s="1085">
        <v>2529</v>
      </c>
      <c r="I443" s="1085">
        <v>1321</v>
      </c>
      <c r="J443" s="1086">
        <v>2633457.0499999998</v>
      </c>
      <c r="K443" s="1086">
        <v>108886.82999999999</v>
      </c>
      <c r="L443" s="1086">
        <v>454842.29999999993</v>
      </c>
      <c r="M443" s="1086">
        <v>3197186.1799999997</v>
      </c>
      <c r="N443" s="1086">
        <v>1532259.16</v>
      </c>
      <c r="O443" s="1086">
        <v>1619.8</v>
      </c>
      <c r="P443" s="1086">
        <v>544.1</v>
      </c>
      <c r="R443" s="231"/>
      <c r="S443" s="231"/>
      <c r="T443" s="231"/>
      <c r="U443" s="231"/>
      <c r="V443" s="231"/>
      <c r="W443" s="231"/>
      <c r="X443" s="231"/>
      <c r="Y443" s="231"/>
      <c r="Z443" s="231"/>
      <c r="AA443" s="231"/>
      <c r="AB443" s="231"/>
      <c r="AC443" s="231"/>
    </row>
    <row r="444" spans="3:41" s="230" customFormat="1" ht="15" customHeight="1">
      <c r="C444" s="298"/>
      <c r="D444" s="173" t="str">
        <f>IF(Indice_index!$Z$1=1,"julho","July")</f>
        <v>julho</v>
      </c>
      <c r="E444" s="1087">
        <v>1070</v>
      </c>
      <c r="F444" s="1087">
        <v>80</v>
      </c>
      <c r="G444" s="1087">
        <v>690</v>
      </c>
      <c r="H444" s="1087">
        <v>1840</v>
      </c>
      <c r="I444" s="1087">
        <v>1259</v>
      </c>
      <c r="J444" s="1088">
        <v>1703883.1</v>
      </c>
      <c r="K444" s="1088">
        <v>93666.53</v>
      </c>
      <c r="L444" s="1088">
        <v>373400.72000000003</v>
      </c>
      <c r="M444" s="1088">
        <v>2170950.35</v>
      </c>
      <c r="N444" s="1088">
        <v>1450557.63</v>
      </c>
      <c r="O444" s="1088">
        <v>1563.1</v>
      </c>
      <c r="P444" s="1088">
        <v>541.20000000000005</v>
      </c>
      <c r="R444" s="231"/>
      <c r="S444" s="231"/>
      <c r="T444" s="231"/>
      <c r="U444" s="231"/>
      <c r="V444" s="231"/>
      <c r="W444" s="231"/>
      <c r="X444" s="231"/>
      <c r="Y444" s="231"/>
      <c r="Z444" s="231"/>
      <c r="AA444" s="231"/>
      <c r="AB444" s="231"/>
      <c r="AC444" s="231"/>
    </row>
    <row r="445" spans="3:41" s="230" customFormat="1" ht="15" hidden="1" customHeight="1">
      <c r="C445" s="298"/>
      <c r="D445" s="173" t="str">
        <f>IF(Indice_index!$Z$1=1,"agosto","August")</f>
        <v>agosto</v>
      </c>
      <c r="E445" s="1089"/>
      <c r="F445" s="1089"/>
      <c r="G445" s="1089"/>
      <c r="H445" s="1089"/>
      <c r="I445" s="1089"/>
      <c r="J445" s="1090"/>
      <c r="K445" s="1090"/>
      <c r="L445" s="1090"/>
      <c r="M445" s="1090"/>
      <c r="N445" s="1090"/>
      <c r="O445" s="1091"/>
      <c r="P445" s="1091"/>
    </row>
    <row r="446" spans="3:41" s="230" customFormat="1" ht="15" hidden="1" customHeight="1">
      <c r="C446" s="298"/>
      <c r="D446" s="173" t="str">
        <f>IF(Indice_index!$Z$1=1,"setembro","September")</f>
        <v>setembro</v>
      </c>
      <c r="E446" s="1092"/>
      <c r="F446" s="1092"/>
      <c r="G446" s="1092"/>
      <c r="H446" s="1092"/>
      <c r="I446" s="1092"/>
      <c r="J446" s="1093"/>
      <c r="K446" s="1093"/>
      <c r="L446" s="1093"/>
      <c r="M446" s="1093"/>
      <c r="N446" s="1093"/>
      <c r="O446" s="1094"/>
      <c r="P446" s="1094"/>
    </row>
    <row r="447" spans="3:41" s="230" customFormat="1" ht="15" hidden="1" customHeight="1">
      <c r="C447" s="298"/>
      <c r="D447" s="173" t="str">
        <f>IF(Indice_index!$Z$1=1,"outubro","October")</f>
        <v>outubro</v>
      </c>
      <c r="E447" s="1074"/>
      <c r="F447" s="1074"/>
      <c r="G447" s="1074"/>
      <c r="H447" s="1074"/>
      <c r="I447" s="1074"/>
      <c r="J447" s="1075"/>
      <c r="K447" s="1075"/>
      <c r="L447" s="1075"/>
      <c r="M447" s="1075"/>
      <c r="N447" s="1075"/>
      <c r="O447" s="1075"/>
      <c r="P447" s="1075"/>
    </row>
    <row r="448" spans="3:41" s="172" customFormat="1" ht="15" hidden="1" customHeight="1">
      <c r="C448" s="1067"/>
      <c r="D448" s="173" t="str">
        <f>IF(Indice_index!$Z$1=1,"novembro","November")</f>
        <v>novembro</v>
      </c>
      <c r="E448" s="1076"/>
      <c r="F448" s="1076"/>
      <c r="G448" s="1076"/>
      <c r="H448" s="1076"/>
      <c r="I448" s="1076"/>
      <c r="J448" s="1077"/>
      <c r="K448" s="1077"/>
      <c r="L448" s="1077"/>
      <c r="M448" s="1077"/>
      <c r="N448" s="1077"/>
      <c r="O448" s="1077"/>
      <c r="P448" s="1077"/>
      <c r="R448" s="230"/>
      <c r="S448" s="230"/>
      <c r="T448" s="230"/>
      <c r="U448" s="230"/>
      <c r="V448" s="230"/>
      <c r="W448" s="230"/>
      <c r="X448" s="230"/>
      <c r="Y448" s="230"/>
      <c r="Z448" s="230"/>
      <c r="AA448" s="230"/>
      <c r="AB448" s="230"/>
      <c r="AC448" s="230"/>
    </row>
    <row r="449" spans="3:27" s="230" customFormat="1" ht="15" hidden="1" customHeight="1">
      <c r="C449" s="996"/>
      <c r="D449" s="173" t="str">
        <f>IF(Indice_index!$Z$1=1,"dezembro","December")</f>
        <v>dezembro</v>
      </c>
      <c r="E449" s="1095"/>
      <c r="F449" s="1095"/>
      <c r="G449" s="1095"/>
      <c r="H449" s="1095"/>
      <c r="I449" s="1095"/>
      <c r="J449" s="1096"/>
      <c r="K449" s="1096"/>
      <c r="L449" s="1096"/>
      <c r="M449" s="1096"/>
      <c r="N449" s="1096"/>
      <c r="O449" s="1097"/>
      <c r="P449" s="1097"/>
      <c r="X449" s="50"/>
      <c r="Y449" s="50"/>
      <c r="Z449" s="50"/>
      <c r="AA449" s="171"/>
    </row>
    <row r="450" spans="3:27" s="230" customFormat="1" ht="3" customHeight="1">
      <c r="C450" s="989"/>
      <c r="D450" s="990"/>
      <c r="E450" s="990"/>
      <c r="F450" s="990"/>
      <c r="G450" s="990"/>
      <c r="H450" s="990"/>
      <c r="I450" s="990"/>
      <c r="J450" s="990"/>
      <c r="K450" s="990"/>
      <c r="L450" s="990"/>
      <c r="M450" s="990"/>
      <c r="N450" s="990"/>
      <c r="O450" s="990"/>
      <c r="P450" s="990"/>
      <c r="AA450" s="171"/>
    </row>
    <row r="451" spans="3:27" s="230" customFormat="1" ht="15" customHeight="1">
      <c r="C451" s="1109"/>
      <c r="F451" s="171"/>
      <c r="G451" s="171"/>
      <c r="H451" s="171"/>
      <c r="I451" s="171"/>
      <c r="J451" s="171"/>
      <c r="K451" s="171"/>
      <c r="L451" s="173"/>
      <c r="M451" s="173"/>
      <c r="N451" s="173"/>
      <c r="R451" s="172"/>
      <c r="X451" s="50"/>
      <c r="Y451" s="50"/>
      <c r="Z451" s="50"/>
      <c r="AA451" s="171"/>
    </row>
    <row r="452" spans="3:27" s="230" customFormat="1" ht="15" customHeight="1">
      <c r="C452" s="1109"/>
      <c r="F452" s="171"/>
      <c r="G452" s="171"/>
      <c r="H452" s="171"/>
      <c r="I452" s="171"/>
      <c r="J452" s="171"/>
      <c r="K452" s="171"/>
      <c r="L452" s="173"/>
      <c r="M452" s="173"/>
      <c r="N452" s="173"/>
      <c r="R452" s="172"/>
      <c r="X452" s="50"/>
      <c r="Y452" s="50"/>
      <c r="Z452" s="50"/>
      <c r="AA452" s="171"/>
    </row>
    <row r="453" spans="3:27" s="230" customFormat="1" ht="15" customHeight="1">
      <c r="C453" s="1059"/>
      <c r="D453" s="1034"/>
      <c r="E453" s="172"/>
      <c r="F453" s="1034"/>
      <c r="G453" s="1034"/>
      <c r="H453" s="172"/>
      <c r="I453" s="172"/>
      <c r="J453" s="172"/>
      <c r="K453" s="172"/>
      <c r="L453" s="172"/>
      <c r="M453" s="172"/>
      <c r="N453" s="172"/>
      <c r="O453" s="86"/>
      <c r="X453" s="50"/>
      <c r="Y453" s="50"/>
      <c r="Z453" s="50"/>
      <c r="AA453" s="171"/>
    </row>
    <row r="454" spans="3:27" s="230" customFormat="1" ht="12" customHeight="1">
      <c r="C454" s="987"/>
      <c r="D454" s="1060"/>
      <c r="E454" s="1775" t="str">
        <f>IF(Indice_index!$Z$1=1,"VH do número de pensionistas (%)","YOY Change Rate of the number of subscribers (%)")</f>
        <v>VH do número de pensionistas (%)</v>
      </c>
      <c r="F454" s="1775"/>
      <c r="G454" s="1775"/>
      <c r="H454" s="1775"/>
      <c r="I454" s="1775"/>
      <c r="J454" s="1744" t="str">
        <f>IF(Indice_index!$Z$1=1,"VHA da Despesa com pensões (€)","YOY Change Rate of the Expense with Pensions")</f>
        <v>VHA da Despesa com pensões (€)</v>
      </c>
      <c r="K454" s="1744"/>
      <c r="L454" s="1744"/>
      <c r="M454" s="1744"/>
      <c r="N454" s="1744"/>
      <c r="O454" s="1776" t="str">
        <f>IF(Indice_index!$Z$1=1,"VHA Pensão média nova Aposentação/Reforma (€)","YOY Change Rate of the Average Value paid per new Retirment Pensioner")</f>
        <v>VHA Pensão média nova Aposentação/Reforma (€)</v>
      </c>
      <c r="P454" s="1777" t="str">
        <f>IF(Indice_index!$Z$1=1,"VHA Pensão média nova Sobrevivência e Outras (€)","YOY Change Rate of the Average Value paid per new Survival and Others Pensioner")</f>
        <v>VHA Pensão média nova Sobrevivência e Outras (€)</v>
      </c>
      <c r="X454" s="50"/>
      <c r="Y454" s="50"/>
      <c r="Z454" s="50"/>
      <c r="AA454" s="171"/>
    </row>
    <row r="455" spans="3:27" s="230" customFormat="1" ht="12" customHeight="1">
      <c r="C455" s="1059"/>
      <c r="D455" s="1061"/>
      <c r="E455" s="1775" t="str">
        <f>IF(Indice_index!$Z$1=1,"Novos","New")</f>
        <v>Novos</v>
      </c>
      <c r="F455" s="1775"/>
      <c r="G455" s="1775"/>
      <c r="H455" s="1775"/>
      <c r="I455" s="1776" t="str">
        <f>IF(Indice_index!$Z$1=1,"Abonos abatidos de Aposentação /Reforma","Allowances deducted from Retirement / Pension")</f>
        <v>Abonos abatidos de Aposentação /Reforma</v>
      </c>
      <c r="J455" s="1744" t="str">
        <f>IF(Indice_index!$Z$1=1,"Novos","New")</f>
        <v>Novos</v>
      </c>
      <c r="K455" s="1744"/>
      <c r="L455" s="1744"/>
      <c r="M455" s="1744"/>
      <c r="N455" s="1776" t="str">
        <f>IF(Indice_index!$Z$1=1,"Abonos abatidos de Aposentação /Reforma","Allowances deducted from Retirement / Pension")</f>
        <v>Abonos abatidos de Aposentação /Reforma</v>
      </c>
      <c r="O455" s="1776"/>
      <c r="P455" s="1777"/>
      <c r="X455" s="50"/>
      <c r="Y455" s="50"/>
      <c r="Z455" s="50"/>
      <c r="AA455" s="171"/>
    </row>
    <row r="456" spans="3:27" s="230" customFormat="1" ht="42" customHeight="1">
      <c r="C456" s="989"/>
      <c r="D456" s="1062"/>
      <c r="E456" s="991" t="str">
        <f>IF(Indice_index!$Z$1=1,"Velhice e Outros Motivos","Old age and other Reasons")</f>
        <v>Velhice e Outros Motivos</v>
      </c>
      <c r="F456" s="992" t="str">
        <f>IF(Indice_index!$Z$1=1,"Invalidez","Disability")</f>
        <v>Invalidez</v>
      </c>
      <c r="G456" s="991" t="str">
        <f>IF(Indice_index!$Z$1=1,"Sobrevivência e Outros","Survival and Others")</f>
        <v>Sobrevivência e Outros</v>
      </c>
      <c r="H456" s="991" t="str">
        <f>IF(Indice_index!$Z$1=1,"Total de Pensionistas","Total of Pensioners")</f>
        <v>Total de Pensionistas</v>
      </c>
      <c r="I456" s="1776"/>
      <c r="J456" s="991" t="str">
        <f>IF(Indice_index!$Z$1=1,"Velhice e Outros Motivos","Old age and other Reasons")</f>
        <v>Velhice e Outros Motivos</v>
      </c>
      <c r="K456" s="992" t="str">
        <f>IF(Indice_index!$Z$1=1,"Invalidez","Disability")</f>
        <v>Invalidez</v>
      </c>
      <c r="L456" s="991" t="str">
        <f>IF(Indice_index!$Z$1=1,"Sobrevivência e Outros","Survival and Others")</f>
        <v>Sobrevivência e Outros</v>
      </c>
      <c r="M456" s="991" t="str">
        <f>IF(Indice_index!$Z$1=1,"Total","Total")</f>
        <v>Total</v>
      </c>
      <c r="N456" s="1776"/>
      <c r="O456" s="1776"/>
      <c r="P456" s="1777"/>
      <c r="X456" s="50"/>
      <c r="Y456" s="50"/>
      <c r="Z456" s="50"/>
      <c r="AA456" s="171"/>
    </row>
    <row r="457" spans="3:27" s="230" customFormat="1" hidden="1">
      <c r="C457" s="993" t="s">
        <v>11</v>
      </c>
      <c r="D457" s="685"/>
      <c r="E457" s="1063"/>
      <c r="F457" s="1063"/>
      <c r="G457" s="1063"/>
      <c r="H457" s="1063"/>
      <c r="I457" s="1063"/>
      <c r="J457" s="1064"/>
      <c r="K457" s="1064"/>
      <c r="L457" s="1064"/>
      <c r="M457" s="172"/>
      <c r="N457" s="1063"/>
      <c r="O457" s="1064"/>
      <c r="X457" s="50"/>
      <c r="Y457" s="50"/>
      <c r="Z457" s="50"/>
      <c r="AA457" s="171"/>
    </row>
    <row r="458" spans="3:27" s="230" customFormat="1" hidden="1">
      <c r="C458" s="993"/>
      <c r="D458" s="173" t="str">
        <f>IF(Indice_index!$Z$1=1,"janeiro","January")</f>
        <v>janeiro</v>
      </c>
      <c r="E458" s="1064">
        <v>9.6999999999999993</v>
      </c>
      <c r="F458" s="1064">
        <v>5.3</v>
      </c>
      <c r="G458" s="1064">
        <v>21.4</v>
      </c>
      <c r="H458" s="1064">
        <v>12.1</v>
      </c>
      <c r="I458" s="1064">
        <v>-7.8</v>
      </c>
      <c r="J458" s="1064">
        <v>6.5</v>
      </c>
      <c r="K458" s="1064">
        <v>26.4</v>
      </c>
      <c r="L458" s="1064">
        <v>20.6</v>
      </c>
      <c r="M458" s="172">
        <v>9.1999999999999993</v>
      </c>
      <c r="N458" s="1064">
        <v>-5.5</v>
      </c>
      <c r="O458" s="1064">
        <v>-1.1000000000000001</v>
      </c>
      <c r="P458" s="230">
        <v>-0.7</v>
      </c>
      <c r="X458" s="50"/>
      <c r="Y458" s="50"/>
      <c r="Z458" s="50"/>
      <c r="AA458" s="171"/>
    </row>
    <row r="459" spans="3:27" s="230" customFormat="1" hidden="1">
      <c r="C459" s="994"/>
      <c r="D459" s="173" t="str">
        <f>IF(Indice_index!$Z$1=1,"fevereiro","February")</f>
        <v>fevereiro</v>
      </c>
      <c r="E459" s="1064">
        <v>-22.3</v>
      </c>
      <c r="F459" s="1064">
        <v>4.3</v>
      </c>
      <c r="G459" s="1064">
        <v>-6.4</v>
      </c>
      <c r="H459" s="1064">
        <v>-16.2</v>
      </c>
      <c r="I459" s="1064">
        <v>1.5</v>
      </c>
      <c r="J459" s="1064">
        <v>-36.799999999999997</v>
      </c>
      <c r="K459" s="1064">
        <v>6.5</v>
      </c>
      <c r="L459" s="1064">
        <v>-4.5999999999999996</v>
      </c>
      <c r="M459" s="172">
        <v>-30.7</v>
      </c>
      <c r="N459" s="1064">
        <v>-1.2</v>
      </c>
      <c r="O459" s="1064">
        <v>-17.3</v>
      </c>
      <c r="P459" s="1064">
        <v>1.9</v>
      </c>
      <c r="X459" s="50"/>
      <c r="Y459" s="50"/>
      <c r="Z459" s="50"/>
      <c r="AA459" s="171"/>
    </row>
    <row r="460" spans="3:27" s="230" customFormat="1" hidden="1">
      <c r="C460" s="994"/>
      <c r="D460" s="173" t="str">
        <f>IF(Indice_index!$Z$1=1,"março","March")</f>
        <v>março</v>
      </c>
      <c r="E460" s="1064">
        <v>25.9</v>
      </c>
      <c r="F460" s="1064">
        <v>-41.8</v>
      </c>
      <c r="G460" s="1064">
        <v>-28</v>
      </c>
      <c r="H460" s="1064">
        <v>-0.5</v>
      </c>
      <c r="I460" s="1064">
        <v>2.1</v>
      </c>
      <c r="J460" s="1064">
        <v>8.5</v>
      </c>
      <c r="K460" s="1064">
        <v>-38.9</v>
      </c>
      <c r="L460" s="1064">
        <v>-30.1</v>
      </c>
      <c r="M460" s="172">
        <v>-3.6</v>
      </c>
      <c r="N460" s="1064">
        <v>3.8</v>
      </c>
      <c r="O460" s="1064">
        <v>-11.4</v>
      </c>
      <c r="P460" s="1064">
        <v>-2.8</v>
      </c>
      <c r="X460" s="50"/>
      <c r="Y460" s="50"/>
      <c r="Z460" s="50"/>
      <c r="AA460" s="171"/>
    </row>
    <row r="461" spans="3:27" s="230" customFormat="1" hidden="1">
      <c r="C461" s="994"/>
      <c r="D461" s="173" t="str">
        <f>IF(Indice_index!$Z$1=1,"abril","April")</f>
        <v>abril</v>
      </c>
      <c r="E461" s="1064">
        <v>25.4</v>
      </c>
      <c r="F461" s="1064">
        <v>-34.700000000000003</v>
      </c>
      <c r="G461" s="1064">
        <v>-26.5</v>
      </c>
      <c r="H461" s="1064">
        <v>1.8</v>
      </c>
      <c r="I461" s="1064">
        <v>-18</v>
      </c>
      <c r="J461" s="1064">
        <v>15.4</v>
      </c>
      <c r="K461" s="1064">
        <v>-38</v>
      </c>
      <c r="L461" s="1064">
        <v>-13.2</v>
      </c>
      <c r="M461" s="172">
        <v>3.9</v>
      </c>
      <c r="N461" s="1064">
        <v>-16.8</v>
      </c>
      <c r="O461" s="1064">
        <v>-7.7</v>
      </c>
      <c r="P461" s="1064">
        <v>18.100000000000001</v>
      </c>
      <c r="X461" s="50"/>
      <c r="Y461" s="50"/>
      <c r="Z461" s="50"/>
      <c r="AA461" s="171"/>
    </row>
    <row r="462" spans="3:27" s="230" customFormat="1" hidden="1">
      <c r="C462" s="994"/>
      <c r="D462" s="173" t="str">
        <f>IF(Indice_index!$Z$1=1,"maio","May")</f>
        <v>maio</v>
      </c>
      <c r="E462" s="1064">
        <v>7.9</v>
      </c>
      <c r="F462" s="1064">
        <v>37.6</v>
      </c>
      <c r="G462" s="1064">
        <v>-6.6</v>
      </c>
      <c r="H462" s="1064">
        <v>5.4</v>
      </c>
      <c r="I462" s="1064">
        <v>-4.4000000000000004</v>
      </c>
      <c r="J462" s="1064">
        <v>8</v>
      </c>
      <c r="K462" s="1064">
        <v>46.1</v>
      </c>
      <c r="L462" s="1064">
        <v>-5.7</v>
      </c>
      <c r="M462" s="172">
        <v>8.6</v>
      </c>
      <c r="N462" s="1064">
        <v>-1.3</v>
      </c>
      <c r="O462" s="1064">
        <v>0.8</v>
      </c>
      <c r="P462" s="1064">
        <v>0.9</v>
      </c>
      <c r="X462" s="50"/>
      <c r="Y462" s="50"/>
      <c r="Z462" s="50"/>
      <c r="AA462" s="171"/>
    </row>
    <row r="463" spans="3:27" s="230" customFormat="1" hidden="1">
      <c r="C463" s="994"/>
      <c r="D463" s="173" t="str">
        <f>IF(Indice_index!$Z$1=1,"junho","June")</f>
        <v>junho</v>
      </c>
      <c r="E463" s="1064">
        <v>-21.2</v>
      </c>
      <c r="F463" s="1064">
        <v>73</v>
      </c>
      <c r="G463" s="1064">
        <v>-15</v>
      </c>
      <c r="H463" s="1064">
        <v>-11.9</v>
      </c>
      <c r="I463" s="1064">
        <v>8.4</v>
      </c>
      <c r="J463" s="1064">
        <v>-4.0999999999999996</v>
      </c>
      <c r="K463" s="1064">
        <v>57.3</v>
      </c>
      <c r="L463" s="1064">
        <v>-15.1</v>
      </c>
      <c r="M463" s="172">
        <v>0.8</v>
      </c>
      <c r="N463" s="1064">
        <v>13.2</v>
      </c>
      <c r="O463" s="1064">
        <v>16.3</v>
      </c>
      <c r="P463" s="1064">
        <v>-0.1</v>
      </c>
      <c r="X463" s="50"/>
      <c r="Y463" s="50"/>
      <c r="Z463" s="50"/>
      <c r="AA463" s="171"/>
    </row>
    <row r="464" spans="3:27" s="230" customFormat="1" hidden="1">
      <c r="C464" s="994"/>
      <c r="D464" s="173" t="str">
        <f>IF(Indice_index!$Z$1=1,"julho","July")</f>
        <v>julho</v>
      </c>
      <c r="E464" s="1064">
        <v>-23.3</v>
      </c>
      <c r="F464" s="1064">
        <v>-9.9</v>
      </c>
      <c r="G464" s="1064">
        <v>-16.2</v>
      </c>
      <c r="H464" s="1064">
        <v>-20.399999999999999</v>
      </c>
      <c r="I464" s="1064">
        <v>2.5</v>
      </c>
      <c r="J464" s="1064">
        <v>-25.5</v>
      </c>
      <c r="K464" s="1064">
        <v>2.2000000000000002</v>
      </c>
      <c r="L464" s="1064">
        <v>-7.8</v>
      </c>
      <c r="M464" s="172">
        <v>-21.1</v>
      </c>
      <c r="N464" s="1064">
        <v>5</v>
      </c>
      <c r="O464" s="1064">
        <v>-1.3</v>
      </c>
      <c r="P464" s="1064">
        <v>10.1</v>
      </c>
      <c r="X464" s="50"/>
      <c r="Y464" s="50"/>
      <c r="Z464" s="50"/>
      <c r="AA464" s="171"/>
    </row>
    <row r="465" spans="3:27" s="230" customFormat="1" hidden="1">
      <c r="C465" s="994"/>
      <c r="D465" s="173" t="str">
        <f>IF(Indice_index!$Z$1=1,"agosto","August")</f>
        <v>agosto</v>
      </c>
      <c r="E465" s="1064">
        <v>-41.2</v>
      </c>
      <c r="F465" s="1064">
        <v>-19.600000000000001</v>
      </c>
      <c r="G465" s="1064">
        <v>4.0999999999999996</v>
      </c>
      <c r="H465" s="1064">
        <v>-26.4</v>
      </c>
      <c r="I465" s="1064">
        <v>19.8</v>
      </c>
      <c r="J465" s="1064">
        <v>-31.5</v>
      </c>
      <c r="K465" s="1064">
        <v>-13.5</v>
      </c>
      <c r="L465" s="1064">
        <v>14.3</v>
      </c>
      <c r="M465" s="172">
        <v>-22.9</v>
      </c>
      <c r="N465" s="1064">
        <v>15.2</v>
      </c>
      <c r="O465" s="1064">
        <v>15.7</v>
      </c>
      <c r="P465" s="1064">
        <v>9.6999999999999993</v>
      </c>
      <c r="X465" s="50"/>
      <c r="Y465" s="50"/>
      <c r="Z465" s="50"/>
      <c r="AA465" s="171"/>
    </row>
    <row r="466" spans="3:27" s="230" customFormat="1" hidden="1">
      <c r="C466" s="994"/>
      <c r="D466" s="173" t="str">
        <f>IF(Indice_index!$Z$1=1,"setembro","September")</f>
        <v>setembro</v>
      </c>
      <c r="E466" s="1064">
        <v>-50.9</v>
      </c>
      <c r="F466" s="1064">
        <v>-35.9</v>
      </c>
      <c r="G466" s="1064">
        <v>-7.9</v>
      </c>
      <c r="H466" s="1064">
        <v>-39.6</v>
      </c>
      <c r="I466" s="1064">
        <v>16.3</v>
      </c>
      <c r="J466" s="1064">
        <v>-50</v>
      </c>
      <c r="K466" s="1064">
        <v>-20.5</v>
      </c>
      <c r="L466" s="1064">
        <v>1.7</v>
      </c>
      <c r="M466" s="172">
        <v>-42.5</v>
      </c>
      <c r="N466" s="1064">
        <v>27.2</v>
      </c>
      <c r="O466" s="1064">
        <v>3.4</v>
      </c>
      <c r="P466" s="1064">
        <v>10.4</v>
      </c>
      <c r="X466" s="50"/>
      <c r="Y466" s="50"/>
      <c r="Z466" s="50"/>
      <c r="AA466" s="171"/>
    </row>
    <row r="467" spans="3:27" s="230" customFormat="1" hidden="1">
      <c r="C467" s="994"/>
      <c r="D467" s="173" t="str">
        <f>IF(Indice_index!$Z$1=1,"outubro","October")</f>
        <v>outubro</v>
      </c>
      <c r="E467" s="1064">
        <v>-34.1</v>
      </c>
      <c r="F467" s="1064">
        <v>-47.3</v>
      </c>
      <c r="G467" s="1064">
        <v>16.7</v>
      </c>
      <c r="H467" s="1064">
        <v>-22.5</v>
      </c>
      <c r="I467" s="1064">
        <v>1.1000000000000001</v>
      </c>
      <c r="J467" s="1064">
        <v>-27.2</v>
      </c>
      <c r="K467" s="1064">
        <v>-46.5</v>
      </c>
      <c r="L467" s="1064">
        <v>3.3</v>
      </c>
      <c r="M467" s="172">
        <v>-25.6</v>
      </c>
      <c r="N467" s="1064">
        <v>10</v>
      </c>
      <c r="O467" s="1064">
        <v>10</v>
      </c>
      <c r="P467" s="1064">
        <v>-11.5</v>
      </c>
      <c r="X467" s="50"/>
      <c r="Y467" s="50"/>
      <c r="Z467" s="50"/>
      <c r="AA467" s="171"/>
    </row>
    <row r="468" spans="3:27" s="230" customFormat="1" hidden="1">
      <c r="C468" s="994"/>
      <c r="D468" s="173" t="str">
        <f>IF(Indice_index!$Z$1=1,"novembro","November")</f>
        <v>novembro</v>
      </c>
      <c r="E468" s="1064">
        <v>64</v>
      </c>
      <c r="F468" s="1064">
        <v>485.2</v>
      </c>
      <c r="G468" s="1064">
        <v>38.200000000000003</v>
      </c>
      <c r="H468" s="1064">
        <v>68.3</v>
      </c>
      <c r="I468" s="1064">
        <v>10.7</v>
      </c>
      <c r="J468" s="1064">
        <v>69.400000000000006</v>
      </c>
      <c r="K468" s="1064">
        <v>521.20000000000005</v>
      </c>
      <c r="L468" s="1064">
        <v>55.5</v>
      </c>
      <c r="M468" s="172">
        <v>81.900000000000006</v>
      </c>
      <c r="N468" s="1064">
        <v>14.7</v>
      </c>
      <c r="O468" s="1064">
        <v>1.1000000000000001</v>
      </c>
      <c r="P468" s="1064">
        <v>12.6</v>
      </c>
      <c r="X468" s="50"/>
      <c r="Y468" s="50"/>
      <c r="Z468" s="50"/>
      <c r="AA468" s="171"/>
    </row>
    <row r="469" spans="3:27" s="230" customFormat="1" hidden="1">
      <c r="C469" s="994"/>
      <c r="D469" s="173" t="str">
        <f>IF(Indice_index!$Z$1=1,"dezembro","December")</f>
        <v>dezembro</v>
      </c>
      <c r="E469" s="1064">
        <v>96.8</v>
      </c>
      <c r="F469" s="1064">
        <v>43.5</v>
      </c>
      <c r="G469" s="1064">
        <v>22.7</v>
      </c>
      <c r="H469" s="1064">
        <v>64.400000000000006</v>
      </c>
      <c r="I469" s="1064">
        <v>2.8</v>
      </c>
      <c r="J469" s="1064">
        <v>160.6</v>
      </c>
      <c r="K469" s="1064">
        <v>59.4</v>
      </c>
      <c r="L469" s="1064">
        <v>29.5</v>
      </c>
      <c r="M469" s="172">
        <v>129.19999999999999</v>
      </c>
      <c r="N469" s="1064">
        <v>-1.3</v>
      </c>
      <c r="O469" s="1064">
        <v>31.9</v>
      </c>
      <c r="P469" s="1064">
        <v>5.6</v>
      </c>
      <c r="X469" s="50"/>
      <c r="Y469" s="50"/>
      <c r="Z469" s="50"/>
      <c r="AA469" s="171"/>
    </row>
    <row r="470" spans="3:27" s="230" customFormat="1" hidden="1">
      <c r="C470" s="993" t="s">
        <v>12</v>
      </c>
      <c r="D470" s="172"/>
      <c r="E470" s="1064"/>
      <c r="F470" s="1064"/>
      <c r="G470" s="1064"/>
      <c r="H470" s="1064"/>
      <c r="I470" s="1064"/>
      <c r="J470" s="1064"/>
      <c r="K470" s="1064"/>
      <c r="L470" s="1064"/>
      <c r="M470" s="172"/>
      <c r="N470" s="1064"/>
      <c r="O470" s="1064"/>
      <c r="P470" s="1064"/>
      <c r="X470" s="50"/>
      <c r="Y470" s="50"/>
      <c r="Z470" s="50"/>
      <c r="AA470" s="171"/>
    </row>
    <row r="471" spans="3:27" s="230" customFormat="1" hidden="1">
      <c r="C471" s="994"/>
      <c r="D471" s="173" t="str">
        <f>IF(Indice_index!$Z$1=1,"janeiro","January")</f>
        <v>janeiro</v>
      </c>
      <c r="E471" s="1064">
        <v>-3.2</v>
      </c>
      <c r="F471" s="1064">
        <v>66.5</v>
      </c>
      <c r="G471" s="1064">
        <v>-6.9</v>
      </c>
      <c r="H471" s="1064">
        <v>1</v>
      </c>
      <c r="I471" s="1064">
        <v>5.5</v>
      </c>
      <c r="J471" s="1064">
        <v>-10.7</v>
      </c>
      <c r="K471" s="1064">
        <v>50.7</v>
      </c>
      <c r="L471" s="1064">
        <v>-12.1</v>
      </c>
      <c r="M471" s="172">
        <v>-6.1</v>
      </c>
      <c r="N471" s="1064">
        <v>8.3000000000000007</v>
      </c>
      <c r="O471" s="1064">
        <v>-8.8000000000000007</v>
      </c>
      <c r="P471" s="1064">
        <v>-5.6</v>
      </c>
      <c r="X471" s="50"/>
      <c r="Y471" s="50"/>
      <c r="Z471" s="50"/>
      <c r="AA471" s="171"/>
    </row>
    <row r="472" spans="3:27" s="230" customFormat="1" hidden="1">
      <c r="C472" s="994"/>
      <c r="D472" s="173" t="str">
        <f>IF(Indice_index!$Z$1=1,"fevereiro","February")</f>
        <v>fevereiro</v>
      </c>
      <c r="E472" s="1064">
        <v>1.5</v>
      </c>
      <c r="F472" s="1064">
        <v>-25.7</v>
      </c>
      <c r="G472" s="1064">
        <v>2.6</v>
      </c>
      <c r="H472" s="1064">
        <v>-0.6</v>
      </c>
      <c r="I472" s="1064">
        <v>18.7</v>
      </c>
      <c r="J472" s="1064">
        <v>-5.7</v>
      </c>
      <c r="K472" s="1064">
        <v>-11.9</v>
      </c>
      <c r="L472" s="1064">
        <v>9.1999999999999993</v>
      </c>
      <c r="M472" s="172">
        <v>-4.2</v>
      </c>
      <c r="N472" s="1064">
        <v>16.3</v>
      </c>
      <c r="O472" s="1064">
        <v>-4.5</v>
      </c>
      <c r="P472" s="1064">
        <v>6.5</v>
      </c>
      <c r="X472" s="50"/>
      <c r="Y472" s="50"/>
      <c r="Z472" s="50"/>
      <c r="AA472" s="171"/>
    </row>
    <row r="473" spans="3:27" s="230" customFormat="1" hidden="1">
      <c r="C473" s="994"/>
      <c r="D473" s="173" t="str">
        <f>IF(Indice_index!$Z$1=1,"março","March")</f>
        <v>março</v>
      </c>
      <c r="E473" s="1064">
        <v>-6.7</v>
      </c>
      <c r="F473" s="1064">
        <v>-45.8</v>
      </c>
      <c r="G473" s="1064">
        <v>23.2</v>
      </c>
      <c r="H473" s="1064">
        <v>-1</v>
      </c>
      <c r="I473" s="1064">
        <v>0.7</v>
      </c>
      <c r="J473" s="1064">
        <v>1.8</v>
      </c>
      <c r="K473" s="1064">
        <v>-42.3</v>
      </c>
      <c r="L473" s="1064">
        <v>32.4</v>
      </c>
      <c r="M473" s="172">
        <v>2.9</v>
      </c>
      <c r="N473" s="1064">
        <v>7.7</v>
      </c>
      <c r="O473" s="1064">
        <v>9</v>
      </c>
      <c r="P473" s="1064">
        <v>7.5</v>
      </c>
      <c r="X473" s="50"/>
      <c r="Y473" s="50"/>
      <c r="Z473" s="50"/>
      <c r="AA473" s="171"/>
    </row>
    <row r="474" spans="3:27" s="230" customFormat="1" hidden="1">
      <c r="C474" s="994"/>
      <c r="D474" s="173" t="str">
        <f>IF(Indice_index!$Z$1=1,"abril","April")</f>
        <v>abril</v>
      </c>
      <c r="E474" s="1064">
        <v>-29.8</v>
      </c>
      <c r="F474" s="1064">
        <v>92.7</v>
      </c>
      <c r="G474" s="1064">
        <v>21.9</v>
      </c>
      <c r="H474" s="1064">
        <v>-9.3000000000000007</v>
      </c>
      <c r="I474" s="1064">
        <v>-1.8</v>
      </c>
      <c r="J474" s="1064">
        <v>-15.5</v>
      </c>
      <c r="K474" s="1064">
        <v>92.4</v>
      </c>
      <c r="L474" s="1064">
        <v>14.5</v>
      </c>
      <c r="M474" s="172">
        <v>-3.2</v>
      </c>
      <c r="N474" s="1064">
        <v>5.7</v>
      </c>
      <c r="O474" s="1064">
        <v>16.5</v>
      </c>
      <c r="P474" s="1064">
        <v>-6</v>
      </c>
      <c r="X474" s="50"/>
      <c r="Y474" s="50"/>
      <c r="Z474" s="50"/>
      <c r="AA474" s="171"/>
    </row>
    <row r="475" spans="3:27" s="230" customFormat="1" hidden="1">
      <c r="C475" s="994"/>
      <c r="D475" s="173" t="str">
        <f>IF(Indice_index!$Z$1=1,"maio","May")</f>
        <v>maio</v>
      </c>
      <c r="E475" s="1064">
        <v>-15.7</v>
      </c>
      <c r="F475" s="1064">
        <v>-41.7</v>
      </c>
      <c r="G475" s="1064">
        <v>-12.1</v>
      </c>
      <c r="H475" s="1064">
        <v>-16.7</v>
      </c>
      <c r="I475" s="1064">
        <v>-10</v>
      </c>
      <c r="J475" s="1064">
        <v>0.8</v>
      </c>
      <c r="K475" s="1064">
        <v>-42.1</v>
      </c>
      <c r="L475" s="1064">
        <v>-11.4</v>
      </c>
      <c r="M475" s="172">
        <v>-5</v>
      </c>
      <c r="N475" s="1064">
        <v>-3.9</v>
      </c>
      <c r="O475" s="1064">
        <v>17.600000000000001</v>
      </c>
      <c r="P475" s="1064">
        <v>0.8</v>
      </c>
      <c r="X475" s="50"/>
      <c r="Y475" s="50"/>
      <c r="Z475" s="50"/>
      <c r="AA475" s="171"/>
    </row>
    <row r="476" spans="3:27" s="230" customFormat="1" hidden="1">
      <c r="C476" s="994"/>
      <c r="D476" s="173" t="str">
        <f>IF(Indice_index!$Z$1=1,"junho","June")</f>
        <v>junho</v>
      </c>
      <c r="E476" s="1064">
        <v>13.7</v>
      </c>
      <c r="F476" s="1064">
        <v>-51.6</v>
      </c>
      <c r="G476" s="1064">
        <v>2.4</v>
      </c>
      <c r="H476" s="1064">
        <v>0.3</v>
      </c>
      <c r="I476" s="1064">
        <v>-3.8</v>
      </c>
      <c r="J476" s="1064">
        <v>10.199999999999999</v>
      </c>
      <c r="K476" s="1064">
        <v>-49</v>
      </c>
      <c r="L476" s="1064">
        <v>6.5</v>
      </c>
      <c r="M476" s="172">
        <v>-0.5</v>
      </c>
      <c r="N476" s="1064">
        <v>-1.6</v>
      </c>
      <c r="O476" s="1064">
        <v>-1.1000000000000001</v>
      </c>
      <c r="P476" s="1064">
        <v>4</v>
      </c>
      <c r="X476" s="50"/>
      <c r="Y476" s="50"/>
      <c r="Z476" s="50"/>
      <c r="AA476" s="171"/>
    </row>
    <row r="477" spans="3:27" s="230" customFormat="1" hidden="1">
      <c r="C477" s="994"/>
      <c r="D477" s="173" t="str">
        <f>IF(Indice_index!$Z$1=1,"julho","July")</f>
        <v>julho</v>
      </c>
      <c r="E477" s="1064">
        <v>48.062654575432809</v>
      </c>
      <c r="F477" s="1064">
        <v>-46.951219512195117</v>
      </c>
      <c r="G477" s="1064">
        <v>2441.199226305609</v>
      </c>
      <c r="H477" s="1064">
        <v>693.08342133051747</v>
      </c>
      <c r="I477" s="1064">
        <v>-1.9540229885057472</v>
      </c>
      <c r="J477" s="1064">
        <v>43.702225973332972</v>
      </c>
      <c r="K477" s="1064">
        <v>-53.782405155228375</v>
      </c>
      <c r="L477" s="1064">
        <v>887.03572526265975</v>
      </c>
      <c r="M477" s="172">
        <v>153.12099766206697</v>
      </c>
      <c r="N477" s="1064">
        <v>-2.6524096708472138</v>
      </c>
      <c r="O477" s="1064">
        <v>-3.6830256641152714</v>
      </c>
      <c r="P477" s="1064">
        <v>-61.169016963008382</v>
      </c>
      <c r="X477" s="50"/>
      <c r="Y477" s="50"/>
      <c r="Z477" s="50"/>
      <c r="AA477" s="171"/>
    </row>
    <row r="478" spans="3:27" s="230" customFormat="1" hidden="1">
      <c r="C478" s="994"/>
      <c r="D478" s="173" t="str">
        <f>IF(Indice_index!$Z$1=1,"agosto","August")</f>
        <v>agosto</v>
      </c>
      <c r="E478" s="1064">
        <v>185.1</v>
      </c>
      <c r="F478" s="1064">
        <v>124.4</v>
      </c>
      <c r="G478" s="1064">
        <v>-1</v>
      </c>
      <c r="H478" s="1064">
        <v>102.9</v>
      </c>
      <c r="I478" s="1064">
        <v>2.6</v>
      </c>
      <c r="J478" s="1064">
        <v>50.8</v>
      </c>
      <c r="K478" s="1064">
        <v>74.8</v>
      </c>
      <c r="L478" s="1064">
        <v>3</v>
      </c>
      <c r="M478" s="172">
        <v>42</v>
      </c>
      <c r="N478" s="1064">
        <v>8.3000000000000007</v>
      </c>
      <c r="O478" s="1064">
        <v>-44.8</v>
      </c>
      <c r="P478" s="1064">
        <v>4.0999999999999996</v>
      </c>
      <c r="X478" s="50"/>
      <c r="Y478" s="50"/>
      <c r="Z478" s="50"/>
      <c r="AA478" s="171"/>
    </row>
    <row r="479" spans="3:27" s="230" customFormat="1" hidden="1">
      <c r="C479" s="994"/>
      <c r="D479" s="173" t="str">
        <f>IF(Indice_index!$Z$1=1,"setembro","September")</f>
        <v>setembro</v>
      </c>
      <c r="E479" s="1064">
        <v>169.2</v>
      </c>
      <c r="F479" s="1064">
        <v>147.69999999999999</v>
      </c>
      <c r="G479" s="1064">
        <v>-4.5999999999999996</v>
      </c>
      <c r="H479" s="1064">
        <v>104.1</v>
      </c>
      <c r="I479" s="1064">
        <v>-17.100000000000001</v>
      </c>
      <c r="J479" s="1064">
        <v>54.2</v>
      </c>
      <c r="K479" s="1064">
        <v>93.8</v>
      </c>
      <c r="L479" s="1064">
        <v>-9.4</v>
      </c>
      <c r="M479" s="172">
        <v>45.3</v>
      </c>
      <c r="N479" s="1064">
        <v>-19.399999999999999</v>
      </c>
      <c r="O479" s="1064">
        <v>-40.6</v>
      </c>
      <c r="P479" s="1064">
        <v>-5.0999999999999996</v>
      </c>
      <c r="X479" s="50"/>
      <c r="Y479" s="50"/>
      <c r="Z479" s="50"/>
      <c r="AA479" s="171"/>
    </row>
    <row r="480" spans="3:27" s="230" customFormat="1" hidden="1">
      <c r="C480" s="994"/>
      <c r="D480" s="173" t="str">
        <f>IF(Indice_index!$Z$1=1,"outubro","October")</f>
        <v>outubro</v>
      </c>
      <c r="E480" s="1064">
        <v>56.8</v>
      </c>
      <c r="F480" s="1064">
        <v>1</v>
      </c>
      <c r="G480" s="1064">
        <v>25.4</v>
      </c>
      <c r="H480" s="1064">
        <v>41.9</v>
      </c>
      <c r="I480" s="1064">
        <v>6.9</v>
      </c>
      <c r="J480" s="1064">
        <v>13.3</v>
      </c>
      <c r="K480" s="1064">
        <v>-14.1</v>
      </c>
      <c r="L480" s="1064">
        <v>39.299999999999997</v>
      </c>
      <c r="M480" s="172">
        <v>15.5</v>
      </c>
      <c r="N480" s="1064">
        <v>5.2</v>
      </c>
      <c r="O480" s="1064">
        <v>-26.7</v>
      </c>
      <c r="P480" s="1064">
        <v>11.1</v>
      </c>
      <c r="X480" s="50"/>
      <c r="Y480" s="50"/>
      <c r="Z480" s="50"/>
      <c r="AA480" s="171"/>
    </row>
    <row r="481" spans="3:27" s="230" customFormat="1" hidden="1">
      <c r="C481" s="994"/>
      <c r="D481" s="173" t="str">
        <f>IF(Indice_index!$Z$1=1,"novembro","November")</f>
        <v>novembro</v>
      </c>
      <c r="E481" s="1064">
        <v>-11.3</v>
      </c>
      <c r="F481" s="1064">
        <v>-60.2</v>
      </c>
      <c r="G481" s="1064">
        <v>-10</v>
      </c>
      <c r="H481" s="1064">
        <v>-16.2</v>
      </c>
      <c r="I481" s="1064">
        <v>12.8</v>
      </c>
      <c r="J481" s="1064">
        <v>-29.5</v>
      </c>
      <c r="K481" s="1064">
        <v>-69.7</v>
      </c>
      <c r="L481" s="1064">
        <v>-13.7</v>
      </c>
      <c r="M481" s="172">
        <v>-32</v>
      </c>
      <c r="N481" s="1064">
        <v>7.6</v>
      </c>
      <c r="O481" s="1064">
        <v>-19.399999999999999</v>
      </c>
      <c r="P481" s="1064">
        <v>-4.0999999999999996</v>
      </c>
      <c r="X481" s="50"/>
      <c r="Y481" s="50"/>
      <c r="Z481" s="50"/>
      <c r="AA481" s="171"/>
    </row>
    <row r="482" spans="3:27" s="230" customFormat="1" hidden="1">
      <c r="C482" s="994"/>
      <c r="D482" s="173" t="str">
        <f>IF(Indice_index!$Z$1=1,"dezembro","December")</f>
        <v>dezembro</v>
      </c>
      <c r="E482" s="1064">
        <v>-21.3</v>
      </c>
      <c r="F482" s="1064">
        <v>-12.9</v>
      </c>
      <c r="G482" s="1064">
        <v>-23.2</v>
      </c>
      <c r="H482" s="1064">
        <v>-21.5</v>
      </c>
      <c r="I482" s="1064">
        <v>2.7</v>
      </c>
      <c r="J482" s="1064">
        <v>-45.2</v>
      </c>
      <c r="K482" s="1064">
        <v>-34.1</v>
      </c>
      <c r="L482" s="1064">
        <v>-23.6</v>
      </c>
      <c r="M482" s="172">
        <v>-42.3</v>
      </c>
      <c r="N482" s="1064">
        <v>8.8000000000000007</v>
      </c>
      <c r="O482" s="1064">
        <v>-30.2</v>
      </c>
      <c r="P482" s="1064">
        <v>-0.6</v>
      </c>
      <c r="X482" s="50"/>
      <c r="Y482" s="50"/>
      <c r="Z482" s="50"/>
      <c r="AA482" s="171"/>
    </row>
    <row r="483" spans="3:27" s="230" customFormat="1" hidden="1">
      <c r="C483" s="995">
        <v>2015</v>
      </c>
      <c r="D483" s="172"/>
      <c r="E483" s="1064"/>
      <c r="F483" s="1064"/>
      <c r="G483" s="1064"/>
      <c r="H483" s="1064"/>
      <c r="I483" s="1064"/>
      <c r="J483" s="1064"/>
      <c r="K483" s="1064"/>
      <c r="L483" s="1064"/>
      <c r="M483" s="172"/>
      <c r="N483" s="1064"/>
      <c r="O483" s="1064"/>
      <c r="P483" s="1064"/>
      <c r="X483" s="50"/>
      <c r="Y483" s="50"/>
      <c r="Z483" s="50"/>
      <c r="AA483" s="171"/>
    </row>
    <row r="484" spans="3:27" s="230" customFormat="1" ht="11.25" hidden="1">
      <c r="C484" s="994"/>
      <c r="D484" s="173" t="str">
        <f>IF(Indice_index!$Z$1=1,"janeiro","January")</f>
        <v>janeiro</v>
      </c>
      <c r="E484" s="1064">
        <v>13.3</v>
      </c>
      <c r="F484" s="1064">
        <v>-54.4</v>
      </c>
      <c r="G484" s="1064">
        <v>4.5</v>
      </c>
      <c r="H484" s="1064">
        <v>3</v>
      </c>
      <c r="I484" s="1064">
        <v>3.8</v>
      </c>
      <c r="J484" s="1064">
        <v>12.3</v>
      </c>
      <c r="K484" s="1064">
        <v>-68</v>
      </c>
      <c r="L484" s="1064">
        <v>13.2</v>
      </c>
      <c r="M484" s="172">
        <v>2.4</v>
      </c>
      <c r="N484" s="1064">
        <v>4</v>
      </c>
      <c r="O484" s="1064">
        <v>-1.2</v>
      </c>
      <c r="P484" s="1064">
        <v>8.4</v>
      </c>
    </row>
    <row r="485" spans="3:27" s="230" customFormat="1" ht="11.25" hidden="1">
      <c r="C485" s="994"/>
      <c r="D485" s="173" t="str">
        <f>IF(Indice_index!$Z$1=1,"fevereiro","February")</f>
        <v>fevereiro</v>
      </c>
      <c r="E485" s="1064">
        <v>12</v>
      </c>
      <c r="F485" s="1064">
        <v>-42</v>
      </c>
      <c r="G485" s="1064">
        <v>-29.1</v>
      </c>
      <c r="H485" s="1064">
        <v>-4.2</v>
      </c>
      <c r="I485" s="1064">
        <v>-4.4000000000000004</v>
      </c>
      <c r="J485" s="1064">
        <v>21.2</v>
      </c>
      <c r="K485" s="1064">
        <v>-55.1</v>
      </c>
      <c r="L485" s="1064">
        <v>-18.7</v>
      </c>
      <c r="M485" s="172">
        <v>7.8</v>
      </c>
      <c r="N485" s="1064">
        <v>-1.7</v>
      </c>
      <c r="O485" s="1064">
        <v>5.7</v>
      </c>
      <c r="P485" s="1064">
        <v>14.6</v>
      </c>
    </row>
    <row r="486" spans="3:27" s="230" customFormat="1" ht="11.25" hidden="1">
      <c r="C486" s="994"/>
      <c r="D486" s="173" t="str">
        <f>IF(Indice_index!$Z$1=1,"março","March")</f>
        <v>março</v>
      </c>
      <c r="E486" s="1064">
        <v>18.7</v>
      </c>
      <c r="F486" s="1064">
        <v>53.2</v>
      </c>
      <c r="G486" s="1064">
        <v>-12.7</v>
      </c>
      <c r="H486" s="1064">
        <v>9.4</v>
      </c>
      <c r="I486" s="1064">
        <v>30.5</v>
      </c>
      <c r="J486" s="1064">
        <v>25.3</v>
      </c>
      <c r="K486" s="1064">
        <v>29.2</v>
      </c>
      <c r="L486" s="1064">
        <v>-11.1</v>
      </c>
      <c r="M486" s="172">
        <v>19.3</v>
      </c>
      <c r="N486" s="1064">
        <v>32.799999999999997</v>
      </c>
      <c r="O486" s="1064">
        <v>4.2</v>
      </c>
      <c r="P486" s="1064">
        <v>1.8</v>
      </c>
    </row>
    <row r="487" spans="3:27" s="230" customFormat="1" ht="11.25" hidden="1">
      <c r="C487" s="994"/>
      <c r="D487" s="173" t="str">
        <f>IF(Indice_index!$Z$1=1,"abril","April")</f>
        <v>abril</v>
      </c>
      <c r="E487" s="1064">
        <v>8.1</v>
      </c>
      <c r="F487" s="1064">
        <v>-36.1</v>
      </c>
      <c r="G487" s="1064">
        <v>16.399999999999999</v>
      </c>
      <c r="H487" s="1064">
        <v>4.8</v>
      </c>
      <c r="I487" s="1064">
        <v>28.5</v>
      </c>
      <c r="J487" s="1064">
        <v>7.5</v>
      </c>
      <c r="K487" s="1064">
        <v>-45.7</v>
      </c>
      <c r="L487" s="1064">
        <v>20.9</v>
      </c>
      <c r="M487" s="172">
        <v>1.7</v>
      </c>
      <c r="N487" s="1064">
        <v>22.7</v>
      </c>
      <c r="O487" s="1064">
        <v>-1.2</v>
      </c>
      <c r="P487" s="1064">
        <v>3.9</v>
      </c>
    </row>
    <row r="488" spans="3:27" s="230" customFormat="1" ht="11.25" hidden="1">
      <c r="C488" s="994"/>
      <c r="D488" s="173" t="str">
        <f>IF(Indice_index!$Z$1=1,"maio","May")</f>
        <v>maio</v>
      </c>
      <c r="E488" s="1064">
        <v>-11.5</v>
      </c>
      <c r="F488" s="1064">
        <v>7.1</v>
      </c>
      <c r="G488" s="1064">
        <v>324.3</v>
      </c>
      <c r="H488" s="1064">
        <v>82.2</v>
      </c>
      <c r="I488" s="1064">
        <v>16.399999999999999</v>
      </c>
      <c r="J488" s="1064">
        <v>-24.9</v>
      </c>
      <c r="K488" s="1064">
        <v>-10</v>
      </c>
      <c r="L488" s="1064">
        <v>105.5</v>
      </c>
      <c r="M488" s="172">
        <v>-7.2</v>
      </c>
      <c r="N488" s="1064">
        <v>12.2</v>
      </c>
      <c r="O488" s="1064">
        <v>-15.3</v>
      </c>
      <c r="P488" s="1064">
        <v>-51.6</v>
      </c>
    </row>
    <row r="489" spans="3:27" s="230" customFormat="1" ht="11.25" hidden="1">
      <c r="C489" s="994"/>
      <c r="D489" s="173" t="str">
        <f>IF(Indice_index!$Z$1=1,"junho","June")</f>
        <v>junho</v>
      </c>
      <c r="E489" s="1064">
        <v>-21.4</v>
      </c>
      <c r="F489" s="1064">
        <v>-1.6</v>
      </c>
      <c r="G489" s="1064">
        <v>-4.0999999999999996</v>
      </c>
      <c r="H489" s="1064">
        <v>-14.7</v>
      </c>
      <c r="I489" s="1064">
        <v>-6.5</v>
      </c>
      <c r="J489" s="1064">
        <v>-38.700000000000003</v>
      </c>
      <c r="K489" s="1064">
        <v>-27.8</v>
      </c>
      <c r="L489" s="1064">
        <v>-10.1</v>
      </c>
      <c r="M489" s="172">
        <v>-33.299999999999997</v>
      </c>
      <c r="N489" s="1064">
        <v>-6.8</v>
      </c>
      <c r="O489" s="1064">
        <v>-22.7</v>
      </c>
      <c r="P489" s="1064">
        <v>-6.3</v>
      </c>
    </row>
    <row r="490" spans="3:27" s="230" customFormat="1" ht="11.25" hidden="1">
      <c r="C490" s="994"/>
      <c r="D490" s="173" t="str">
        <f>IF(Indice_index!$Z$1=1,"julho","July")</f>
        <v>julho</v>
      </c>
      <c r="E490" s="1064">
        <v>-63</v>
      </c>
      <c r="F490" s="1064">
        <v>72.400000000000006</v>
      </c>
      <c r="G490" s="1064">
        <v>-93.9</v>
      </c>
      <c r="H490" s="1064">
        <v>-89.2</v>
      </c>
      <c r="I490" s="1064">
        <v>10.9</v>
      </c>
      <c r="J490" s="1064">
        <v>-58.5</v>
      </c>
      <c r="K490" s="1064">
        <v>89.4</v>
      </c>
      <c r="L490" s="1064">
        <v>-84.7</v>
      </c>
      <c r="M490" s="172">
        <v>-70.2</v>
      </c>
      <c r="N490" s="1064">
        <v>11.9</v>
      </c>
      <c r="O490" s="1064">
        <v>10.6</v>
      </c>
      <c r="P490" s="1064">
        <v>150.1</v>
      </c>
    </row>
    <row r="491" spans="3:27" s="230" customFormat="1" ht="11.25" hidden="1">
      <c r="C491" s="994"/>
      <c r="D491" s="173" t="str">
        <f>IF(Indice_index!$Z$1=1,"agosto","August")</f>
        <v>agosto</v>
      </c>
      <c r="E491" s="1064">
        <v>-54.8</v>
      </c>
      <c r="F491" s="1064">
        <v>-36.799999999999997</v>
      </c>
      <c r="G491" s="1064">
        <v>-4.0999999999999996</v>
      </c>
      <c r="H491" s="1064">
        <v>-43.1</v>
      </c>
      <c r="I491" s="1064">
        <v>7.9</v>
      </c>
      <c r="J491" s="1064">
        <v>-59.1</v>
      </c>
      <c r="K491" s="1064">
        <v>-18.7</v>
      </c>
      <c r="L491" s="1064">
        <v>-11.1</v>
      </c>
      <c r="M491" s="172">
        <v>-46.5</v>
      </c>
      <c r="N491" s="1064">
        <v>2.2000000000000002</v>
      </c>
      <c r="O491" s="1064">
        <v>-1.2</v>
      </c>
      <c r="P491" s="1064">
        <v>-7.3</v>
      </c>
    </row>
    <row r="492" spans="3:27" s="230" customFormat="1" ht="11.25" hidden="1">
      <c r="C492" s="994"/>
      <c r="D492" s="173" t="str">
        <f>IF(Indice_index!$Z$1=1,"setembro","September")</f>
        <v>setembro</v>
      </c>
      <c r="E492" s="1064">
        <v>-60.8</v>
      </c>
      <c r="F492" s="1064">
        <v>-31.9</v>
      </c>
      <c r="G492" s="1064">
        <v>32.200000000000003</v>
      </c>
      <c r="H492" s="1064">
        <v>-42.5</v>
      </c>
      <c r="I492" s="1064">
        <v>7.4</v>
      </c>
      <c r="J492" s="1064">
        <v>-40.200000000000003</v>
      </c>
      <c r="K492" s="1064">
        <v>-32.4</v>
      </c>
      <c r="L492" s="1064">
        <v>42.6</v>
      </c>
      <c r="M492" s="172">
        <v>-29.2</v>
      </c>
      <c r="N492" s="1064">
        <v>14.2</v>
      </c>
      <c r="O492" s="1064">
        <v>44.9</v>
      </c>
      <c r="P492" s="1064">
        <v>7.9</v>
      </c>
    </row>
    <row r="493" spans="3:27" s="230" customFormat="1" ht="11.25" hidden="1">
      <c r="C493" s="994"/>
      <c r="D493" s="173" t="str">
        <f>IF(Indice_index!$Z$1=1,"outubro","October")</f>
        <v>outubro</v>
      </c>
      <c r="E493" s="1064">
        <v>-51.1</v>
      </c>
      <c r="F493" s="1064">
        <v>58</v>
      </c>
      <c r="G493" s="1064">
        <v>-35.6</v>
      </c>
      <c r="H493" s="1064">
        <v>-41.7</v>
      </c>
      <c r="I493" s="1064">
        <v>1.1000000000000001</v>
      </c>
      <c r="J493" s="1064">
        <v>-60</v>
      </c>
      <c r="K493" s="1064">
        <v>81.400000000000006</v>
      </c>
      <c r="L493" s="1064">
        <v>-33.799999999999997</v>
      </c>
      <c r="M493" s="172">
        <v>-48.8</v>
      </c>
      <c r="N493" s="1064">
        <v>-2.4</v>
      </c>
      <c r="O493" s="1064">
        <v>-13.1</v>
      </c>
      <c r="P493" s="1064">
        <v>2.8</v>
      </c>
    </row>
    <row r="494" spans="3:27" s="230" customFormat="1" ht="11.25" hidden="1">
      <c r="C494" s="994"/>
      <c r="D494" s="173" t="str">
        <f>IF(Indice_index!$Z$1=1,"novembro","November")</f>
        <v>novembro</v>
      </c>
      <c r="E494" s="1064">
        <v>-64</v>
      </c>
      <c r="F494" s="1064">
        <v>-42.3</v>
      </c>
      <c r="G494" s="1064">
        <v>-8</v>
      </c>
      <c r="H494" s="1064">
        <v>-46.1</v>
      </c>
      <c r="I494" s="1064">
        <v>-3.9</v>
      </c>
      <c r="J494" s="1064">
        <v>-70.3</v>
      </c>
      <c r="K494" s="1064">
        <v>-42.6</v>
      </c>
      <c r="L494" s="1064">
        <v>-0.4</v>
      </c>
      <c r="M494" s="172">
        <v>-58.8</v>
      </c>
      <c r="N494" s="1064">
        <v>-3</v>
      </c>
      <c r="O494" s="1064">
        <v>-16.7</v>
      </c>
      <c r="P494" s="1064">
        <v>8.3000000000000007</v>
      </c>
    </row>
    <row r="495" spans="3:27" s="230" customFormat="1" ht="11.25" hidden="1">
      <c r="C495" s="994"/>
      <c r="D495" s="173" t="str">
        <f>IF(Indice_index!$Z$1=1,"dezembro","December")</f>
        <v>dezembro</v>
      </c>
      <c r="E495" s="1064">
        <v>-57.5</v>
      </c>
      <c r="F495" s="1064">
        <v>60.9</v>
      </c>
      <c r="G495" s="1064">
        <v>6.2</v>
      </c>
      <c r="H495" s="1064">
        <v>-33</v>
      </c>
      <c r="I495" s="1064">
        <v>-0.1</v>
      </c>
      <c r="J495" s="1064">
        <v>-64.900000000000006</v>
      </c>
      <c r="K495" s="1064">
        <v>118.7</v>
      </c>
      <c r="L495" s="1064">
        <v>1.7</v>
      </c>
      <c r="M495" s="172">
        <v>-47</v>
      </c>
      <c r="N495" s="1064">
        <v>-1.7</v>
      </c>
      <c r="O495" s="1064">
        <v>-12.2</v>
      </c>
      <c r="P495" s="1064">
        <v>-4.2</v>
      </c>
    </row>
    <row r="496" spans="3:27" s="230" customFormat="1" hidden="1">
      <c r="C496" s="1067">
        <v>2016</v>
      </c>
      <c r="D496" s="172"/>
      <c r="E496" s="1064"/>
      <c r="F496" s="1064"/>
      <c r="G496" s="1064"/>
      <c r="H496" s="1064"/>
      <c r="I496" s="1064"/>
      <c r="J496" s="1064"/>
      <c r="K496" s="1064"/>
      <c r="L496" s="1064"/>
      <c r="M496" s="172"/>
      <c r="N496" s="1064"/>
      <c r="O496" s="1064"/>
      <c r="P496" s="1064"/>
      <c r="X496" s="50"/>
      <c r="Y496" s="50"/>
      <c r="Z496" s="50"/>
      <c r="AA496" s="171"/>
    </row>
    <row r="497" spans="3:29" s="230" customFormat="1" hidden="1">
      <c r="C497" s="994"/>
      <c r="D497" s="173" t="str">
        <f>IF(Indice_index!$Z$1=1,"janeiro","January")</f>
        <v>janeiro</v>
      </c>
      <c r="E497" s="1064">
        <v>-67.2</v>
      </c>
      <c r="F497" s="1064">
        <v>-16.2</v>
      </c>
      <c r="G497" s="1064">
        <v>-9.1</v>
      </c>
      <c r="H497" s="1064">
        <v>-50.4</v>
      </c>
      <c r="I497" s="1064">
        <v>-2.5</v>
      </c>
      <c r="J497" s="1064">
        <v>-76.900000000000006</v>
      </c>
      <c r="K497" s="1064">
        <v>10.4</v>
      </c>
      <c r="L497" s="1064">
        <v>-4.4000000000000004</v>
      </c>
      <c r="M497" s="172">
        <v>-65.8</v>
      </c>
      <c r="N497" s="1064">
        <v>-1.1000000000000001</v>
      </c>
      <c r="O497" s="1064">
        <v>-26.2</v>
      </c>
      <c r="P497" s="1064">
        <v>5.0999999999999996</v>
      </c>
      <c r="X497" s="50"/>
      <c r="Y497" s="50"/>
      <c r="Z497" s="50"/>
      <c r="AA497" s="171"/>
    </row>
    <row r="498" spans="3:29" s="230" customFormat="1" hidden="1">
      <c r="C498" s="994"/>
      <c r="D498" s="173" t="str">
        <f>IF(Indice_index!$Z$1=1,"fevereiro","February")</f>
        <v>fevereiro</v>
      </c>
      <c r="E498" s="1064">
        <v>-64.5</v>
      </c>
      <c r="F498" s="1064">
        <v>-13.8</v>
      </c>
      <c r="G498" s="1064">
        <v>14.3</v>
      </c>
      <c r="H498" s="1064">
        <v>-44.5</v>
      </c>
      <c r="I498" s="1064">
        <v>-8.9</v>
      </c>
      <c r="J498" s="1064">
        <v>-72.900000000000006</v>
      </c>
      <c r="K498" s="1064">
        <v>-2.9</v>
      </c>
      <c r="L498" s="1064">
        <v>-2.7</v>
      </c>
      <c r="M498" s="172">
        <v>-61.7</v>
      </c>
      <c r="N498" s="1064">
        <v>-8.4</v>
      </c>
      <c r="O498" s="1064">
        <v>-21.1</v>
      </c>
      <c r="P498" s="1064">
        <v>-14.9</v>
      </c>
      <c r="X498" s="50"/>
      <c r="Y498" s="50"/>
      <c r="Z498" s="50"/>
      <c r="AA498" s="171"/>
    </row>
    <row r="499" spans="3:29" s="230" customFormat="1" hidden="1">
      <c r="C499" s="994"/>
      <c r="D499" s="173" t="str">
        <f>IF(Indice_index!$Z$1=1,"março","March")</f>
        <v>março</v>
      </c>
      <c r="E499" s="1064">
        <v>-60.1</v>
      </c>
      <c r="F499" s="1064">
        <v>20.3</v>
      </c>
      <c r="G499" s="1064">
        <v>-6.6</v>
      </c>
      <c r="H499" s="1064">
        <v>-42.5</v>
      </c>
      <c r="I499" s="1064">
        <v>-18.5</v>
      </c>
      <c r="J499" s="1064">
        <v>-69.599999999999994</v>
      </c>
      <c r="K499" s="1064">
        <v>32.799999999999997</v>
      </c>
      <c r="L499" s="1064">
        <v>-7.7</v>
      </c>
      <c r="M499" s="172">
        <v>-57.6</v>
      </c>
      <c r="N499" s="1064">
        <v>-18.3</v>
      </c>
      <c r="O499" s="1064">
        <v>-21.1</v>
      </c>
      <c r="P499" s="1064">
        <v>-1.2</v>
      </c>
      <c r="X499" s="50"/>
      <c r="Y499" s="50"/>
      <c r="Z499" s="50"/>
      <c r="AA499" s="171"/>
    </row>
    <row r="500" spans="3:29" s="230" customFormat="1" hidden="1">
      <c r="C500" s="994"/>
      <c r="D500" s="173" t="str">
        <f>IF(Indice_index!$Z$1=1,"abril","April")</f>
        <v>abril</v>
      </c>
      <c r="E500" s="1064">
        <v>-44.8</v>
      </c>
      <c r="F500" s="1064">
        <v>-33.5</v>
      </c>
      <c r="G500" s="1064">
        <v>-14.9</v>
      </c>
      <c r="H500" s="1064">
        <v>-33</v>
      </c>
      <c r="I500" s="1064">
        <v>-12.2</v>
      </c>
      <c r="J500" s="1064">
        <v>-62</v>
      </c>
      <c r="K500" s="1064">
        <v>-30.1</v>
      </c>
      <c r="L500" s="1064">
        <v>-14.2</v>
      </c>
      <c r="M500" s="172">
        <v>-50.3</v>
      </c>
      <c r="N500" s="1064">
        <v>-3.7</v>
      </c>
      <c r="O500" s="1064">
        <v>-27.4</v>
      </c>
      <c r="P500" s="1064">
        <v>0.9</v>
      </c>
      <c r="X500" s="50"/>
      <c r="Y500" s="50"/>
      <c r="Z500" s="50"/>
      <c r="AA500" s="171"/>
    </row>
    <row r="501" spans="3:29" s="230" customFormat="1" hidden="1">
      <c r="C501" s="994"/>
      <c r="D501" s="173" t="str">
        <f>IF(Indice_index!$Z$1=1,"maio","May")</f>
        <v>maio</v>
      </c>
      <c r="E501" s="1064">
        <v>-61.1</v>
      </c>
      <c r="F501" s="1064">
        <v>-5.9</v>
      </c>
      <c r="G501" s="1064">
        <v>-74.2</v>
      </c>
      <c r="H501" s="1064">
        <v>-67.8</v>
      </c>
      <c r="I501" s="1064">
        <v>6.6</v>
      </c>
      <c r="J501" s="1064">
        <v>-70</v>
      </c>
      <c r="K501" s="1064">
        <v>1.9</v>
      </c>
      <c r="L501" s="1064">
        <v>-46.2</v>
      </c>
      <c r="M501" s="172">
        <v>-59.1</v>
      </c>
      <c r="N501" s="1064">
        <v>10.199999999999999</v>
      </c>
      <c r="O501" s="1064">
        <v>-18.399999999999999</v>
      </c>
      <c r="P501" s="1064">
        <v>108.4</v>
      </c>
      <c r="X501" s="50"/>
      <c r="Y501" s="50"/>
      <c r="Z501" s="50"/>
      <c r="AA501" s="171"/>
    </row>
    <row r="502" spans="3:29" s="230" customFormat="1" hidden="1">
      <c r="C502" s="994"/>
      <c r="D502" s="173" t="str">
        <f>IF(Indice_index!$Z$1=1,"junho","June")</f>
        <v>junho</v>
      </c>
      <c r="E502" s="1064">
        <v>-50.7</v>
      </c>
      <c r="F502" s="1064">
        <v>-17.5</v>
      </c>
      <c r="G502" s="1064">
        <v>24.5</v>
      </c>
      <c r="H502" s="1064">
        <v>-22.1</v>
      </c>
      <c r="I502" s="1064">
        <v>14.6</v>
      </c>
      <c r="J502" s="1064">
        <v>-58.7</v>
      </c>
      <c r="K502" s="1064">
        <v>-11.1</v>
      </c>
      <c r="L502" s="1064">
        <v>34.6</v>
      </c>
      <c r="M502" s="1064">
        <v>-34.5</v>
      </c>
      <c r="N502" s="1064">
        <v>14.9</v>
      </c>
      <c r="O502" s="1064">
        <v>-12.3</v>
      </c>
      <c r="P502" s="1064">
        <v>8.1999999999999993</v>
      </c>
      <c r="X502" s="50"/>
      <c r="Y502" s="50"/>
      <c r="Z502" s="50"/>
      <c r="AA502" s="171"/>
    </row>
    <row r="503" spans="3:29" s="230" customFormat="1" hidden="1">
      <c r="C503" s="994"/>
      <c r="D503" s="173" t="str">
        <f>IF(Indice_index!$Z$1=1,"julho","July")</f>
        <v>julho</v>
      </c>
      <c r="E503" s="1064">
        <v>-26.5</v>
      </c>
      <c r="F503" s="1064">
        <v>14.7</v>
      </c>
      <c r="G503" s="1064">
        <v>-21.1</v>
      </c>
      <c r="H503" s="1064">
        <v>-20</v>
      </c>
      <c r="I503" s="1064">
        <v>1.2</v>
      </c>
      <c r="J503" s="1064">
        <v>-47.9</v>
      </c>
      <c r="K503" s="1064">
        <v>-2.4</v>
      </c>
      <c r="L503" s="1064">
        <v>-16.899999999999999</v>
      </c>
      <c r="M503" s="1064">
        <v>-33.6</v>
      </c>
      <c r="N503" s="1064">
        <v>3.8</v>
      </c>
      <c r="O503" s="1064">
        <v>-26.2</v>
      </c>
      <c r="P503" s="1064">
        <v>5.3</v>
      </c>
      <c r="X503" s="50"/>
      <c r="Y503" s="50"/>
      <c r="Z503" s="50"/>
      <c r="AA503" s="171"/>
    </row>
    <row r="504" spans="3:29" s="230" customFormat="1" hidden="1">
      <c r="C504" s="994"/>
      <c r="D504" s="173" t="str">
        <f>IF(Indice_index!$Z$1=1,"agosto","August")</f>
        <v>agosto</v>
      </c>
      <c r="E504" s="1064">
        <v>-60.3</v>
      </c>
      <c r="F504" s="1064">
        <v>-7.2</v>
      </c>
      <c r="G504" s="1064">
        <v>-26.7</v>
      </c>
      <c r="H504" s="1064">
        <v>-44.4</v>
      </c>
      <c r="I504" s="1064">
        <v>-7.3</v>
      </c>
      <c r="J504" s="1064">
        <v>-39.4</v>
      </c>
      <c r="K504" s="1064">
        <v>-25.8</v>
      </c>
      <c r="L504" s="1064">
        <v>-26.8</v>
      </c>
      <c r="M504" s="1064">
        <v>-33.6</v>
      </c>
      <c r="N504" s="1064">
        <v>-0.3</v>
      </c>
      <c r="O504" s="1064">
        <v>37.9</v>
      </c>
      <c r="P504" s="1064">
        <v>0</v>
      </c>
      <c r="X504" s="50"/>
      <c r="Y504" s="50"/>
      <c r="Z504" s="50"/>
      <c r="AA504" s="171"/>
    </row>
    <row r="505" spans="3:29" s="230" customFormat="1" hidden="1">
      <c r="C505" s="994"/>
      <c r="D505" s="173" t="str">
        <f>IF(Indice_index!$Z$1=1,"setembro","September")</f>
        <v>setembro</v>
      </c>
      <c r="E505" s="1064">
        <v>-42</v>
      </c>
      <c r="F505" s="1064">
        <v>7.1</v>
      </c>
      <c r="G505" s="1064">
        <v>-13.5</v>
      </c>
      <c r="H505" s="1064">
        <v>-26</v>
      </c>
      <c r="I505" s="1064">
        <v>1.4</v>
      </c>
      <c r="J505" s="1064">
        <v>-43.6</v>
      </c>
      <c r="K505" s="1064">
        <v>2.7</v>
      </c>
      <c r="L505" s="1064">
        <v>-14.1</v>
      </c>
      <c r="M505" s="1064">
        <v>-31.2</v>
      </c>
      <c r="N505" s="1064">
        <v>-1.1000000000000001</v>
      </c>
      <c r="O505" s="1064">
        <v>-4</v>
      </c>
      <c r="P505" s="1064">
        <v>-0.7</v>
      </c>
      <c r="X505" s="50"/>
      <c r="Y505" s="50"/>
      <c r="Z505" s="50"/>
      <c r="AA505" s="171"/>
    </row>
    <row r="506" spans="3:29" s="230" customFormat="1" hidden="1">
      <c r="C506" s="994"/>
      <c r="D506" s="173" t="str">
        <f>IF(Indice_index!$Z$1=1,"outubro","October")</f>
        <v>outubro</v>
      </c>
      <c r="E506" s="1064">
        <v>-33.6</v>
      </c>
      <c r="F506" s="1064">
        <v>-7.6</v>
      </c>
      <c r="G506" s="1064">
        <v>-10.199999999999999</v>
      </c>
      <c r="H506" s="1064">
        <v>-22.3</v>
      </c>
      <c r="I506" s="1064">
        <v>10.5</v>
      </c>
      <c r="J506" s="1064">
        <v>-33</v>
      </c>
      <c r="K506" s="1064">
        <v>-28.7</v>
      </c>
      <c r="L506" s="1064">
        <v>-10.6</v>
      </c>
      <c r="M506" s="1064">
        <v>-27.1</v>
      </c>
      <c r="N506" s="1064">
        <v>14.1</v>
      </c>
      <c r="O506" s="1064">
        <v>-3.9</v>
      </c>
      <c r="P506" s="1064">
        <v>-0.4</v>
      </c>
      <c r="X506" s="50"/>
      <c r="Y506" s="50"/>
      <c r="Z506" s="50"/>
      <c r="AA506" s="171"/>
    </row>
    <row r="507" spans="3:29" s="172" customFormat="1" hidden="1">
      <c r="C507" s="994"/>
      <c r="D507" s="173" t="str">
        <f>IF(Indice_index!$Z$1=1,"novembro","November")</f>
        <v>novembro</v>
      </c>
      <c r="E507" s="1064">
        <v>-30.3</v>
      </c>
      <c r="F507" s="1064">
        <v>-2.4</v>
      </c>
      <c r="G507" s="1064">
        <v>0.9</v>
      </c>
      <c r="H507" s="1064">
        <v>-12.8</v>
      </c>
      <c r="I507" s="1064">
        <v>-2.9</v>
      </c>
      <c r="J507" s="1064">
        <v>-39.700000000000003</v>
      </c>
      <c r="K507" s="1064">
        <v>-7.3</v>
      </c>
      <c r="L507" s="1064">
        <v>-4.3</v>
      </c>
      <c r="M507" s="1064">
        <v>-25.1</v>
      </c>
      <c r="N507" s="1064">
        <v>-3.8</v>
      </c>
      <c r="O507" s="1064">
        <v>-12.6</v>
      </c>
      <c r="P507" s="1064">
        <v>-5.2</v>
      </c>
      <c r="X507" s="162"/>
      <c r="Y507" s="162"/>
      <c r="Z507" s="162"/>
      <c r="AA507" s="173"/>
    </row>
    <row r="508" spans="3:29" s="172" customFormat="1" hidden="1">
      <c r="C508" s="994"/>
      <c r="D508" s="173" t="str">
        <f>IF(Indice_index!$Z$1=1,"dezembro","December")</f>
        <v>dezembro</v>
      </c>
      <c r="E508" s="1064">
        <v>-2</v>
      </c>
      <c r="F508" s="1064">
        <v>-5.4</v>
      </c>
      <c r="G508" s="1064">
        <v>-9.6</v>
      </c>
      <c r="H508" s="1064">
        <v>-5.9</v>
      </c>
      <c r="I508" s="1064">
        <v>8.3000000000000007</v>
      </c>
      <c r="J508" s="1064">
        <v>-1.3</v>
      </c>
      <c r="K508" s="1064">
        <v>-28.8</v>
      </c>
      <c r="L508" s="1064">
        <v>-5.6</v>
      </c>
      <c r="M508" s="1064">
        <v>-7.5</v>
      </c>
      <c r="N508" s="1064">
        <v>10.5</v>
      </c>
      <c r="O508" s="1064">
        <v>-5.7</v>
      </c>
      <c r="P508" s="1064">
        <v>4.5</v>
      </c>
      <c r="X508" s="162"/>
      <c r="Y508" s="162"/>
      <c r="Z508" s="162"/>
      <c r="AA508" s="173"/>
    </row>
    <row r="509" spans="3:29" s="230" customFormat="1" hidden="1">
      <c r="C509" s="1067">
        <v>2017</v>
      </c>
      <c r="D509" s="172"/>
      <c r="E509" s="1064"/>
      <c r="F509" s="1064"/>
      <c r="G509" s="1064"/>
      <c r="H509" s="1064"/>
      <c r="I509" s="1064"/>
      <c r="J509" s="1064"/>
      <c r="K509" s="1064"/>
      <c r="L509" s="1064"/>
      <c r="M509" s="172"/>
      <c r="N509" s="1064"/>
      <c r="O509" s="1064"/>
      <c r="P509" s="1064"/>
      <c r="X509" s="50"/>
      <c r="Y509" s="50"/>
      <c r="Z509" s="50"/>
      <c r="AA509" s="171"/>
    </row>
    <row r="510" spans="3:29" s="172" customFormat="1" ht="11.25" hidden="1">
      <c r="C510" s="994"/>
      <c r="D510" s="173" t="str">
        <f>IF(Indice_index!$Z$1=1,"janeiro","January")</f>
        <v>janeiro</v>
      </c>
      <c r="E510" s="1064">
        <v>35.299999999999997</v>
      </c>
      <c r="F510" s="1064">
        <v>22.8</v>
      </c>
      <c r="G510" s="1064">
        <v>7.6</v>
      </c>
      <c r="H510" s="1064">
        <v>21.9</v>
      </c>
      <c r="I510" s="1064">
        <v>8.8000000000000007</v>
      </c>
      <c r="J510" s="1064">
        <v>4</v>
      </c>
      <c r="K510" s="1064">
        <v>14.1</v>
      </c>
      <c r="L510" s="1064">
        <v>3.5</v>
      </c>
      <c r="M510" s="1064">
        <v>5.0999999999999996</v>
      </c>
      <c r="N510" s="1064">
        <v>4.8</v>
      </c>
      <c r="O510" s="1064">
        <v>-20.6</v>
      </c>
      <c r="P510" s="1064">
        <v>-3.9</v>
      </c>
      <c r="R510" s="230"/>
      <c r="S510" s="230"/>
      <c r="T510" s="230"/>
      <c r="U510" s="230"/>
      <c r="V510" s="230"/>
      <c r="W510" s="230"/>
      <c r="X510" s="230"/>
      <c r="Y510" s="230"/>
      <c r="Z510" s="230"/>
      <c r="AA510" s="230"/>
      <c r="AB510" s="230"/>
      <c r="AC510" s="230"/>
    </row>
    <row r="511" spans="3:29" s="172" customFormat="1" ht="11.25" hidden="1">
      <c r="C511" s="994"/>
      <c r="D511" s="173" t="str">
        <f>IF(Indice_index!$Z$1=1,"fevereiro","February")</f>
        <v>fevereiro</v>
      </c>
      <c r="E511" s="1064">
        <v>-5.8</v>
      </c>
      <c r="F511" s="1064">
        <v>56.8</v>
      </c>
      <c r="G511" s="1064">
        <v>24.3</v>
      </c>
      <c r="H511" s="1064">
        <v>12.3</v>
      </c>
      <c r="I511" s="1064">
        <v>36.1</v>
      </c>
      <c r="J511" s="1064">
        <v>0.9</v>
      </c>
      <c r="K511" s="1064">
        <v>37.299999999999997</v>
      </c>
      <c r="L511" s="1064">
        <v>32.200000000000003</v>
      </c>
      <c r="M511" s="1064">
        <v>14.1</v>
      </c>
      <c r="N511" s="1064">
        <v>38</v>
      </c>
      <c r="O511" s="1064">
        <v>4.4000000000000004</v>
      </c>
      <c r="P511" s="1064">
        <v>6.3</v>
      </c>
      <c r="R511" s="230"/>
      <c r="S511" s="230"/>
      <c r="T511" s="230"/>
      <c r="U511" s="230"/>
      <c r="V511" s="230"/>
      <c r="W511" s="230"/>
      <c r="X511" s="230"/>
      <c r="Y511" s="230"/>
      <c r="Z511" s="230"/>
      <c r="AA511" s="230"/>
      <c r="AB511" s="230"/>
      <c r="AC511" s="230"/>
    </row>
    <row r="512" spans="3:29" s="172" customFormat="1" ht="11.25" hidden="1">
      <c r="C512" s="994"/>
      <c r="D512" s="173" t="str">
        <f>IF(Indice_index!$Z$1=1,"março","March")</f>
        <v>março</v>
      </c>
      <c r="E512" s="1064">
        <v>-49.7</v>
      </c>
      <c r="F512" s="1064">
        <v>4.2</v>
      </c>
      <c r="G512" s="1064">
        <v>35.6</v>
      </c>
      <c r="H512" s="1064">
        <v>-8.1999999999999993</v>
      </c>
      <c r="I512" s="1064">
        <v>17.5</v>
      </c>
      <c r="J512" s="1064">
        <v>-48</v>
      </c>
      <c r="K512" s="1064">
        <v>-2</v>
      </c>
      <c r="L512" s="1064">
        <v>32.299999999999997</v>
      </c>
      <c r="M512" s="1064">
        <v>-20</v>
      </c>
      <c r="N512" s="1064">
        <v>16.3</v>
      </c>
      <c r="O512" s="1064">
        <v>2.1</v>
      </c>
      <c r="P512" s="1064">
        <v>-2.4</v>
      </c>
      <c r="R512" s="230"/>
      <c r="S512" s="230"/>
      <c r="T512" s="230"/>
      <c r="U512" s="230"/>
      <c r="V512" s="230"/>
      <c r="W512" s="230"/>
      <c r="X512" s="230"/>
      <c r="Y512" s="230"/>
      <c r="Z512" s="230"/>
      <c r="AA512" s="230"/>
      <c r="AB512" s="230"/>
      <c r="AC512" s="230"/>
    </row>
    <row r="513" spans="3:29" s="230" customFormat="1" ht="11.25" hidden="1">
      <c r="C513" s="994"/>
      <c r="D513" s="173" t="str">
        <f>IF(Indice_index!$Z$1=1,"abril","April")</f>
        <v>abril</v>
      </c>
      <c r="E513" s="1064">
        <v>-32</v>
      </c>
      <c r="F513" s="1064">
        <v>8.3000000000000007</v>
      </c>
      <c r="G513" s="1064">
        <v>1.2</v>
      </c>
      <c r="H513" s="1064">
        <v>-13.3</v>
      </c>
      <c r="I513" s="1064">
        <v>5.5</v>
      </c>
      <c r="J513" s="1064">
        <v>-8.5</v>
      </c>
      <c r="K513" s="1064">
        <v>-1.7</v>
      </c>
      <c r="L513" s="1064">
        <v>3</v>
      </c>
      <c r="M513" s="1064">
        <v>-3.9</v>
      </c>
      <c r="N513" s="1064">
        <v>2.1</v>
      </c>
      <c r="O513" s="1064">
        <v>24.9</v>
      </c>
      <c r="P513" s="1064">
        <v>1.7</v>
      </c>
    </row>
    <row r="514" spans="3:29" s="230" customFormat="1" ht="11.25" hidden="1">
      <c r="C514" s="994"/>
      <c r="D514" s="173" t="str">
        <f>IF(Indice_index!$Z$1=1,"maio","May")</f>
        <v>maio</v>
      </c>
      <c r="E514" s="1064">
        <v>45.7</v>
      </c>
      <c r="F514" s="1064">
        <v>7.9</v>
      </c>
      <c r="G514" s="1064">
        <v>-5.7</v>
      </c>
      <c r="H514" s="1064">
        <v>15.8</v>
      </c>
      <c r="I514" s="1064">
        <v>-15.6</v>
      </c>
      <c r="J514" s="1064">
        <v>151.80000000000001</v>
      </c>
      <c r="K514" s="1064">
        <v>8.6</v>
      </c>
      <c r="L514" s="1064">
        <v>-1</v>
      </c>
      <c r="M514" s="1064">
        <v>74.2</v>
      </c>
      <c r="N514" s="1064">
        <v>-17.3</v>
      </c>
      <c r="O514" s="1064">
        <v>58.4</v>
      </c>
      <c r="P514" s="1064">
        <v>4.9000000000000004</v>
      </c>
    </row>
    <row r="515" spans="3:29" s="230" customFormat="1" ht="11.25" hidden="1">
      <c r="C515" s="994"/>
      <c r="D515" s="173" t="str">
        <f>IF(Indice_index!$Z$1=1,"junho","June")</f>
        <v>junho</v>
      </c>
      <c r="E515" s="1064">
        <v>73.900000000000006</v>
      </c>
      <c r="F515" s="1064">
        <v>-6</v>
      </c>
      <c r="G515" s="1064">
        <v>-8.6</v>
      </c>
      <c r="H515" s="1064">
        <v>21.6</v>
      </c>
      <c r="I515" s="1064">
        <v>-3.2</v>
      </c>
      <c r="J515" s="1064">
        <v>153.9</v>
      </c>
      <c r="K515" s="1064">
        <v>19</v>
      </c>
      <c r="L515" s="1064">
        <v>-6.8</v>
      </c>
      <c r="M515" s="1064">
        <v>66.900000000000006</v>
      </c>
      <c r="N515" s="1064">
        <v>-0.3</v>
      </c>
      <c r="O515" s="1064">
        <v>41.3</v>
      </c>
      <c r="P515" s="1064">
        <v>2</v>
      </c>
    </row>
    <row r="516" spans="3:29" s="230" customFormat="1" ht="11.25" hidden="1">
      <c r="C516" s="994"/>
      <c r="D516" s="173" t="str">
        <f>IF(Indice_index!$Z$1=1,"julho","July")</f>
        <v>julho</v>
      </c>
      <c r="E516" s="1064">
        <v>183.6</v>
      </c>
      <c r="F516" s="1064">
        <v>-3.5</v>
      </c>
      <c r="G516" s="1064">
        <v>-12</v>
      </c>
      <c r="H516" s="1064">
        <v>63.1</v>
      </c>
      <c r="I516" s="1064">
        <v>3.2</v>
      </c>
      <c r="J516" s="1064">
        <v>275.2</v>
      </c>
      <c r="K516" s="1064">
        <v>-0.9</v>
      </c>
      <c r="L516" s="1064">
        <v>-4.5</v>
      </c>
      <c r="M516" s="1064">
        <v>126.4</v>
      </c>
      <c r="N516" s="1064">
        <v>0.3</v>
      </c>
      <c r="O516" s="1064">
        <v>27</v>
      </c>
      <c r="P516" s="1064">
        <v>8.5</v>
      </c>
    </row>
    <row r="517" spans="3:29" s="230" customFormat="1" ht="11.25" hidden="1">
      <c r="C517" s="994"/>
      <c r="D517" s="173" t="str">
        <f>IF(Indice_index!$Z$1=1,"agosto","August")</f>
        <v>agosto</v>
      </c>
      <c r="E517" s="1064">
        <v>153.9</v>
      </c>
      <c r="F517" s="1064">
        <v>-32.299999999999997</v>
      </c>
      <c r="G517" s="1064">
        <v>1.4</v>
      </c>
      <c r="H517" s="1064">
        <v>59.2</v>
      </c>
      <c r="I517" s="1064">
        <v>9.1999999999999993</v>
      </c>
      <c r="J517" s="1064">
        <v>201.8</v>
      </c>
      <c r="K517" s="1064">
        <v>-24.7</v>
      </c>
      <c r="L517" s="1064">
        <v>9.9</v>
      </c>
      <c r="M517" s="1064">
        <v>99.5</v>
      </c>
      <c r="N517" s="1064">
        <v>-7.5</v>
      </c>
      <c r="O517" s="1064">
        <v>15.3</v>
      </c>
      <c r="P517" s="1064">
        <v>8.3000000000000007</v>
      </c>
    </row>
    <row r="518" spans="3:29" s="172" customFormat="1" ht="11.25" hidden="1">
      <c r="C518" s="994"/>
      <c r="D518" s="173" t="str">
        <f>IF(Indice_index!$Z$1=1,"setembro","September")</f>
        <v>setembro</v>
      </c>
      <c r="E518" s="1064">
        <v>66.7</v>
      </c>
      <c r="F518" s="1064">
        <v>-8.6</v>
      </c>
      <c r="G518" s="1064">
        <v>0.2</v>
      </c>
      <c r="H518" s="1064">
        <v>25.5</v>
      </c>
      <c r="I518" s="1064">
        <v>-4.2</v>
      </c>
      <c r="J518" s="1064">
        <v>136.30000000000001</v>
      </c>
      <c r="K518" s="1064">
        <v>-0.9</v>
      </c>
      <c r="L518" s="1064">
        <v>-4.7</v>
      </c>
      <c r="M518" s="1064">
        <v>70.3</v>
      </c>
      <c r="N518" s="1064">
        <v>-2.6</v>
      </c>
      <c r="O518" s="1064">
        <v>38.200000000000003</v>
      </c>
      <c r="P518" s="1064">
        <v>-4.8</v>
      </c>
      <c r="R518" s="230"/>
      <c r="S518" s="230"/>
      <c r="T518" s="230"/>
      <c r="U518" s="230"/>
      <c r="V518" s="230"/>
      <c r="W518" s="230"/>
      <c r="X518" s="230"/>
      <c r="Y518" s="230"/>
      <c r="Z518" s="230"/>
      <c r="AA518" s="230"/>
      <c r="AB518" s="230"/>
      <c r="AC518" s="230"/>
    </row>
    <row r="519" spans="3:29" s="172" customFormat="1" ht="11.25" hidden="1">
      <c r="C519" s="994"/>
      <c r="D519" s="173" t="str">
        <f>IF(Indice_index!$Z$1=1,"outubro","October")</f>
        <v>outubro</v>
      </c>
      <c r="E519" s="1064">
        <v>93.3</v>
      </c>
      <c r="F519" s="1064">
        <v>-54.1</v>
      </c>
      <c r="G519" s="1064">
        <v>718.7</v>
      </c>
      <c r="H519" s="1064">
        <v>339.5</v>
      </c>
      <c r="I519" s="1064">
        <v>-6.3</v>
      </c>
      <c r="J519" s="1064">
        <v>164.7</v>
      </c>
      <c r="K519" s="1064">
        <v>-41.9</v>
      </c>
      <c r="L519" s="1064">
        <v>260.2</v>
      </c>
      <c r="M519" s="1064">
        <v>158.6</v>
      </c>
      <c r="N519" s="1064">
        <v>-3.3</v>
      </c>
      <c r="O519" s="1064">
        <v>35.5</v>
      </c>
      <c r="P519" s="1064">
        <v>-56</v>
      </c>
      <c r="R519" s="230"/>
      <c r="S519" s="230"/>
      <c r="T519" s="230"/>
      <c r="U519" s="230"/>
      <c r="V519" s="230"/>
      <c r="W519" s="230"/>
      <c r="X519" s="230"/>
      <c r="Y519" s="230"/>
      <c r="Z519" s="230"/>
      <c r="AA519" s="230"/>
      <c r="AB519" s="230"/>
      <c r="AC519" s="230"/>
    </row>
    <row r="520" spans="3:29" s="172" customFormat="1" ht="11.25" hidden="1">
      <c r="C520" s="994"/>
      <c r="D520" s="173" t="str">
        <f>IF(Indice_index!$Z$1=1,"novembro","November")</f>
        <v>novembro</v>
      </c>
      <c r="E520" s="1064">
        <v>157.80000000000001</v>
      </c>
      <c r="F520" s="1064">
        <v>101.3</v>
      </c>
      <c r="G520" s="1064">
        <v>-7.4</v>
      </c>
      <c r="H520" s="1064">
        <v>56.3</v>
      </c>
      <c r="I520" s="1064">
        <v>3.5</v>
      </c>
      <c r="J520" s="1064">
        <v>362.3</v>
      </c>
      <c r="K520" s="1064">
        <v>113.8</v>
      </c>
      <c r="L520" s="1064">
        <v>-7.5</v>
      </c>
      <c r="M520" s="1064">
        <v>176</v>
      </c>
      <c r="N520" s="1064">
        <v>16.5</v>
      </c>
      <c r="O520" s="1064">
        <v>70.400000000000006</v>
      </c>
      <c r="P520" s="1064">
        <v>-0.2</v>
      </c>
      <c r="R520" s="230"/>
      <c r="S520" s="230"/>
      <c r="T520" s="230"/>
      <c r="U520" s="230"/>
      <c r="V520" s="230"/>
      <c r="W520" s="230"/>
      <c r="X520" s="230"/>
      <c r="Y520" s="230"/>
      <c r="Z520" s="230"/>
      <c r="AA520" s="230"/>
      <c r="AB520" s="230"/>
      <c r="AC520" s="230"/>
    </row>
    <row r="521" spans="3:29" s="172" customFormat="1" ht="11.25" hidden="1">
      <c r="C521" s="994"/>
      <c r="D521" s="173" t="str">
        <f>IF(Indice_index!$Z$1=1,"dezembro","December")</f>
        <v>dezembro</v>
      </c>
      <c r="E521" s="1064">
        <v>10.1</v>
      </c>
      <c r="F521" s="1064">
        <v>5.0999999999999996</v>
      </c>
      <c r="G521" s="1064">
        <v>30.9</v>
      </c>
      <c r="H521" s="1064">
        <v>18.8</v>
      </c>
      <c r="I521" s="1064">
        <v>7</v>
      </c>
      <c r="J521" s="1064">
        <v>25.3</v>
      </c>
      <c r="K521" s="1064">
        <v>-2.6</v>
      </c>
      <c r="L521" s="1064">
        <v>39.200000000000003</v>
      </c>
      <c r="M521" s="1064">
        <v>25.4</v>
      </c>
      <c r="N521" s="1064">
        <v>4.7</v>
      </c>
      <c r="O521" s="1064">
        <v>9.9</v>
      </c>
      <c r="P521" s="1064">
        <v>6.3</v>
      </c>
      <c r="R521" s="230"/>
      <c r="S521" s="230"/>
      <c r="T521" s="230"/>
      <c r="U521" s="230"/>
      <c r="V521" s="230"/>
      <c r="W521" s="230"/>
      <c r="X521" s="230"/>
      <c r="Y521" s="230"/>
      <c r="Z521" s="230"/>
      <c r="AA521" s="230"/>
      <c r="AB521" s="230"/>
      <c r="AC521" s="230"/>
    </row>
    <row r="522" spans="3:29" s="230" customFormat="1" ht="15" hidden="1" customHeight="1">
      <c r="C522" s="1067">
        <v>2018</v>
      </c>
      <c r="D522" s="172"/>
      <c r="E522" s="1064"/>
      <c r="F522" s="1064"/>
      <c r="G522" s="1064"/>
      <c r="H522" s="1064"/>
      <c r="I522" s="1064"/>
      <c r="J522" s="1064"/>
      <c r="K522" s="1064"/>
      <c r="L522" s="1064"/>
      <c r="M522" s="172"/>
      <c r="N522" s="1064"/>
      <c r="O522" s="1064"/>
      <c r="P522" s="1064"/>
      <c r="X522" s="50"/>
      <c r="Y522" s="50"/>
      <c r="Z522" s="50"/>
      <c r="AA522" s="171"/>
    </row>
    <row r="523" spans="3:29" s="172" customFormat="1" ht="15" hidden="1" customHeight="1">
      <c r="C523" s="994"/>
      <c r="D523" s="173" t="str">
        <f>IF(Indice_index!$Z$1=1,"janeiro","January")</f>
        <v>janeiro</v>
      </c>
      <c r="E523" s="230">
        <v>-10.4</v>
      </c>
      <c r="F523" s="230">
        <v>-10.7</v>
      </c>
      <c r="G523" s="230">
        <v>-6.1</v>
      </c>
      <c r="H523" s="230">
        <v>-8.8000000000000007</v>
      </c>
      <c r="I523" s="230">
        <v>0.5</v>
      </c>
      <c r="J523" s="230">
        <v>12.3</v>
      </c>
      <c r="K523" s="230">
        <v>-14.2</v>
      </c>
      <c r="L523" s="230">
        <v>-2.2999999999999998</v>
      </c>
      <c r="M523" s="230">
        <v>4.4000000000000004</v>
      </c>
      <c r="N523" s="230">
        <v>0.5</v>
      </c>
      <c r="O523" s="230">
        <v>19.7</v>
      </c>
      <c r="P523" s="230">
        <v>4</v>
      </c>
      <c r="R523" s="231"/>
      <c r="S523" s="231"/>
      <c r="T523" s="231"/>
      <c r="U523" s="231"/>
      <c r="V523" s="231"/>
      <c r="W523" s="231"/>
      <c r="X523" s="231"/>
      <c r="Y523" s="231"/>
      <c r="Z523" s="231"/>
      <c r="AA523" s="231"/>
      <c r="AB523" s="231"/>
      <c r="AC523" s="231"/>
    </row>
    <row r="524" spans="3:29" s="172" customFormat="1" ht="15" hidden="1" customHeight="1">
      <c r="C524" s="994"/>
      <c r="D524" s="173" t="str">
        <f>IF(Indice_index!$Z$1=1,"fevereiro","February")</f>
        <v>fevereiro</v>
      </c>
      <c r="E524" s="230">
        <v>28.4</v>
      </c>
      <c r="F524" s="230">
        <v>-35.4</v>
      </c>
      <c r="G524" s="230">
        <v>-10.4</v>
      </c>
      <c r="H524" s="230">
        <v>2.7</v>
      </c>
      <c r="I524" s="230">
        <v>-11.1</v>
      </c>
      <c r="J524" s="230">
        <v>69.099999999999994</v>
      </c>
      <c r="K524" s="230">
        <v>-29.4</v>
      </c>
      <c r="L524" s="230">
        <v>-9.6999999999999993</v>
      </c>
      <c r="M524" s="230">
        <v>29.5</v>
      </c>
      <c r="N524" s="230">
        <v>-10.199999999999999</v>
      </c>
      <c r="O524" s="230">
        <v>29.5</v>
      </c>
      <c r="P524" s="230">
        <v>0.8</v>
      </c>
      <c r="R524" s="231"/>
      <c r="S524" s="231"/>
      <c r="T524" s="231"/>
      <c r="U524" s="231"/>
      <c r="V524" s="231"/>
      <c r="W524" s="231"/>
      <c r="X524" s="231"/>
      <c r="Y524" s="231"/>
      <c r="Z524" s="231"/>
      <c r="AA524" s="231"/>
      <c r="AB524" s="231"/>
      <c r="AC524" s="231"/>
    </row>
    <row r="525" spans="3:29" s="172" customFormat="1" ht="15" hidden="1" customHeight="1">
      <c r="C525" s="994"/>
      <c r="D525" s="173" t="str">
        <f>IF(Indice_index!$Z$1=1,"março","March")</f>
        <v>março</v>
      </c>
      <c r="E525" s="230">
        <v>79.400000000000006</v>
      </c>
      <c r="F525" s="230">
        <v>14.9</v>
      </c>
      <c r="G525" s="230">
        <v>-32.5</v>
      </c>
      <c r="H525" s="230">
        <v>1.9</v>
      </c>
      <c r="I525" s="230">
        <v>-4.5999999999999996</v>
      </c>
      <c r="J525" s="230">
        <v>129.9</v>
      </c>
      <c r="K525" s="230">
        <v>0.7</v>
      </c>
      <c r="L525" s="230">
        <v>-27.4</v>
      </c>
      <c r="M525" s="230">
        <v>38.1</v>
      </c>
      <c r="N525" s="230">
        <v>-1.8</v>
      </c>
      <c r="O525" s="230">
        <v>19.5</v>
      </c>
      <c r="P525" s="230">
        <v>7.6</v>
      </c>
      <c r="R525" s="231"/>
      <c r="S525" s="231"/>
      <c r="T525" s="231"/>
      <c r="U525" s="231"/>
      <c r="V525" s="231"/>
      <c r="W525" s="231"/>
      <c r="X525" s="231"/>
      <c r="Y525" s="231"/>
      <c r="Z525" s="231"/>
      <c r="AA525" s="231"/>
      <c r="AB525" s="231"/>
      <c r="AC525" s="231"/>
    </row>
    <row r="526" spans="3:29" s="230" customFormat="1" ht="15" hidden="1" customHeight="1">
      <c r="C526" s="994"/>
      <c r="D526" s="173" t="str">
        <f>IF(Indice_index!$Z$1=1,"abril","April")</f>
        <v>abril</v>
      </c>
      <c r="E526" s="230">
        <v>22.4</v>
      </c>
      <c r="F526" s="230">
        <v>-22.9</v>
      </c>
      <c r="G526" s="230">
        <v>-19</v>
      </c>
      <c r="H526" s="230">
        <v>-4.7</v>
      </c>
      <c r="I526" s="230">
        <v>22.1</v>
      </c>
      <c r="J526" s="230">
        <v>35.5</v>
      </c>
      <c r="K526" s="230">
        <v>-8.3000000000000007</v>
      </c>
      <c r="L526" s="230">
        <v>-23.3</v>
      </c>
      <c r="M526" s="230">
        <v>9.6</v>
      </c>
      <c r="N526" s="230">
        <v>24</v>
      </c>
      <c r="O526" s="230">
        <v>13.8</v>
      </c>
      <c r="P526" s="230">
        <v>-5.3</v>
      </c>
      <c r="R526" s="231"/>
      <c r="S526" s="231"/>
      <c r="T526" s="231"/>
      <c r="U526" s="231"/>
      <c r="V526" s="231"/>
      <c r="W526" s="231"/>
      <c r="X526" s="231"/>
      <c r="Y526" s="231"/>
      <c r="Z526" s="231"/>
      <c r="AA526" s="231"/>
      <c r="AB526" s="231"/>
      <c r="AC526" s="231"/>
    </row>
    <row r="527" spans="3:29" s="230" customFormat="1" ht="15" hidden="1" customHeight="1">
      <c r="C527" s="994"/>
      <c r="D527" s="173" t="str">
        <f>IF(Indice_index!$Z$1=1,"maio","May")</f>
        <v>maio</v>
      </c>
      <c r="E527" s="230">
        <v>22</v>
      </c>
      <c r="F527" s="230">
        <v>0</v>
      </c>
      <c r="G527" s="230">
        <v>-2.2000000000000002</v>
      </c>
      <c r="H527" s="230">
        <v>9.9</v>
      </c>
      <c r="I527" s="230">
        <v>3.1</v>
      </c>
      <c r="J527" s="230">
        <v>20.8</v>
      </c>
      <c r="K527" s="230">
        <v>-2.4</v>
      </c>
      <c r="L527" s="230">
        <v>5.8</v>
      </c>
      <c r="M527" s="230">
        <v>15.6</v>
      </c>
      <c r="N527" s="230">
        <v>7</v>
      </c>
      <c r="O527" s="230">
        <v>-0.4</v>
      </c>
      <c r="P527" s="230">
        <v>8.3000000000000007</v>
      </c>
      <c r="R527" s="231"/>
      <c r="S527" s="231"/>
      <c r="T527" s="231"/>
      <c r="U527" s="231"/>
      <c r="V527" s="231"/>
      <c r="W527" s="231"/>
      <c r="X527" s="231"/>
      <c r="Y527" s="231"/>
      <c r="Z527" s="231"/>
      <c r="AA527" s="231"/>
      <c r="AB527" s="231"/>
      <c r="AC527" s="231"/>
    </row>
    <row r="528" spans="3:29" s="230" customFormat="1" ht="15" hidden="1" customHeight="1">
      <c r="C528" s="994"/>
      <c r="D528" s="173" t="str">
        <f>IF(Indice_index!$Z$1=1,"junho","June")</f>
        <v>junho</v>
      </c>
      <c r="E528" s="230">
        <v>-31.3</v>
      </c>
      <c r="F528" s="230">
        <v>-14.1</v>
      </c>
      <c r="G528" s="230">
        <v>-26.7</v>
      </c>
      <c r="H528" s="230">
        <v>-28.2</v>
      </c>
      <c r="I528" s="230">
        <v>12.4</v>
      </c>
      <c r="J528" s="230">
        <v>-10.199999999999999</v>
      </c>
      <c r="K528" s="230">
        <v>-31.4</v>
      </c>
      <c r="L528" s="230">
        <v>-73.8</v>
      </c>
      <c r="M528" s="230">
        <v>-15.2</v>
      </c>
      <c r="N528" s="230">
        <v>17.600000000000001</v>
      </c>
      <c r="O528" s="230">
        <v>23.3</v>
      </c>
      <c r="P528" s="230">
        <v>5.0999999999999996</v>
      </c>
      <c r="R528" s="231"/>
      <c r="S528" s="231"/>
      <c r="T528" s="231"/>
      <c r="U528" s="231"/>
      <c r="V528" s="231"/>
      <c r="W528" s="231"/>
      <c r="X528" s="231"/>
      <c r="Y528" s="231"/>
      <c r="Z528" s="231"/>
      <c r="AA528" s="231"/>
      <c r="AB528" s="231"/>
      <c r="AC528" s="231"/>
    </row>
    <row r="529" spans="3:29" s="230" customFormat="1" ht="15" hidden="1" customHeight="1">
      <c r="C529" s="994"/>
      <c r="D529" s="173" t="str">
        <f>IF(Indice_index!$Z$1=1,"julho","July")</f>
        <v>julho</v>
      </c>
      <c r="E529" s="230">
        <v>-50</v>
      </c>
      <c r="F529" s="230">
        <v>-22.3</v>
      </c>
      <c r="G529" s="230">
        <v>25.9</v>
      </c>
      <c r="H529" s="230">
        <v>-27.8</v>
      </c>
      <c r="I529" s="230">
        <v>0</v>
      </c>
      <c r="J529" s="230">
        <v>-41.2</v>
      </c>
      <c r="K529" s="230">
        <v>-23.8</v>
      </c>
      <c r="L529" s="230">
        <v>22.5</v>
      </c>
      <c r="M529" s="230">
        <v>-30.3</v>
      </c>
      <c r="N529" s="230">
        <v>7.6</v>
      </c>
      <c r="O529" s="230">
        <v>14.2</v>
      </c>
      <c r="P529" s="230">
        <v>-2.7</v>
      </c>
      <c r="R529" s="231"/>
      <c r="S529" s="231"/>
      <c r="T529" s="231"/>
      <c r="U529" s="231"/>
      <c r="V529" s="231"/>
      <c r="W529" s="231"/>
      <c r="X529" s="231"/>
      <c r="Y529" s="231"/>
      <c r="Z529" s="231"/>
      <c r="AA529" s="231"/>
      <c r="AB529" s="231"/>
      <c r="AC529" s="231"/>
    </row>
    <row r="530" spans="3:29" s="230" customFormat="1" ht="15" hidden="1" customHeight="1">
      <c r="C530" s="994"/>
      <c r="D530" s="173" t="str">
        <f>IF(Indice_index!$Z$1=1,"agosto","August")</f>
        <v>agosto</v>
      </c>
      <c r="E530" s="1064">
        <v>-36.700000000000003</v>
      </c>
      <c r="F530" s="1064">
        <v>-12.4</v>
      </c>
      <c r="G530" s="1064">
        <v>1.6</v>
      </c>
      <c r="H530" s="1064">
        <v>-24.2</v>
      </c>
      <c r="I530" s="1064">
        <v>-4.7</v>
      </c>
      <c r="J530" s="1064">
        <v>-15.9</v>
      </c>
      <c r="K530" s="1064">
        <v>-1.5</v>
      </c>
      <c r="L530" s="1064">
        <v>-0.1</v>
      </c>
      <c r="M530" s="1064">
        <v>-12.2</v>
      </c>
      <c r="N530" s="1064">
        <v>9</v>
      </c>
      <c r="O530" s="1064">
        <v>30.7</v>
      </c>
      <c r="P530" s="1064">
        <v>-1.6</v>
      </c>
      <c r="R530" s="231"/>
      <c r="S530" s="231"/>
      <c r="T530" s="231"/>
      <c r="U530" s="231"/>
      <c r="V530" s="231"/>
      <c r="W530" s="231"/>
      <c r="X530" s="231"/>
      <c r="Y530" s="231"/>
      <c r="Z530" s="231"/>
      <c r="AA530" s="231"/>
      <c r="AB530" s="231"/>
      <c r="AC530" s="231"/>
    </row>
    <row r="531" spans="3:29" s="172" customFormat="1" ht="15" hidden="1" customHeight="1">
      <c r="C531" s="994"/>
      <c r="D531" s="173" t="str">
        <f>IF(Indice_index!$Z$1=1,"setembro","September")</f>
        <v>setembro</v>
      </c>
      <c r="E531" s="1064">
        <v>-4</v>
      </c>
      <c r="F531" s="1064">
        <v>-22.8</v>
      </c>
      <c r="G531" s="1064">
        <v>-2</v>
      </c>
      <c r="H531" s="1064">
        <v>-5.2</v>
      </c>
      <c r="I531" s="1064">
        <v>8.1</v>
      </c>
      <c r="J531" s="1064">
        <v>-12.1</v>
      </c>
      <c r="K531" s="1064">
        <v>-27.4</v>
      </c>
      <c r="L531" s="1064">
        <v>2.9</v>
      </c>
      <c r="M531" s="1064">
        <v>-11</v>
      </c>
      <c r="N531" s="1064">
        <v>11</v>
      </c>
      <c r="O531" s="1064">
        <v>-7.4</v>
      </c>
      <c r="P531" s="1064">
        <v>5</v>
      </c>
      <c r="R531" s="231"/>
      <c r="S531" s="231"/>
      <c r="T531" s="231"/>
      <c r="U531" s="231"/>
      <c r="V531" s="231"/>
      <c r="W531" s="231"/>
      <c r="X531" s="231"/>
      <c r="Y531" s="231"/>
      <c r="Z531" s="231"/>
      <c r="AA531" s="231"/>
      <c r="AB531" s="231"/>
      <c r="AC531" s="231"/>
    </row>
    <row r="532" spans="3:29" s="172" customFormat="1" ht="15" hidden="1" customHeight="1">
      <c r="C532" s="994"/>
      <c r="D532" s="173" t="str">
        <f>IF(Indice_index!$Z$1=1,"outubro","October")</f>
        <v>outubro</v>
      </c>
      <c r="E532" s="1064">
        <v>-41.1</v>
      </c>
      <c r="F532" s="1064">
        <v>34.299999999999997</v>
      </c>
      <c r="G532" s="1064">
        <v>-86.3</v>
      </c>
      <c r="H532" s="1064">
        <v>-75.8</v>
      </c>
      <c r="I532" s="1064">
        <v>16.7</v>
      </c>
      <c r="J532" s="1064">
        <v>-33.1</v>
      </c>
      <c r="K532" s="1064">
        <v>35.4</v>
      </c>
      <c r="L532" s="1064">
        <v>-66.5</v>
      </c>
      <c r="M532" s="1064">
        <v>-43.8</v>
      </c>
      <c r="N532" s="1064">
        <v>20.8</v>
      </c>
      <c r="O532" s="1064">
        <v>11.8</v>
      </c>
      <c r="P532" s="1064">
        <v>145.30000000000001</v>
      </c>
      <c r="R532" s="231"/>
      <c r="S532" s="231"/>
      <c r="T532" s="231"/>
      <c r="U532" s="231"/>
      <c r="V532" s="231"/>
      <c r="W532" s="231"/>
      <c r="X532" s="231"/>
      <c r="Y532" s="231"/>
      <c r="Z532" s="231"/>
      <c r="AA532" s="231"/>
      <c r="AB532" s="231"/>
      <c r="AC532" s="231"/>
    </row>
    <row r="533" spans="3:29" s="172" customFormat="1" ht="15" hidden="1" customHeight="1">
      <c r="C533" s="994"/>
      <c r="D533" s="173" t="str">
        <f>IF(Indice_index!$Z$1=1,"novembro","November")</f>
        <v>novembro</v>
      </c>
      <c r="E533" s="1064">
        <v>-37.799999999999997</v>
      </c>
      <c r="F533" s="1064">
        <v>-16.8</v>
      </c>
      <c r="G533" s="1064">
        <v>28.3</v>
      </c>
      <c r="H533" s="1064">
        <v>-12.9</v>
      </c>
      <c r="I533" s="1064">
        <v>0</v>
      </c>
      <c r="J533" s="1064">
        <v>-51.6</v>
      </c>
      <c r="K533" s="1064">
        <v>-1</v>
      </c>
      <c r="L533" s="1064">
        <v>46.7</v>
      </c>
      <c r="M533" s="1064">
        <v>-33.6</v>
      </c>
      <c r="N533" s="1064">
        <v>1.3</v>
      </c>
      <c r="O533" s="1064">
        <v>-19.3</v>
      </c>
      <c r="P533" s="1064">
        <v>14.3</v>
      </c>
      <c r="R533" s="231"/>
      <c r="S533" s="231"/>
      <c r="T533" s="231"/>
      <c r="U533" s="231"/>
      <c r="V533" s="231"/>
      <c r="W533" s="231"/>
      <c r="X533" s="231"/>
      <c r="Y533" s="231"/>
      <c r="Z533" s="231"/>
      <c r="AA533" s="231"/>
      <c r="AB533" s="231"/>
      <c r="AC533" s="231"/>
    </row>
    <row r="534" spans="3:29" s="172" customFormat="1" ht="15" hidden="1" customHeight="1">
      <c r="C534" s="994"/>
      <c r="D534" s="173" t="str">
        <f>IF(Indice_index!$Z$1=1,"dezembro","December")</f>
        <v>dezembro</v>
      </c>
      <c r="E534" s="1064">
        <v>25.5</v>
      </c>
      <c r="F534" s="1064">
        <v>18.5</v>
      </c>
      <c r="G534" s="1064">
        <v>-2.5</v>
      </c>
      <c r="H534" s="1064">
        <v>11</v>
      </c>
      <c r="I534" s="1064">
        <v>-6.5</v>
      </c>
      <c r="J534" s="1064">
        <v>63</v>
      </c>
      <c r="K534" s="1064">
        <v>51.5</v>
      </c>
      <c r="L534" s="1064">
        <v>5.5</v>
      </c>
      <c r="M534" s="1064">
        <v>43.3</v>
      </c>
      <c r="N534" s="1064">
        <v>-3.6</v>
      </c>
      <c r="O534" s="1064">
        <v>37.5</v>
      </c>
      <c r="P534" s="1064">
        <v>8.1</v>
      </c>
      <c r="R534" s="231"/>
      <c r="S534" s="231"/>
      <c r="T534" s="231"/>
      <c r="U534" s="231"/>
      <c r="V534" s="231"/>
      <c r="W534" s="231"/>
      <c r="X534" s="231"/>
      <c r="Y534" s="231"/>
      <c r="Z534" s="231"/>
      <c r="AA534" s="231"/>
      <c r="AB534" s="231"/>
      <c r="AC534" s="231"/>
    </row>
    <row r="535" spans="3:29" s="230" customFormat="1" ht="15" customHeight="1">
      <c r="C535" s="1067">
        <v>2019</v>
      </c>
      <c r="D535" s="172"/>
      <c r="E535" s="1064"/>
      <c r="F535" s="1064"/>
      <c r="G535" s="1064"/>
      <c r="H535" s="1064"/>
      <c r="I535" s="1064"/>
      <c r="J535" s="1064"/>
      <c r="K535" s="1064"/>
      <c r="L535" s="1064"/>
      <c r="M535" s="172"/>
      <c r="N535" s="1064"/>
      <c r="O535" s="1064"/>
      <c r="P535" s="1064"/>
      <c r="R535" s="231"/>
      <c r="S535" s="231"/>
      <c r="T535" s="231"/>
      <c r="U535" s="231"/>
      <c r="V535" s="231"/>
      <c r="W535" s="231"/>
      <c r="X535" s="231"/>
      <c r="Y535" s="231"/>
      <c r="Z535" s="231"/>
      <c r="AA535" s="231"/>
      <c r="AB535" s="231"/>
      <c r="AC535" s="231"/>
    </row>
    <row r="536" spans="3:29" s="172" customFormat="1" ht="15" customHeight="1">
      <c r="C536" s="994"/>
      <c r="D536" s="173" t="str">
        <f>IF(Indice_index!$Z$1=1,"janeiro","January")</f>
        <v>janeiro</v>
      </c>
      <c r="E536" s="1110">
        <v>13.6</v>
      </c>
      <c r="F536" s="1110">
        <v>40</v>
      </c>
      <c r="G536" s="1110">
        <v>36.4</v>
      </c>
      <c r="H536" s="1110">
        <v>25.2</v>
      </c>
      <c r="I536" s="1110">
        <v>3.7</v>
      </c>
      <c r="J536" s="1110">
        <v>67.8</v>
      </c>
      <c r="K536" s="1110">
        <v>44.8</v>
      </c>
      <c r="L536" s="1110">
        <v>36.6</v>
      </c>
      <c r="M536" s="1110">
        <v>56.7</v>
      </c>
      <c r="N536" s="1110">
        <v>0</v>
      </c>
      <c r="O536" s="1110">
        <v>39.700000000000003</v>
      </c>
      <c r="P536" s="1110">
        <v>0.1</v>
      </c>
      <c r="R536" s="231"/>
      <c r="S536" s="231"/>
      <c r="T536" s="231"/>
      <c r="U536" s="231"/>
      <c r="V536" s="231"/>
      <c r="W536" s="231"/>
      <c r="X536" s="231"/>
      <c r="Y536" s="231"/>
      <c r="Z536" s="231"/>
      <c r="AA536" s="231"/>
      <c r="AB536" s="231"/>
      <c r="AC536" s="231"/>
    </row>
    <row r="537" spans="3:29" s="172" customFormat="1" ht="15" customHeight="1">
      <c r="C537" s="994"/>
      <c r="D537" s="173" t="str">
        <f>IF(Indice_index!$Z$1=1,"fevereiro","February")</f>
        <v>fevereiro</v>
      </c>
      <c r="E537" s="1110">
        <v>-7.5</v>
      </c>
      <c r="F537" s="1110">
        <v>102.4</v>
      </c>
      <c r="G537" s="1110">
        <v>32.799999999999997</v>
      </c>
      <c r="H537" s="1110">
        <v>16.8</v>
      </c>
      <c r="I537" s="1110">
        <v>-8.3000000000000007</v>
      </c>
      <c r="J537" s="1110">
        <v>-17.600000000000001</v>
      </c>
      <c r="K537" s="1110">
        <v>100.1</v>
      </c>
      <c r="L537" s="1110">
        <v>40.700000000000003</v>
      </c>
      <c r="M537" s="1110">
        <v>4.4000000000000004</v>
      </c>
      <c r="N537" s="1110">
        <v>-3.3</v>
      </c>
      <c r="O537" s="1110">
        <v>-10.8</v>
      </c>
      <c r="P537" s="1110">
        <v>6</v>
      </c>
      <c r="R537" s="231"/>
      <c r="S537" s="231"/>
      <c r="T537" s="231"/>
      <c r="U537" s="231"/>
      <c r="V537" s="231"/>
      <c r="W537" s="231"/>
      <c r="X537" s="231"/>
      <c r="Y537" s="231"/>
      <c r="Z537" s="231"/>
      <c r="AA537" s="231"/>
      <c r="AB537" s="231"/>
      <c r="AC537" s="231"/>
    </row>
    <row r="538" spans="3:29" s="172" customFormat="1" ht="15" customHeight="1">
      <c r="C538" s="994"/>
      <c r="D538" s="173" t="str">
        <f>IF(Indice_index!$Z$1=1,"março","March")</f>
        <v>março</v>
      </c>
      <c r="E538" s="1110">
        <v>-23.2</v>
      </c>
      <c r="F538" s="1110">
        <v>50.6</v>
      </c>
      <c r="G538" s="1110">
        <v>49.4</v>
      </c>
      <c r="H538" s="1110">
        <v>15.9</v>
      </c>
      <c r="I538" s="1110">
        <v>15.2</v>
      </c>
      <c r="J538" s="1110">
        <v>-21</v>
      </c>
      <c r="K538" s="1110">
        <v>70.3</v>
      </c>
      <c r="L538" s="1110">
        <v>47.7</v>
      </c>
      <c r="M538" s="1110">
        <v>5.9</v>
      </c>
      <c r="N538" s="1110">
        <v>16.600000000000001</v>
      </c>
      <c r="O538" s="1110">
        <v>1.3</v>
      </c>
      <c r="P538" s="1110">
        <v>-1.2</v>
      </c>
      <c r="R538" s="231"/>
      <c r="S538" s="231"/>
      <c r="T538" s="231"/>
      <c r="U538" s="231"/>
      <c r="V538" s="231"/>
      <c r="W538" s="231"/>
      <c r="X538" s="231"/>
      <c r="Y538" s="231"/>
      <c r="Z538" s="231"/>
      <c r="AA538" s="231"/>
      <c r="AB538" s="231"/>
      <c r="AC538" s="231"/>
    </row>
    <row r="539" spans="3:29" s="230" customFormat="1" ht="15" customHeight="1">
      <c r="C539" s="994"/>
      <c r="D539" s="173" t="str">
        <f>IF(Indice_index!$Z$1=1,"abril","April")</f>
        <v>abril</v>
      </c>
      <c r="E539" s="1110">
        <v>60.9</v>
      </c>
      <c r="F539" s="1110">
        <v>159.5</v>
      </c>
      <c r="G539" s="1110">
        <v>10.4</v>
      </c>
      <c r="H539" s="1110">
        <v>46</v>
      </c>
      <c r="I539" s="1110">
        <v>-17.8</v>
      </c>
      <c r="J539" s="1110">
        <v>48.1</v>
      </c>
      <c r="K539" s="1110">
        <v>170.3</v>
      </c>
      <c r="L539" s="1110">
        <v>22.5</v>
      </c>
      <c r="M539" s="1110">
        <v>53.6</v>
      </c>
      <c r="N539" s="1110">
        <v>-18.2</v>
      </c>
      <c r="O539" s="1110">
        <v>-6.9</v>
      </c>
      <c r="P539" s="1110">
        <v>11</v>
      </c>
      <c r="R539" s="231"/>
      <c r="S539" s="231"/>
      <c r="T539" s="231"/>
      <c r="U539" s="231"/>
      <c r="V539" s="231"/>
      <c r="W539" s="231"/>
      <c r="X539" s="231"/>
      <c r="Y539" s="231"/>
      <c r="Z539" s="231"/>
      <c r="AA539" s="231"/>
      <c r="AB539" s="231"/>
      <c r="AC539" s="231"/>
    </row>
    <row r="540" spans="3:29" s="230" customFormat="1" ht="15" customHeight="1">
      <c r="C540" s="994"/>
      <c r="D540" s="173" t="str">
        <f>IF(Indice_index!$Z$1=1,"maio","May")</f>
        <v>maio</v>
      </c>
      <c r="E540" s="1110">
        <v>17.5</v>
      </c>
      <c r="F540" s="1110">
        <v>78.099999999999994</v>
      </c>
      <c r="G540" s="1110">
        <v>35.299999999999997</v>
      </c>
      <c r="H540" s="1110">
        <v>28.9</v>
      </c>
      <c r="I540" s="1110">
        <v>9</v>
      </c>
      <c r="J540" s="1110">
        <v>13.7</v>
      </c>
      <c r="K540" s="1110">
        <v>78.8</v>
      </c>
      <c r="L540" s="1110">
        <v>24.7</v>
      </c>
      <c r="M540" s="1110">
        <v>20.7</v>
      </c>
      <c r="N540" s="1110">
        <v>65.599999999999994</v>
      </c>
      <c r="O540" s="1110">
        <v>-4.3</v>
      </c>
      <c r="P540" s="1110">
        <v>-7.9</v>
      </c>
      <c r="R540" s="231"/>
      <c r="S540" s="231"/>
      <c r="T540" s="231"/>
      <c r="U540" s="231"/>
      <c r="V540" s="231"/>
      <c r="W540" s="231"/>
      <c r="X540" s="231"/>
      <c r="Y540" s="231"/>
      <c r="Z540" s="231"/>
      <c r="AA540" s="231"/>
      <c r="AB540" s="231"/>
      <c r="AC540" s="231"/>
    </row>
    <row r="541" spans="3:29" s="230" customFormat="1" ht="15" customHeight="1">
      <c r="C541" s="994"/>
      <c r="D541" s="173" t="str">
        <f>IF(Indice_index!$Z$1=1,"junho","June")</f>
        <v>junho</v>
      </c>
      <c r="E541" s="1110">
        <v>31.4</v>
      </c>
      <c r="F541" s="1110">
        <v>111.5</v>
      </c>
      <c r="G541" s="1110">
        <v>61.8</v>
      </c>
      <c r="H541" s="1110">
        <v>50.9</v>
      </c>
      <c r="I541" s="1110">
        <v>5.6</v>
      </c>
      <c r="J541" s="1110">
        <v>7.5</v>
      </c>
      <c r="K541" s="1110">
        <v>181.9</v>
      </c>
      <c r="L541" s="1110">
        <v>51.8</v>
      </c>
      <c r="M541" s="1110">
        <v>30.3</v>
      </c>
      <c r="N541" s="1110">
        <v>8</v>
      </c>
      <c r="O541" s="1110">
        <v>-13.2</v>
      </c>
      <c r="P541" s="1110">
        <v>-6.1</v>
      </c>
      <c r="R541" s="231"/>
      <c r="S541" s="231"/>
      <c r="T541" s="231"/>
      <c r="U541" s="231"/>
      <c r="V541" s="231"/>
      <c r="W541" s="231"/>
      <c r="X541" s="231"/>
      <c r="Y541" s="231"/>
      <c r="Z541" s="231"/>
      <c r="AA541" s="231"/>
      <c r="AB541" s="231"/>
      <c r="AC541" s="231"/>
    </row>
    <row r="542" spans="3:29" s="230" customFormat="1" ht="15" customHeight="1">
      <c r="C542" s="994"/>
      <c r="D542" s="173" t="str">
        <f>IF(Indice_index!$Z$1=1,"julho","July")</f>
        <v>julho</v>
      </c>
      <c r="E542" s="1110">
        <v>46.2</v>
      </c>
      <c r="F542" s="1110">
        <v>27.1</v>
      </c>
      <c r="G542" s="1110">
        <v>6.6</v>
      </c>
      <c r="H542" s="1110">
        <v>26.3</v>
      </c>
      <c r="I542" s="1110">
        <v>-6.9</v>
      </c>
      <c r="J542" s="1110">
        <v>46.9</v>
      </c>
      <c r="K542" s="1110">
        <v>57.7</v>
      </c>
      <c r="L542" s="1110">
        <v>11.8</v>
      </c>
      <c r="M542" s="1110">
        <v>38.6</v>
      </c>
      <c r="N542" s="1110">
        <v>-12.3</v>
      </c>
      <c r="O542" s="1110">
        <v>3.5</v>
      </c>
      <c r="P542" s="1110">
        <v>4.9000000000000004</v>
      </c>
      <c r="R542" s="231"/>
      <c r="S542" s="231"/>
      <c r="T542" s="231"/>
      <c r="U542" s="231"/>
      <c r="V542" s="231"/>
      <c r="W542" s="231"/>
      <c r="X542" s="231"/>
      <c r="Y542" s="231"/>
      <c r="Z542" s="231"/>
      <c r="AA542" s="231"/>
      <c r="AB542" s="231"/>
      <c r="AC542" s="231"/>
    </row>
    <row r="543" spans="3:29" s="230" customFormat="1" ht="15" customHeight="1">
      <c r="C543" s="994"/>
      <c r="D543" s="173" t="str">
        <f>IF(Indice_index!$Z$1=1,"agosto","August")</f>
        <v>agosto</v>
      </c>
      <c r="E543" s="1110">
        <v>20.399999999999999</v>
      </c>
      <c r="F543" s="1110">
        <v>58.6</v>
      </c>
      <c r="G543" s="1110">
        <v>48.1</v>
      </c>
      <c r="H543" s="1110">
        <v>33.700000000000003</v>
      </c>
      <c r="I543" s="1110">
        <v>11.9</v>
      </c>
      <c r="J543" s="1110">
        <v>-6</v>
      </c>
      <c r="K543" s="1110">
        <v>28.9</v>
      </c>
      <c r="L543" s="1110">
        <v>41</v>
      </c>
      <c r="M543" s="1110">
        <v>5.8</v>
      </c>
      <c r="N543" s="1110">
        <v>13.3</v>
      </c>
      <c r="O543" s="1110">
        <v>-21.8</v>
      </c>
      <c r="P543" s="1110">
        <v>-4.8</v>
      </c>
    </row>
    <row r="544" spans="3:29" s="172" customFormat="1" ht="15" customHeight="1">
      <c r="C544" s="994"/>
      <c r="D544" s="173" t="str">
        <f>IF(Indice_index!$Z$1=1,"setembro","September")</f>
        <v>setembro</v>
      </c>
      <c r="E544" s="1110">
        <v>13.4</v>
      </c>
      <c r="F544" s="1110">
        <v>35.299999999999997</v>
      </c>
      <c r="G544" s="1110">
        <v>45</v>
      </c>
      <c r="H544" s="1110">
        <v>27.2</v>
      </c>
      <c r="I544" s="1110">
        <v>-4.3</v>
      </c>
      <c r="J544" s="1110">
        <v>-3.8</v>
      </c>
      <c r="K544" s="1110">
        <v>57.4</v>
      </c>
      <c r="L544" s="1110">
        <v>19.2</v>
      </c>
      <c r="M544" s="1110">
        <v>5.6</v>
      </c>
      <c r="N544" s="1110">
        <v>-2.4</v>
      </c>
      <c r="O544" s="1110">
        <v>-12.1</v>
      </c>
      <c r="P544" s="1110">
        <v>-17.8</v>
      </c>
      <c r="R544" s="230"/>
      <c r="S544" s="230"/>
      <c r="T544" s="230"/>
      <c r="U544" s="230"/>
      <c r="V544" s="230"/>
      <c r="W544" s="230"/>
      <c r="X544" s="230"/>
      <c r="Y544" s="230"/>
      <c r="Z544" s="230"/>
      <c r="AA544" s="230"/>
      <c r="AB544" s="230"/>
      <c r="AC544" s="230"/>
    </row>
    <row r="545" spans="3:42" s="172" customFormat="1" ht="15" customHeight="1">
      <c r="C545" s="994"/>
      <c r="D545" s="173" t="str">
        <f>IF(Indice_index!$Z$1=1,"outubro","October")</f>
        <v>outubro</v>
      </c>
      <c r="E545" s="1111">
        <v>39.5</v>
      </c>
      <c r="F545" s="1111">
        <v>-3.3</v>
      </c>
      <c r="G545" s="1111">
        <v>33.9</v>
      </c>
      <c r="H545" s="1111">
        <v>33.9</v>
      </c>
      <c r="I545" s="1111">
        <v>2.8</v>
      </c>
      <c r="J545" s="1111">
        <v>9.9</v>
      </c>
      <c r="K545" s="1111">
        <v>-12.2</v>
      </c>
      <c r="L545" s="1111">
        <v>10.1</v>
      </c>
      <c r="M545" s="1111">
        <v>8</v>
      </c>
      <c r="N545" s="1111">
        <v>4.4000000000000004</v>
      </c>
      <c r="O545" s="1111">
        <v>-19.8</v>
      </c>
      <c r="P545" s="1111">
        <v>-17.7</v>
      </c>
      <c r="R545" s="230"/>
      <c r="S545" s="230"/>
      <c r="T545" s="230"/>
      <c r="U545" s="230"/>
      <c r="V545" s="230"/>
      <c r="W545" s="230"/>
      <c r="X545" s="230"/>
      <c r="Y545" s="230"/>
      <c r="Z545" s="230"/>
      <c r="AA545" s="230"/>
      <c r="AB545" s="230"/>
      <c r="AC545" s="230"/>
    </row>
    <row r="546" spans="3:42" s="172" customFormat="1" ht="15" customHeight="1">
      <c r="C546" s="994"/>
      <c r="D546" s="173" t="str">
        <f>IF(Indice_index!$Z$1=1,"novembro","November")</f>
        <v>novembro</v>
      </c>
      <c r="E546" s="1112">
        <v>185.2981969486824</v>
      </c>
      <c r="F546" s="1112">
        <v>31.343283582089555</v>
      </c>
      <c r="G546" s="1112">
        <v>12.391304347826088</v>
      </c>
      <c r="H546" s="1112">
        <v>84.056338028169009</v>
      </c>
      <c r="I546" s="1112">
        <v>7.4565883554647607</v>
      </c>
      <c r="J546" s="1112">
        <v>65.649273887206007</v>
      </c>
      <c r="K546" s="1112">
        <v>26.013789365437628</v>
      </c>
      <c r="L546" s="1112">
        <v>-8.8076257153516018</v>
      </c>
      <c r="M546" s="1112">
        <v>37.145471165911317</v>
      </c>
      <c r="N546" s="1112">
        <v>10.189489535454682</v>
      </c>
      <c r="O546" s="1112">
        <v>-38.769625120153805</v>
      </c>
      <c r="P546" s="1112">
        <v>-18.863004172461761</v>
      </c>
      <c r="R546" s="230"/>
      <c r="S546" s="230"/>
      <c r="T546" s="230"/>
      <c r="U546" s="230"/>
      <c r="V546" s="230"/>
      <c r="W546" s="230"/>
      <c r="X546" s="230"/>
      <c r="Y546" s="230"/>
      <c r="Z546" s="230"/>
      <c r="AA546" s="230"/>
      <c r="AB546" s="230"/>
      <c r="AC546" s="230"/>
    </row>
    <row r="547" spans="3:42" s="172" customFormat="1" ht="15" customHeight="1">
      <c r="C547" s="994"/>
      <c r="D547" s="173" t="str">
        <f>IF(Indice_index!$Z$1=1,"dezembro","December")</f>
        <v>dezembro</v>
      </c>
      <c r="E547" s="1064">
        <v>135.73059360730593</v>
      </c>
      <c r="F547" s="1064">
        <v>-24.311926605504588</v>
      </c>
      <c r="G547" s="1064">
        <v>-22.53012048192771</v>
      </c>
      <c r="H547" s="1064">
        <v>49.324324324324323</v>
      </c>
      <c r="I547" s="1064">
        <v>8.0947680157946689</v>
      </c>
      <c r="J547" s="1064">
        <v>35.636954147504483</v>
      </c>
      <c r="K547" s="1064">
        <v>-30.219616809056653</v>
      </c>
      <c r="L547" s="1064">
        <v>-35.29300310023357</v>
      </c>
      <c r="M547" s="1064">
        <v>11.346467840992702</v>
      </c>
      <c r="N547" s="1064">
        <v>13.0917041557187</v>
      </c>
      <c r="O547" s="1064">
        <v>-38.321428571428569</v>
      </c>
      <c r="P547" s="1064">
        <v>-16.476173729558649</v>
      </c>
      <c r="R547" s="230"/>
      <c r="S547" s="230"/>
      <c r="T547" s="230"/>
      <c r="U547" s="230"/>
      <c r="V547" s="230"/>
      <c r="W547" s="230"/>
      <c r="X547" s="230"/>
      <c r="Y547" s="230"/>
      <c r="Z547" s="230"/>
      <c r="AA547" s="230"/>
      <c r="AB547" s="230"/>
      <c r="AC547" s="230"/>
    </row>
    <row r="548" spans="3:42" s="230" customFormat="1" ht="15" customHeight="1">
      <c r="C548" s="1067">
        <v>2020</v>
      </c>
      <c r="D548" s="172"/>
      <c r="E548" s="1064"/>
      <c r="F548" s="1064"/>
      <c r="G548" s="1064"/>
      <c r="H548" s="1064"/>
      <c r="I548" s="1064"/>
      <c r="J548" s="1064"/>
      <c r="K548" s="1064"/>
      <c r="L548" s="1064"/>
      <c r="M548" s="172"/>
      <c r="N548" s="1064"/>
      <c r="O548" s="1064"/>
      <c r="P548" s="1064"/>
      <c r="R548" s="231"/>
      <c r="S548" s="231"/>
      <c r="T548" s="231"/>
      <c r="U548" s="231"/>
      <c r="V548" s="231"/>
      <c r="W548" s="231"/>
      <c r="X548" s="231"/>
      <c r="Y548" s="231"/>
      <c r="Z548" s="231"/>
      <c r="AA548" s="231"/>
      <c r="AB548" s="231"/>
      <c r="AC548" s="231"/>
    </row>
    <row r="549" spans="3:42" s="172" customFormat="1" ht="15" customHeight="1">
      <c r="C549" s="994"/>
      <c r="D549" s="173" t="str">
        <f>IF(Indice_index!$Z$1=1,"janeiro","January")</f>
        <v>janeiro</v>
      </c>
      <c r="E549" s="1110">
        <v>62.625</v>
      </c>
      <c r="F549" s="1110">
        <v>-42.285714285714285</v>
      </c>
      <c r="G549" s="1110">
        <v>111.31578947368422</v>
      </c>
      <c r="H549" s="1110">
        <v>73.371757925072046</v>
      </c>
      <c r="I549" s="1110">
        <v>23.18271119842829</v>
      </c>
      <c r="J549" s="1110">
        <v>29.061286504775534</v>
      </c>
      <c r="K549" s="1110">
        <v>-29.759636700044805</v>
      </c>
      <c r="L549" s="1110">
        <v>183.73480079569762</v>
      </c>
      <c r="M549" s="1110">
        <v>59.865318660577472</v>
      </c>
      <c r="N549" s="1110">
        <v>9.3987115660011096</v>
      </c>
      <c r="O549" s="1110">
        <v>-15.821610759004487</v>
      </c>
      <c r="P549" s="1110">
        <v>34.281868871370882</v>
      </c>
      <c r="R549" s="231"/>
      <c r="S549" s="231"/>
      <c r="T549" s="231"/>
      <c r="U549" s="231"/>
      <c r="V549" s="231"/>
      <c r="W549" s="231"/>
      <c r="X549" s="231"/>
      <c r="Y549" s="231"/>
      <c r="Z549" s="231"/>
      <c r="AA549" s="231"/>
      <c r="AB549" s="231"/>
      <c r="AC549" s="231"/>
      <c r="AD549" s="423"/>
      <c r="AE549" s="423"/>
      <c r="AF549" s="423"/>
      <c r="AG549" s="423"/>
      <c r="AH549" s="423"/>
      <c r="AI549" s="423"/>
      <c r="AJ549" s="423"/>
      <c r="AK549" s="423"/>
      <c r="AL549" s="423"/>
      <c r="AM549" s="423"/>
      <c r="AN549" s="423"/>
      <c r="AO549" s="423"/>
    </row>
    <row r="550" spans="3:42" s="172" customFormat="1" ht="15" customHeight="1">
      <c r="C550" s="994"/>
      <c r="D550" s="173" t="str">
        <f>IF(Indice_index!$Z$1=1,"fevereiro","February")</f>
        <v>fevereiro</v>
      </c>
      <c r="E550" s="1110">
        <v>69.750367107195302</v>
      </c>
      <c r="F550" s="1110">
        <v>-48.192771084337352</v>
      </c>
      <c r="G550" s="1110">
        <v>-12.791991101223582</v>
      </c>
      <c r="H550" s="1110">
        <v>16.036655211912944</v>
      </c>
      <c r="I550" s="1110">
        <v>15.657788539144471</v>
      </c>
      <c r="J550" s="1110">
        <v>54.8245143838042</v>
      </c>
      <c r="K550" s="1110">
        <v>-48.433576556043484</v>
      </c>
      <c r="L550" s="1110">
        <v>-32.144047137106718</v>
      </c>
      <c r="M550" s="1110">
        <v>13.080041952313362</v>
      </c>
      <c r="N550" s="1110">
        <v>5.0751254229762619</v>
      </c>
      <c r="O550" s="1110">
        <v>-7.3224789020543746</v>
      </c>
      <c r="P550" s="1110">
        <v>-22.188340807174885</v>
      </c>
      <c r="R550" s="231"/>
      <c r="S550" s="231"/>
      <c r="T550" s="231"/>
      <c r="U550" s="231"/>
      <c r="V550" s="231"/>
      <c r="W550" s="231"/>
      <c r="X550" s="231"/>
      <c r="Y550" s="231"/>
      <c r="Z550" s="231"/>
      <c r="AA550" s="231"/>
      <c r="AB550" s="231"/>
      <c r="AC550" s="231"/>
      <c r="AD550" s="423"/>
      <c r="AE550" s="423"/>
      <c r="AF550" s="423"/>
      <c r="AG550" s="423"/>
      <c r="AH550" s="423"/>
      <c r="AI550" s="423"/>
      <c r="AJ550" s="423"/>
      <c r="AK550" s="423"/>
      <c r="AL550" s="423"/>
      <c r="AM550" s="423"/>
      <c r="AN550" s="423"/>
      <c r="AO550" s="423"/>
    </row>
    <row r="551" spans="3:42" s="172" customFormat="1" ht="15" customHeight="1">
      <c r="C551" s="994"/>
      <c r="D551" s="173" t="str">
        <f>IF(Indice_index!$Z$1=1,"março","March")</f>
        <v>março</v>
      </c>
      <c r="E551" s="1110">
        <v>118.25242718446603</v>
      </c>
      <c r="F551" s="1110">
        <v>15.625</v>
      </c>
      <c r="G551" s="1110">
        <v>-2.4255788313120177</v>
      </c>
      <c r="H551" s="1110">
        <v>37.365911799761619</v>
      </c>
      <c r="I551" s="1110">
        <v>-7.1994715984147959</v>
      </c>
      <c r="J551" s="1110">
        <v>103.24281880757151</v>
      </c>
      <c r="K551" s="1110">
        <v>3.273425399518167</v>
      </c>
      <c r="L551" s="1110">
        <v>-7.2461062960342506</v>
      </c>
      <c r="M551" s="1110">
        <v>47.943227140003522</v>
      </c>
      <c r="N551" s="1110">
        <v>-9.3230300511125037</v>
      </c>
      <c r="O551" s="1110">
        <v>-4.7326701896176457</v>
      </c>
      <c r="P551" s="1110">
        <v>-4.9330643682376634</v>
      </c>
      <c r="R551" s="231"/>
      <c r="S551" s="231"/>
      <c r="T551" s="231"/>
      <c r="U551" s="231"/>
      <c r="V551" s="231"/>
      <c r="W551" s="231"/>
      <c r="X551" s="231"/>
      <c r="Y551" s="231"/>
      <c r="Z551" s="231"/>
      <c r="AA551" s="231"/>
      <c r="AB551" s="231"/>
      <c r="AC551" s="231"/>
      <c r="AD551" s="423"/>
      <c r="AE551" s="423"/>
      <c r="AF551" s="423"/>
      <c r="AG551" s="423"/>
      <c r="AH551" s="423"/>
      <c r="AI551" s="423"/>
      <c r="AJ551" s="423"/>
      <c r="AK551" s="423"/>
      <c r="AL551" s="423"/>
      <c r="AM551" s="423"/>
      <c r="AN551" s="423"/>
      <c r="AO551" s="423"/>
    </row>
    <row r="552" spans="3:42" s="230" customFormat="1" ht="15" customHeight="1">
      <c r="C552" s="994"/>
      <c r="D552" s="173" t="str">
        <f>IF(Indice_index!$Z$1=1,"abril","April")</f>
        <v>abril</v>
      </c>
      <c r="E552" s="1110">
        <v>28.544600938967136</v>
      </c>
      <c r="F552" s="1110">
        <v>-64.968152866242036</v>
      </c>
      <c r="G552" s="1110">
        <v>30.695770804911319</v>
      </c>
      <c r="H552" s="1110">
        <v>15.388257575757574</v>
      </c>
      <c r="I552" s="1110">
        <v>7.9545454545454541</v>
      </c>
      <c r="J552" s="1110">
        <v>33.013179052279298</v>
      </c>
      <c r="K552" s="1110">
        <v>-61.352029525055663</v>
      </c>
      <c r="L552" s="1110">
        <v>14.532856191004734</v>
      </c>
      <c r="M552" s="1110">
        <v>13.208872926954406</v>
      </c>
      <c r="N552" s="1110">
        <v>4.7948691931676848</v>
      </c>
      <c r="O552" s="1110">
        <v>5.2434456928838955</v>
      </c>
      <c r="P552" s="1110">
        <v>-12.365783822476731</v>
      </c>
      <c r="R552" s="231"/>
      <c r="S552" s="231"/>
      <c r="T552" s="231"/>
      <c r="U552" s="231"/>
      <c r="V552" s="231"/>
      <c r="W552" s="231"/>
      <c r="X552" s="231"/>
      <c r="Y552" s="231"/>
      <c r="Z552" s="231"/>
      <c r="AA552" s="231"/>
      <c r="AB552" s="231"/>
      <c r="AC552" s="231"/>
      <c r="AD552" s="423"/>
      <c r="AE552" s="423"/>
      <c r="AF552" s="423"/>
      <c r="AG552" s="423"/>
      <c r="AH552" s="423"/>
      <c r="AI552" s="423"/>
      <c r="AJ552" s="423"/>
      <c r="AK552" s="423"/>
      <c r="AL552" s="423"/>
      <c r="AM552" s="423"/>
      <c r="AN552" s="423"/>
      <c r="AO552" s="423"/>
      <c r="AP552" s="172"/>
    </row>
    <row r="553" spans="3:42" s="230" customFormat="1" ht="15" customHeight="1">
      <c r="C553" s="994"/>
      <c r="D553" s="173" t="str">
        <f>IF(Indice_index!$Z$1=1,"maio","May")</f>
        <v>maio</v>
      </c>
      <c r="E553" s="1113">
        <v>35.726950354609926</v>
      </c>
      <c r="F553" s="1113">
        <v>-68.032786885245898</v>
      </c>
      <c r="G553" s="1113">
        <v>11.224489795918368</v>
      </c>
      <c r="H553" s="1113">
        <v>14.906832298136646</v>
      </c>
      <c r="I553" s="1113">
        <v>26.359447004608295</v>
      </c>
      <c r="J553" s="1113">
        <v>28.281477037151841</v>
      </c>
      <c r="K553" s="1113">
        <v>-62.701923332296637</v>
      </c>
      <c r="L553" s="1113">
        <v>11.389292670056442</v>
      </c>
      <c r="M553" s="1113">
        <v>14.832487390487422</v>
      </c>
      <c r="N553" s="1113">
        <v>-14.691124358028137</v>
      </c>
      <c r="O553" s="1113">
        <v>-1.3377159455740713</v>
      </c>
      <c r="P553" s="1113">
        <v>0.15533980582523388</v>
      </c>
      <c r="R553" s="231"/>
      <c r="S553" s="231"/>
      <c r="T553" s="231"/>
      <c r="U553" s="231"/>
      <c r="V553" s="231"/>
      <c r="W553" s="231"/>
      <c r="X553" s="231"/>
      <c r="Y553" s="231"/>
      <c r="Z553" s="231"/>
      <c r="AA553" s="231"/>
      <c r="AB553" s="231"/>
      <c r="AC553" s="231"/>
      <c r="AD553" s="423"/>
      <c r="AE553" s="423"/>
      <c r="AF553" s="423"/>
      <c r="AG553" s="423"/>
      <c r="AH553" s="423"/>
      <c r="AI553" s="423"/>
      <c r="AJ553" s="423"/>
      <c r="AK553" s="423"/>
      <c r="AL553" s="423"/>
      <c r="AM553" s="423"/>
      <c r="AN553" s="423"/>
      <c r="AO553" s="423"/>
      <c r="AP553" s="172"/>
    </row>
    <row r="554" spans="3:42" s="230" customFormat="1" ht="15" customHeight="1">
      <c r="C554" s="994"/>
      <c r="D554" s="173" t="str">
        <f>IF(Indice_index!$Z$1=1,"junho","June")</f>
        <v>junho</v>
      </c>
      <c r="E554" s="1110">
        <v>58.6</v>
      </c>
      <c r="F554" s="1110">
        <v>-65.5</v>
      </c>
      <c r="G554" s="1110">
        <v>-11.9</v>
      </c>
      <c r="H554" s="1110">
        <v>12.3</v>
      </c>
      <c r="I554" s="1110">
        <v>7.5</v>
      </c>
      <c r="J554" s="1110">
        <v>63.2</v>
      </c>
      <c r="K554" s="1110">
        <v>-66.2</v>
      </c>
      <c r="L554" s="1110">
        <v>-7.2</v>
      </c>
      <c r="M554" s="1110">
        <v>24.3</v>
      </c>
      <c r="N554" s="1110">
        <v>8.1999999999999993</v>
      </c>
      <c r="O554" s="1110">
        <v>2.4</v>
      </c>
      <c r="P554" s="1110">
        <v>5.4</v>
      </c>
      <c r="R554" s="231"/>
      <c r="S554" s="231"/>
      <c r="T554" s="231"/>
      <c r="U554" s="231"/>
      <c r="V554" s="231"/>
      <c r="W554" s="231"/>
      <c r="X554" s="231"/>
      <c r="Y554" s="231"/>
      <c r="Z554" s="231"/>
      <c r="AA554" s="231"/>
      <c r="AB554" s="231"/>
      <c r="AC554" s="231"/>
    </row>
    <row r="555" spans="3:42" s="230" customFormat="1" ht="15" customHeight="1">
      <c r="C555" s="994"/>
      <c r="D555" s="173" t="str">
        <f>IF(Indice_index!$Z$1=1,"julho","July")</f>
        <v>julho</v>
      </c>
      <c r="E555" s="1110">
        <v>43.3</v>
      </c>
      <c r="F555" s="1110">
        <v>-64.599999999999994</v>
      </c>
      <c r="G555" s="1110">
        <v>24.4</v>
      </c>
      <c r="H555" s="1110">
        <v>26.8</v>
      </c>
      <c r="I555" s="1110">
        <v>20.100000000000001</v>
      </c>
      <c r="J555" s="1110">
        <v>44</v>
      </c>
      <c r="K555" s="1110">
        <v>-64.5</v>
      </c>
      <c r="L555" s="1110">
        <v>30.8</v>
      </c>
      <c r="M555" s="1110">
        <v>30.6</v>
      </c>
      <c r="N555" s="1110">
        <v>28.5</v>
      </c>
      <c r="O555" s="1110">
        <v>1.7</v>
      </c>
      <c r="P555" s="1110">
        <v>5.2</v>
      </c>
      <c r="R555" s="231"/>
      <c r="S555" s="231"/>
      <c r="T555" s="231"/>
      <c r="U555" s="231"/>
      <c r="V555" s="231"/>
      <c r="W555" s="231"/>
      <c r="X555" s="231"/>
      <c r="Y555" s="231"/>
      <c r="Z555" s="231"/>
      <c r="AA555" s="231"/>
      <c r="AB555" s="231"/>
      <c r="AC555" s="231"/>
    </row>
    <row r="556" spans="3:42" s="230" customFormat="1" ht="15" customHeight="1">
      <c r="C556" s="994"/>
      <c r="D556" s="173" t="str">
        <f>IF(Indice_index!$Z$1=1,"agosto","August")</f>
        <v>agosto</v>
      </c>
      <c r="E556" s="1110">
        <v>51.079136690647488</v>
      </c>
      <c r="F556" s="1110">
        <v>-77.070063694267517</v>
      </c>
      <c r="G556" s="1110">
        <v>17.23329425556858</v>
      </c>
      <c r="H556" s="1110">
        <v>26.374180534543623</v>
      </c>
      <c r="I556" s="1110">
        <v>10.084825636192271</v>
      </c>
      <c r="J556" s="1110">
        <v>78.072897743494167</v>
      </c>
      <c r="K556" s="1110">
        <v>-77.063042667441266</v>
      </c>
      <c r="L556" s="1110">
        <v>32.584157565991759</v>
      </c>
      <c r="M556" s="1110">
        <v>51.100963168788326</v>
      </c>
      <c r="N556" s="1110">
        <v>13.459985911226461</v>
      </c>
      <c r="O556" s="1110">
        <v>18.17082247860067</v>
      </c>
      <c r="P556" s="1110">
        <v>13.086017121891548</v>
      </c>
    </row>
    <row r="557" spans="3:42" s="172" customFormat="1" ht="15" customHeight="1">
      <c r="C557" s="994"/>
      <c r="D557" s="173" t="str">
        <f>IF(Indice_index!$Z$1=1,"setembro","September")</f>
        <v>setembro</v>
      </c>
      <c r="E557" s="1110">
        <v>29.469548133595286</v>
      </c>
      <c r="F557" s="1110">
        <v>-84.574468085106375</v>
      </c>
      <c r="G557" s="1110">
        <v>-16.069489685124864</v>
      </c>
      <c r="H557" s="1110">
        <v>-0.32910202162670427</v>
      </c>
      <c r="I557" s="1110">
        <v>32.183908045977013</v>
      </c>
      <c r="J557" s="1110">
        <v>73.446873621707283</v>
      </c>
      <c r="K557" s="1110">
        <v>-81.573720194209571</v>
      </c>
      <c r="L557" s="1110">
        <v>7.8137034258189546</v>
      </c>
      <c r="M557" s="1110">
        <v>40.448908404512032</v>
      </c>
      <c r="N557" s="1110">
        <v>28.034566716222109</v>
      </c>
      <c r="O557" s="1110">
        <v>34.141694093192456</v>
      </c>
      <c r="P557" s="1110">
        <v>28.4661446338093</v>
      </c>
      <c r="R557" s="230"/>
      <c r="S557" s="230"/>
      <c r="T557" s="230"/>
      <c r="U557" s="230"/>
      <c r="V557" s="230"/>
      <c r="W557" s="230"/>
      <c r="X557" s="230"/>
      <c r="Y557" s="230"/>
      <c r="Z557" s="230"/>
      <c r="AA557" s="230"/>
      <c r="AB557" s="230"/>
      <c r="AC557" s="230"/>
    </row>
    <row r="558" spans="3:42" s="172" customFormat="1" ht="15" customHeight="1">
      <c r="C558" s="994"/>
      <c r="D558" s="173" t="str">
        <f>IF(Indice_index!$Z$1=1,"outubro","October")</f>
        <v>outubro</v>
      </c>
      <c r="E558" s="1114">
        <v>45.3</v>
      </c>
      <c r="F558" s="1114">
        <v>-69</v>
      </c>
      <c r="G558" s="1114">
        <v>5.2</v>
      </c>
      <c r="H558" s="1114">
        <v>21.4</v>
      </c>
      <c r="I558" s="1114">
        <v>1.9</v>
      </c>
      <c r="J558" s="1114">
        <v>89.3</v>
      </c>
      <c r="K558" s="1114">
        <v>-56.6</v>
      </c>
      <c r="L558" s="1114">
        <v>29.8</v>
      </c>
      <c r="M558" s="1114">
        <v>64.7</v>
      </c>
      <c r="N558" s="1114">
        <v>3.5</v>
      </c>
      <c r="O558" s="1114">
        <v>30.7</v>
      </c>
      <c r="P558" s="1114">
        <v>23.4</v>
      </c>
      <c r="R558" s="230"/>
      <c r="S558" s="230"/>
      <c r="T558" s="230"/>
      <c r="U558" s="230"/>
      <c r="V558" s="230"/>
      <c r="W558" s="230"/>
      <c r="X558" s="230"/>
      <c r="Y558" s="230"/>
      <c r="Z558" s="230"/>
      <c r="AA558" s="230"/>
      <c r="AB558" s="230"/>
      <c r="AC558" s="230"/>
    </row>
    <row r="559" spans="3:42" s="172" customFormat="1" ht="15" customHeight="1">
      <c r="C559" s="994"/>
      <c r="D559" s="173" t="str">
        <f>IF(Indice_index!$Z$1=1,"novembro","November")</f>
        <v>novembro</v>
      </c>
      <c r="E559" s="1115">
        <v>-46</v>
      </c>
      <c r="F559" s="1115">
        <v>-51.1</v>
      </c>
      <c r="G559" s="1115">
        <v>-15.8</v>
      </c>
      <c r="H559" s="1115">
        <v>-36.700000000000003</v>
      </c>
      <c r="I559" s="1115">
        <v>10.5</v>
      </c>
      <c r="J559" s="1115">
        <v>17</v>
      </c>
      <c r="K559" s="1115">
        <v>-47.6</v>
      </c>
      <c r="L559" s="1115">
        <v>-7.3</v>
      </c>
      <c r="M559" s="1115">
        <v>5.9</v>
      </c>
      <c r="N559" s="1115">
        <v>10.7</v>
      </c>
      <c r="O559" s="1115">
        <v>104.6</v>
      </c>
      <c r="P559" s="1115">
        <v>10.1</v>
      </c>
      <c r="R559" s="230"/>
      <c r="S559" s="230"/>
      <c r="T559" s="230"/>
      <c r="U559" s="230"/>
      <c r="V559" s="230"/>
      <c r="W559" s="230"/>
      <c r="X559" s="230"/>
      <c r="Y559" s="230"/>
      <c r="Z559" s="230"/>
      <c r="AA559" s="230"/>
      <c r="AB559" s="230"/>
      <c r="AC559" s="230"/>
    </row>
    <row r="560" spans="3:42" s="172" customFormat="1" ht="15" customHeight="1">
      <c r="C560" s="994"/>
      <c r="D560" s="173" t="str">
        <f>IF(Indice_index!$Z$1=1,"dezembro","December")</f>
        <v>dezembro</v>
      </c>
      <c r="E560" s="1116">
        <v>-48.8</v>
      </c>
      <c r="F560" s="1116">
        <v>-35.799999999999997</v>
      </c>
      <c r="G560" s="1116">
        <v>38.299999999999997</v>
      </c>
      <c r="H560" s="1116">
        <v>-28.6</v>
      </c>
      <c r="I560" s="1116">
        <v>17.600000000000001</v>
      </c>
      <c r="J560" s="1116">
        <v>3.4</v>
      </c>
      <c r="K560" s="1116">
        <v>-24.4</v>
      </c>
      <c r="L560" s="1116">
        <v>53.1</v>
      </c>
      <c r="M560" s="1116">
        <v>8.1999999999999993</v>
      </c>
      <c r="N560" s="1116">
        <v>19.8</v>
      </c>
      <c r="O560" s="1116">
        <v>93.7</v>
      </c>
      <c r="P560" s="1116">
        <v>10.7</v>
      </c>
      <c r="R560" s="230"/>
      <c r="S560" s="230"/>
      <c r="T560" s="230"/>
      <c r="U560" s="230"/>
      <c r="V560" s="230"/>
      <c r="W560" s="230"/>
      <c r="X560" s="230"/>
      <c r="Y560" s="230"/>
      <c r="Z560" s="230"/>
      <c r="AA560" s="230"/>
      <c r="AB560" s="230"/>
      <c r="AC560" s="230"/>
    </row>
    <row r="561" spans="3:42" s="230" customFormat="1" ht="15" customHeight="1">
      <c r="C561" s="1117" t="s">
        <v>67</v>
      </c>
      <c r="D561" s="172"/>
      <c r="E561" s="1064"/>
      <c r="F561" s="1064"/>
      <c r="G561" s="1064"/>
      <c r="H561" s="1064"/>
      <c r="I561" s="1064"/>
      <c r="J561" s="1064"/>
      <c r="K561" s="1064"/>
      <c r="L561" s="1064"/>
      <c r="M561" s="172"/>
      <c r="N561" s="1064"/>
      <c r="O561" s="1064"/>
      <c r="P561" s="1064"/>
      <c r="R561" s="231"/>
      <c r="S561" s="231"/>
      <c r="T561" s="231"/>
      <c r="U561" s="231"/>
      <c r="V561" s="231"/>
      <c r="W561" s="231"/>
      <c r="X561" s="231"/>
      <c r="Y561" s="231"/>
      <c r="Z561" s="231"/>
      <c r="AA561" s="231"/>
      <c r="AB561" s="231"/>
      <c r="AC561" s="231"/>
    </row>
    <row r="562" spans="3:42" s="172" customFormat="1" ht="15" customHeight="1">
      <c r="C562" s="994"/>
      <c r="D562" s="173" t="str">
        <f>IF(Indice_index!$Z$1=1,"janeiro","January")</f>
        <v>janeiro</v>
      </c>
      <c r="E562" s="1110">
        <v>-21.3</v>
      </c>
      <c r="F562" s="1110">
        <v>-13.9</v>
      </c>
      <c r="G562" s="1110">
        <v>-57.8</v>
      </c>
      <c r="H562" s="1110">
        <v>-40.5</v>
      </c>
      <c r="I562" s="1110">
        <v>5.2</v>
      </c>
      <c r="J562" s="1110">
        <v>16.600000000000001</v>
      </c>
      <c r="K562" s="1110">
        <v>-13.6</v>
      </c>
      <c r="L562" s="1110">
        <v>-66.8</v>
      </c>
      <c r="M562" s="1110">
        <v>-20.100000000000001</v>
      </c>
      <c r="N562" s="1110">
        <v>22.9</v>
      </c>
      <c r="O562" s="1110">
        <v>44.1</v>
      </c>
      <c r="P562" s="1110">
        <v>-21.3</v>
      </c>
      <c r="R562" s="231"/>
      <c r="S562" s="231"/>
      <c r="T562" s="231"/>
      <c r="U562" s="231"/>
      <c r="V562" s="231"/>
      <c r="W562" s="231"/>
      <c r="X562" s="231"/>
      <c r="Y562" s="231"/>
      <c r="Z562" s="231"/>
      <c r="AA562" s="231"/>
      <c r="AB562" s="231"/>
      <c r="AC562" s="231"/>
      <c r="AD562" s="423"/>
      <c r="AE562" s="423"/>
      <c r="AF562" s="423"/>
      <c r="AG562" s="423"/>
      <c r="AH562" s="423"/>
      <c r="AI562" s="423"/>
      <c r="AJ562" s="423"/>
      <c r="AK562" s="423"/>
      <c r="AL562" s="423"/>
      <c r="AM562" s="423"/>
      <c r="AN562" s="423"/>
      <c r="AO562" s="423"/>
    </row>
    <row r="563" spans="3:42" s="172" customFormat="1" ht="15" customHeight="1">
      <c r="C563" s="994"/>
      <c r="D563" s="173" t="str">
        <f>IF(Indice_index!$Z$1=1,"fevereiro","February")</f>
        <v>fevereiro</v>
      </c>
      <c r="E563" s="1110">
        <v>-23.6</v>
      </c>
      <c r="F563" s="1110">
        <v>17.399999999999999</v>
      </c>
      <c r="G563" s="1110">
        <v>6.6</v>
      </c>
      <c r="H563" s="1110">
        <v>-10.199999999999999</v>
      </c>
      <c r="I563" s="1110">
        <v>17.100000000000001</v>
      </c>
      <c r="J563" s="1110">
        <v>4</v>
      </c>
      <c r="K563" s="1110">
        <v>6.8</v>
      </c>
      <c r="L563" s="1110">
        <v>34.9</v>
      </c>
      <c r="M563" s="1110">
        <v>10.3</v>
      </c>
      <c r="N563" s="1110">
        <v>31.2</v>
      </c>
      <c r="O563" s="1110">
        <v>31.5</v>
      </c>
      <c r="P563" s="1110">
        <v>26.5</v>
      </c>
      <c r="R563" s="231"/>
      <c r="S563" s="231"/>
      <c r="T563" s="231"/>
      <c r="U563" s="231"/>
      <c r="V563" s="231"/>
      <c r="W563" s="231"/>
      <c r="X563" s="231"/>
      <c r="Y563" s="231"/>
      <c r="Z563" s="231"/>
      <c r="AA563" s="231"/>
      <c r="AB563" s="231"/>
      <c r="AC563" s="231"/>
      <c r="AD563" s="423"/>
      <c r="AE563" s="423"/>
      <c r="AF563" s="423"/>
      <c r="AG563" s="423"/>
      <c r="AH563" s="423"/>
      <c r="AI563" s="423"/>
      <c r="AJ563" s="423"/>
      <c r="AK563" s="423"/>
      <c r="AL563" s="423"/>
      <c r="AM563" s="423"/>
      <c r="AN563" s="423"/>
      <c r="AO563" s="423"/>
    </row>
    <row r="564" spans="3:42" s="172" customFormat="1" ht="15" customHeight="1">
      <c r="C564" s="994"/>
      <c r="D564" s="173" t="str">
        <f>IF(Indice_index!$Z$1=1,"março","March")</f>
        <v>março</v>
      </c>
      <c r="E564" s="1118">
        <v>-7.8291814946619214</v>
      </c>
      <c r="F564" s="1118">
        <v>-25</v>
      </c>
      <c r="G564" s="1118">
        <v>21.807909604519775</v>
      </c>
      <c r="H564" s="1118">
        <v>1.3449023861171365</v>
      </c>
      <c r="I564" s="1118">
        <v>71.17437722419929</v>
      </c>
      <c r="J564" s="1118">
        <v>10.839271844964628</v>
      </c>
      <c r="K564" s="1118">
        <v>-53.224774859240931</v>
      </c>
      <c r="L564" s="1118">
        <v>33.704238057488389</v>
      </c>
      <c r="M564" s="1118">
        <v>7.3137086631989163</v>
      </c>
      <c r="N564" s="1118">
        <v>82.598302873765732</v>
      </c>
      <c r="O564" s="1118">
        <v>13.280039154906595</v>
      </c>
      <c r="P564" s="1118">
        <v>9.7608024691358075</v>
      </c>
      <c r="R564" s="231"/>
      <c r="S564" s="231"/>
      <c r="T564" s="231"/>
      <c r="U564" s="231"/>
      <c r="V564" s="231"/>
      <c r="W564" s="231"/>
      <c r="X564" s="231"/>
      <c r="Y564" s="231"/>
      <c r="Z564" s="231"/>
      <c r="AA564" s="231"/>
      <c r="AB564" s="231"/>
      <c r="AC564" s="231"/>
      <c r="AD564" s="423"/>
      <c r="AE564" s="423"/>
      <c r="AF564" s="423"/>
      <c r="AG564" s="423"/>
      <c r="AH564" s="423"/>
      <c r="AI564" s="423"/>
      <c r="AJ564" s="423"/>
      <c r="AK564" s="423"/>
      <c r="AL564" s="423"/>
      <c r="AM564" s="423"/>
      <c r="AN564" s="423"/>
      <c r="AO564" s="423"/>
    </row>
    <row r="565" spans="3:42" s="230" customFormat="1" ht="15" customHeight="1">
      <c r="C565" s="994"/>
      <c r="D565" s="173" t="str">
        <f>IF(Indice_index!$Z$1=1,"abril","April")</f>
        <v>abril</v>
      </c>
      <c r="E565" s="1110">
        <v>-6.281957633308985</v>
      </c>
      <c r="F565" s="1110">
        <v>-34.545454545454547</v>
      </c>
      <c r="G565" s="1110">
        <v>29.018789144050107</v>
      </c>
      <c r="H565" s="1110">
        <v>6.3192449733278613</v>
      </c>
      <c r="I565" s="1110">
        <v>47.969924812030072</v>
      </c>
      <c r="J565" s="1110">
        <v>4.0676343472848737</v>
      </c>
      <c r="K565" s="1110">
        <v>-48.029008441945891</v>
      </c>
      <c r="L565" s="1110">
        <v>51.514067622768657</v>
      </c>
      <c r="M565" s="1110">
        <v>10.539632890099218</v>
      </c>
      <c r="N565" s="1110">
        <v>60.052185415998402</v>
      </c>
      <c r="O565" s="1110">
        <v>9.4424673784104467</v>
      </c>
      <c r="P565" s="1110">
        <v>17.418827853788034</v>
      </c>
      <c r="R565" s="231"/>
      <c r="S565" s="231"/>
      <c r="T565" s="231"/>
      <c r="U565" s="231"/>
      <c r="V565" s="231"/>
      <c r="W565" s="231"/>
      <c r="X565" s="231"/>
      <c r="Y565" s="231"/>
      <c r="Z565" s="231"/>
      <c r="AA565" s="231"/>
      <c r="AB565" s="231"/>
      <c r="AC565" s="231"/>
      <c r="AD565" s="423"/>
      <c r="AE565" s="423"/>
      <c r="AF565" s="423"/>
      <c r="AG565" s="423"/>
      <c r="AH565" s="423"/>
      <c r="AI565" s="423"/>
      <c r="AJ565" s="423"/>
      <c r="AK565" s="423"/>
      <c r="AL565" s="423"/>
      <c r="AM565" s="423"/>
      <c r="AN565" s="423"/>
      <c r="AO565" s="423"/>
      <c r="AP565" s="172"/>
    </row>
    <row r="566" spans="3:42" s="230" customFormat="1" ht="15" customHeight="1">
      <c r="C566" s="994"/>
      <c r="D566" s="173" t="str">
        <f>IF(Indice_index!$Z$1=1,"maio","May")</f>
        <v>maio</v>
      </c>
      <c r="E566" s="1119">
        <v>-14.565643370346178</v>
      </c>
      <c r="F566" s="1119">
        <v>41.025641025641022</v>
      </c>
      <c r="G566" s="1119">
        <v>4.281345565749235</v>
      </c>
      <c r="H566" s="1119">
        <v>-5.7528957528957525</v>
      </c>
      <c r="I566" s="1119">
        <v>-8.2421590080233411</v>
      </c>
      <c r="J566" s="1119">
        <v>-8.4815652405224604</v>
      </c>
      <c r="K566" s="1119">
        <v>44.040690654105155</v>
      </c>
      <c r="L566" s="1119">
        <v>9.7212951494644315</v>
      </c>
      <c r="M566" s="1119">
        <v>-3.0334569693196789</v>
      </c>
      <c r="N566" s="1119">
        <v>-8.1790431814499112</v>
      </c>
      <c r="O566" s="1119">
        <v>6.5003486480204433</v>
      </c>
      <c r="P566" s="1119">
        <v>5.215199689802267</v>
      </c>
      <c r="R566" s="231"/>
      <c r="S566" s="231"/>
      <c r="T566" s="231"/>
      <c r="U566" s="231"/>
      <c r="V566" s="231"/>
      <c r="W566" s="231"/>
      <c r="X566" s="231"/>
      <c r="Y566" s="231"/>
      <c r="Z566" s="231"/>
      <c r="AA566" s="231"/>
      <c r="AB566" s="231"/>
      <c r="AC566" s="231"/>
      <c r="AD566" s="423"/>
      <c r="AE566" s="423"/>
      <c r="AF566" s="423"/>
      <c r="AG566" s="423"/>
      <c r="AH566" s="423"/>
      <c r="AI566" s="423"/>
      <c r="AJ566" s="423"/>
      <c r="AK566" s="423"/>
      <c r="AL566" s="423"/>
      <c r="AM566" s="423"/>
      <c r="AN566" s="423"/>
      <c r="AO566" s="423"/>
      <c r="AP566" s="172"/>
    </row>
    <row r="567" spans="3:42" s="230" customFormat="1" ht="15" customHeight="1">
      <c r="C567" s="994"/>
      <c r="D567" s="173" t="str">
        <f>IF(Indice_index!$Z$1=1,"junho","June")</f>
        <v>junho</v>
      </c>
      <c r="E567" s="1120">
        <v>-13.609072715143428</v>
      </c>
      <c r="F567" s="1120">
        <v>24.719101123595504</v>
      </c>
      <c r="G567" s="1120">
        <v>7.9768786127167628</v>
      </c>
      <c r="H567" s="1120">
        <v>-4.6066041581736643</v>
      </c>
      <c r="I567" s="1120">
        <v>-17.197924388435879</v>
      </c>
      <c r="J567" s="1120">
        <v>-8.0579048029668616</v>
      </c>
      <c r="K567" s="1120">
        <v>25.44285058084273</v>
      </c>
      <c r="L567" s="1120">
        <v>9.7923334781002129</v>
      </c>
      <c r="M567" s="1120">
        <v>-3.169834198033282</v>
      </c>
      <c r="N567" s="1120">
        <v>-19.66870692142265</v>
      </c>
      <c r="O567" s="1120">
        <v>5.8999676270637824</v>
      </c>
      <c r="P567" s="1120">
        <v>1.6955468604434336</v>
      </c>
      <c r="R567" s="231"/>
      <c r="S567" s="231"/>
      <c r="T567" s="231"/>
      <c r="U567" s="231"/>
      <c r="V567" s="231"/>
      <c r="W567" s="231"/>
      <c r="X567" s="231"/>
      <c r="Y567" s="231"/>
      <c r="Z567" s="231"/>
      <c r="AA567" s="231"/>
      <c r="AB567" s="231"/>
      <c r="AC567" s="231"/>
    </row>
    <row r="568" spans="3:42" s="230" customFormat="1" ht="15" customHeight="1">
      <c r="C568" s="994"/>
      <c r="D568" s="173" t="str">
        <f>IF(Indice_index!$Z$1=1,"julho","July")</f>
        <v>julho</v>
      </c>
      <c r="E568" s="1121">
        <v>6.6115702479338845</v>
      </c>
      <c r="F568" s="1121">
        <v>84.482758620689651</v>
      </c>
      <c r="G568" s="1121">
        <v>-17.222820236813778</v>
      </c>
      <c r="H568" s="1121">
        <v>-0.61500615006150061</v>
      </c>
      <c r="I568" s="1121">
        <v>0</v>
      </c>
      <c r="J568" s="1121">
        <v>5.0085718424355763</v>
      </c>
      <c r="K568" s="1121">
        <v>87.175888936439208</v>
      </c>
      <c r="L568" s="1121">
        <v>-27.947730603627512</v>
      </c>
      <c r="M568" s="1121">
        <v>0.20488227365179362</v>
      </c>
      <c r="N568" s="1121">
        <v>5.1803294521605645</v>
      </c>
      <c r="O568" s="1121">
        <v>-1.6581632653061156</v>
      </c>
      <c r="P568" s="1121">
        <v>-12.962962962962965</v>
      </c>
      <c r="R568" s="231"/>
      <c r="S568" s="231"/>
      <c r="T568" s="231"/>
      <c r="U568" s="231"/>
      <c r="V568" s="231"/>
      <c r="W568" s="231"/>
      <c r="X568" s="231"/>
      <c r="Y568" s="231"/>
      <c r="Z568" s="231"/>
      <c r="AA568" s="231"/>
      <c r="AB568" s="231"/>
      <c r="AC568" s="231"/>
    </row>
    <row r="569" spans="3:42" s="230" customFormat="1" ht="15" customHeight="1">
      <c r="C569" s="994"/>
      <c r="D569" s="173" t="str">
        <f>IF(Indice_index!$Z$1=1,"agosto","August")</f>
        <v>agosto</v>
      </c>
      <c r="E569" s="1122">
        <v>1.0884353741496597</v>
      </c>
      <c r="F569" s="1122">
        <v>250</v>
      </c>
      <c r="G569" s="1122">
        <v>-13.700000000000001</v>
      </c>
      <c r="H569" s="1122">
        <v>-1.2370311252992818</v>
      </c>
      <c r="I569" s="1122">
        <v>-9.4178082191780828</v>
      </c>
      <c r="J569" s="1122">
        <v>1.1528777438475686</v>
      </c>
      <c r="K569" s="1122">
        <v>284.5793446017957</v>
      </c>
      <c r="L569" s="1122">
        <v>-15.542383367587629</v>
      </c>
      <c r="M569" s="1122">
        <v>1.6462628904625347</v>
      </c>
      <c r="N569" s="1122">
        <v>-9.4192375120917387</v>
      </c>
      <c r="O569" s="1122">
        <v>-0.38579639398471494</v>
      </c>
      <c r="P569" s="1122">
        <v>-2.1268925739004967</v>
      </c>
    </row>
    <row r="570" spans="3:42" s="172" customFormat="1" ht="15" customHeight="1">
      <c r="C570" s="994"/>
      <c r="D570" s="173" t="str">
        <f>IF(Indice_index!$Z$1=1,"setembro","September")</f>
        <v>setembro</v>
      </c>
      <c r="E570" s="1123">
        <v>-9.3323216995447638</v>
      </c>
      <c r="F570" s="1123">
        <v>203.44827586206895</v>
      </c>
      <c r="G570" s="1123">
        <v>-5.8214747736093138</v>
      </c>
      <c r="H570" s="1123">
        <v>-5.1415094339622645</v>
      </c>
      <c r="I570" s="1123">
        <v>-11.067193675889328</v>
      </c>
      <c r="J570" s="1123">
        <v>-12.809356610489218</v>
      </c>
      <c r="K570" s="1123">
        <v>140.93232406620285</v>
      </c>
      <c r="L570" s="1123">
        <v>-9.7409309505205357</v>
      </c>
      <c r="M570" s="1123">
        <v>-9.895767217684762</v>
      </c>
      <c r="N570" s="1123">
        <v>-3.3772702929630589</v>
      </c>
      <c r="O570" s="1123">
        <v>-5.4364669421487637</v>
      </c>
      <c r="P570" s="1123">
        <v>-4.1591968447472096</v>
      </c>
      <c r="R570" s="230"/>
      <c r="S570" s="230"/>
      <c r="T570" s="230"/>
      <c r="U570" s="230"/>
      <c r="V570" s="230"/>
      <c r="W570" s="230"/>
      <c r="X570" s="230"/>
      <c r="Y570" s="230"/>
      <c r="Z570" s="230"/>
      <c r="AA570" s="230"/>
      <c r="AB570" s="230"/>
      <c r="AC570" s="230"/>
    </row>
    <row r="571" spans="3:42" s="172" customFormat="1" ht="15" customHeight="1">
      <c r="C571" s="994"/>
      <c r="D571" s="173" t="str">
        <f>IF(Indice_index!$Z$1=1,"outubro","October")</f>
        <v>outubro</v>
      </c>
      <c r="E571" s="1114">
        <v>4.9751243781094532</v>
      </c>
      <c r="F571" s="1114">
        <v>270.37037037037038</v>
      </c>
      <c r="G571" s="1114">
        <v>-20.181112548512289</v>
      </c>
      <c r="H571" s="1114">
        <v>-1.1465603190428715</v>
      </c>
      <c r="I571" s="1114">
        <v>5.0390964378801044</v>
      </c>
      <c r="J571" s="1114">
        <v>-6.0763421714063153</v>
      </c>
      <c r="K571" s="1114">
        <v>194.01323091652299</v>
      </c>
      <c r="L571" s="1114">
        <v>-25.297590254874684</v>
      </c>
      <c r="M571" s="1114">
        <v>-5.9955164390096174</v>
      </c>
      <c r="N571" s="1114">
        <v>0.9546927428930112</v>
      </c>
      <c r="O571" s="1114">
        <v>-11.072640868974876</v>
      </c>
      <c r="P571" s="1114">
        <v>-6.4081558346986949</v>
      </c>
      <c r="R571" s="230"/>
      <c r="S571" s="230"/>
      <c r="T571" s="230"/>
      <c r="U571" s="230"/>
      <c r="V571" s="230"/>
      <c r="W571" s="230"/>
      <c r="X571" s="230"/>
      <c r="Y571" s="230"/>
      <c r="Z571" s="230"/>
      <c r="AA571" s="230"/>
      <c r="AB571" s="230"/>
      <c r="AC571" s="230"/>
    </row>
    <row r="572" spans="3:42" s="172" customFormat="1" ht="15" customHeight="1">
      <c r="C572" s="994"/>
      <c r="D572" s="173" t="str">
        <f>IF(Indice_index!$Z$1=1,"novembro","November")</f>
        <v>novembro</v>
      </c>
      <c r="E572" s="1115">
        <v>6.4806480648064806</v>
      </c>
      <c r="F572" s="1115">
        <v>19.767441860465116</v>
      </c>
      <c r="G572" s="1115">
        <v>-8.2663605051664764</v>
      </c>
      <c r="H572" s="1115">
        <v>0.82205029013539643</v>
      </c>
      <c r="I572" s="1115">
        <v>0.34423407917383825</v>
      </c>
      <c r="J572" s="1115">
        <v>-9.690802327995101</v>
      </c>
      <c r="K572" s="1115">
        <v>27.931887816267697</v>
      </c>
      <c r="L572" s="1115">
        <v>2.9603281138616149</v>
      </c>
      <c r="M572" s="1115">
        <v>-5.600200726058632</v>
      </c>
      <c r="N572" s="1115">
        <v>0.9995907799451953</v>
      </c>
      <c r="O572" s="1115">
        <v>-14.036321780278808</v>
      </c>
      <c r="P572" s="1115">
        <v>12.225034066575812</v>
      </c>
      <c r="R572" s="230"/>
      <c r="S572" s="230"/>
      <c r="T572" s="230"/>
      <c r="U572" s="230"/>
      <c r="V572" s="230"/>
      <c r="W572" s="230"/>
      <c r="X572" s="230"/>
      <c r="Y572" s="230"/>
      <c r="Z572" s="230"/>
      <c r="AA572" s="230"/>
      <c r="AB572" s="230"/>
      <c r="AC572" s="230"/>
    </row>
    <row r="573" spans="3:42" s="172" customFormat="1" ht="15" customHeight="1">
      <c r="C573" s="994"/>
      <c r="D573" s="173" t="str">
        <f>IF(Indice_index!$Z$1=1,"dezembro","December")</f>
        <v>dezembro</v>
      </c>
      <c r="E573" s="1124">
        <v>19.01608325449385</v>
      </c>
      <c r="F573" s="1124">
        <v>-18.867924528301888</v>
      </c>
      <c r="G573" s="1124">
        <v>-10.123734533183352</v>
      </c>
      <c r="H573" s="1124">
        <v>4.4346978557504872</v>
      </c>
      <c r="I573" s="1124">
        <v>-10.170807453416149</v>
      </c>
      <c r="J573" s="1124">
        <v>-7.0280443294290809</v>
      </c>
      <c r="K573" s="1124">
        <v>-18.226872590732171</v>
      </c>
      <c r="L573" s="1124">
        <v>-9.4014733085164384</v>
      </c>
      <c r="M573" s="1124">
        <v>-8.052363887392282</v>
      </c>
      <c r="N573" s="1124">
        <v>-6.4650862252319223</v>
      </c>
      <c r="O573" s="1124">
        <v>-20.150636619044779</v>
      </c>
      <c r="P573" s="1124">
        <v>0.81780144541652111</v>
      </c>
      <c r="R573" s="230"/>
      <c r="S573" s="230"/>
      <c r="T573" s="230"/>
      <c r="U573" s="230"/>
      <c r="V573" s="230"/>
      <c r="W573" s="230"/>
      <c r="X573" s="230"/>
      <c r="Y573" s="230"/>
      <c r="Z573" s="230"/>
      <c r="AA573" s="230"/>
      <c r="AB573" s="230"/>
      <c r="AC573" s="230"/>
    </row>
    <row r="574" spans="3:42" s="230" customFormat="1" ht="15" customHeight="1">
      <c r="C574" s="1117" t="s">
        <v>74</v>
      </c>
      <c r="D574" s="172"/>
      <c r="E574" s="1064"/>
      <c r="F574" s="1064"/>
      <c r="G574" s="1064"/>
      <c r="H574" s="1064"/>
      <c r="I574" s="1064"/>
      <c r="J574" s="1064"/>
      <c r="K574" s="1064"/>
      <c r="L574" s="1064"/>
      <c r="M574" s="172"/>
      <c r="N574" s="1064"/>
      <c r="O574" s="1064"/>
      <c r="P574" s="1064"/>
      <c r="R574" s="231"/>
      <c r="S574" s="231"/>
      <c r="T574" s="231"/>
      <c r="U574" s="231"/>
      <c r="V574" s="231"/>
      <c r="W574" s="231"/>
      <c r="X574" s="231"/>
      <c r="Y574" s="231"/>
      <c r="Z574" s="231"/>
      <c r="AA574" s="231"/>
      <c r="AB574" s="231"/>
      <c r="AC574" s="231"/>
    </row>
    <row r="575" spans="3:42" s="172" customFormat="1" ht="15" customHeight="1">
      <c r="C575" s="994"/>
      <c r="D575" s="173" t="str">
        <f>IF(Indice_index!$Z$1=1,"janeiro","January")</f>
        <v>janeiro</v>
      </c>
      <c r="E575" s="1125">
        <v>40.33203125</v>
      </c>
      <c r="F575" s="1125">
        <v>10.344827586206897</v>
      </c>
      <c r="G575" s="1125">
        <v>-8.112094395280236</v>
      </c>
      <c r="H575" s="1125">
        <v>20.514253773057575</v>
      </c>
      <c r="I575" s="1125">
        <v>0.45489006823351025</v>
      </c>
      <c r="J575" s="1125">
        <v>22.305863522315818</v>
      </c>
      <c r="K575" s="1125">
        <v>1.6508153079192049</v>
      </c>
      <c r="L575" s="1125">
        <v>-13.902845481270507</v>
      </c>
      <c r="M575" s="1125">
        <v>14.911728527222698</v>
      </c>
      <c r="N575" s="1125">
        <v>4.814647640107542</v>
      </c>
      <c r="O575" s="1125">
        <v>-12.258681108633329</v>
      </c>
      <c r="P575" s="1125">
        <v>-6.2943423685646742</v>
      </c>
      <c r="R575" s="231"/>
      <c r="S575" s="231"/>
      <c r="T575" s="231"/>
      <c r="U575" s="231"/>
      <c r="V575" s="231"/>
      <c r="W575" s="231"/>
      <c r="X575" s="231"/>
      <c r="Y575" s="231"/>
      <c r="Z575" s="231"/>
      <c r="AA575" s="231"/>
      <c r="AB575" s="231"/>
      <c r="AC575" s="231"/>
      <c r="AD575" s="423"/>
      <c r="AE575" s="423"/>
      <c r="AF575" s="423"/>
      <c r="AG575" s="423"/>
      <c r="AH575" s="423"/>
      <c r="AI575" s="423"/>
      <c r="AJ575" s="423"/>
      <c r="AK575" s="423"/>
      <c r="AL575" s="423"/>
      <c r="AM575" s="423"/>
      <c r="AN575" s="423"/>
      <c r="AO575" s="423"/>
    </row>
    <row r="576" spans="3:42" s="172" customFormat="1" ht="15" customHeight="1">
      <c r="C576" s="994"/>
      <c r="D576" s="173" t="str">
        <f>IF(Indice_index!$Z$1=1,"fevereiro","February")</f>
        <v>fevereiro</v>
      </c>
      <c r="E576" s="1126">
        <v>51.415628539071342</v>
      </c>
      <c r="F576" s="1126">
        <v>-48.514851485148512</v>
      </c>
      <c r="G576" s="1126">
        <v>-16.746411483253588</v>
      </c>
      <c r="H576" s="1126">
        <v>14.560439560439562</v>
      </c>
      <c r="I576" s="1126">
        <v>-10.786650774731823</v>
      </c>
      <c r="J576" s="1126">
        <v>45.549798815759672</v>
      </c>
      <c r="K576" s="1126">
        <v>-34.053268290232694</v>
      </c>
      <c r="L576" s="1126">
        <v>-11.666590267175669</v>
      </c>
      <c r="M576" s="1126">
        <v>27.194810628425365</v>
      </c>
      <c r="N576" s="1126">
        <v>-10.82566351975551</v>
      </c>
      <c r="O576" s="1126">
        <v>-0.90953613657034915</v>
      </c>
      <c r="P576" s="1127">
        <v>6.1042274052478138</v>
      </c>
      <c r="R576" s="231"/>
      <c r="S576" s="231"/>
      <c r="T576" s="231"/>
      <c r="U576" s="231"/>
      <c r="V576" s="231"/>
      <c r="W576" s="231"/>
      <c r="X576" s="231"/>
      <c r="Y576" s="231"/>
      <c r="Z576" s="231"/>
      <c r="AA576" s="231"/>
      <c r="AB576" s="231"/>
      <c r="AC576" s="231"/>
      <c r="AD576" s="423"/>
      <c r="AE576" s="423"/>
      <c r="AF576" s="423"/>
      <c r="AG576" s="423"/>
      <c r="AH576" s="423"/>
      <c r="AI576" s="423"/>
      <c r="AJ576" s="423"/>
      <c r="AK576" s="423"/>
      <c r="AL576" s="423"/>
      <c r="AM576" s="423"/>
      <c r="AN576" s="423"/>
      <c r="AO576" s="423"/>
    </row>
    <row r="577" spans="3:42" s="172" customFormat="1" ht="15" customHeight="1">
      <c r="C577" s="994"/>
      <c r="D577" s="173" t="str">
        <f>IF(Indice_index!$Z$1=1,"março","March")</f>
        <v>março</v>
      </c>
      <c r="E577" s="1128">
        <v>8.7837837837837842</v>
      </c>
      <c r="F577" s="1128">
        <v>-63.513513513513509</v>
      </c>
      <c r="G577" s="1128">
        <v>-30.241187384044526</v>
      </c>
      <c r="H577" s="1128">
        <v>-16.095890410958905</v>
      </c>
      <c r="I577" s="1128">
        <v>-41.455301455301459</v>
      </c>
      <c r="J577" s="1128">
        <v>8.5940753215003394</v>
      </c>
      <c r="K577" s="1128">
        <v>-30.92030818300206</v>
      </c>
      <c r="L577" s="1128">
        <v>-41.223820233966045</v>
      </c>
      <c r="M577" s="1128">
        <v>-6.5820380084581718</v>
      </c>
      <c r="N577" s="1128">
        <v>-39.410469630938792</v>
      </c>
      <c r="O577" s="1128">
        <v>9.9517534384676356</v>
      </c>
      <c r="P577" s="1129">
        <v>-15.746924428822501</v>
      </c>
      <c r="R577" s="231"/>
      <c r="S577" s="231"/>
      <c r="T577" s="231"/>
      <c r="U577" s="231"/>
      <c r="V577" s="231"/>
      <c r="W577" s="231"/>
      <c r="X577" s="231"/>
      <c r="Y577" s="231"/>
      <c r="Z577" s="231"/>
      <c r="AA577" s="231"/>
      <c r="AB577" s="231"/>
      <c r="AC577" s="231"/>
      <c r="AD577" s="423"/>
      <c r="AE577" s="423"/>
      <c r="AF577" s="423"/>
      <c r="AG577" s="423"/>
      <c r="AH577" s="423"/>
      <c r="AI577" s="423"/>
      <c r="AJ577" s="423"/>
      <c r="AK577" s="423"/>
      <c r="AL577" s="423"/>
      <c r="AM577" s="423"/>
      <c r="AN577" s="423"/>
      <c r="AO577" s="423"/>
    </row>
    <row r="578" spans="3:42" s="230" customFormat="1" ht="15" customHeight="1">
      <c r="C578" s="994"/>
      <c r="D578" s="173" t="str">
        <f>IF(Indice_index!$Z$1=1,"abril","April")</f>
        <v>abril</v>
      </c>
      <c r="E578" s="1110">
        <v>3.9750584567420111</v>
      </c>
      <c r="F578" s="1110">
        <v>-6.9444444444444446</v>
      </c>
      <c r="G578" s="1110">
        <v>-24.595469255663431</v>
      </c>
      <c r="H578" s="1110">
        <v>-9.95754534928599</v>
      </c>
      <c r="I578" s="1110">
        <v>-27.38821138211382</v>
      </c>
      <c r="J578" s="1110">
        <v>10.23626176330926</v>
      </c>
      <c r="K578" s="1110">
        <v>-0.726983799668946</v>
      </c>
      <c r="L578" s="1110">
        <v>-30.943539529049314</v>
      </c>
      <c r="M578" s="1110">
        <v>-1.383180120779361</v>
      </c>
      <c r="N578" s="1110">
        <v>-27.141627720027167</v>
      </c>
      <c r="O578" s="1110">
        <v>6.2143218440638766</v>
      </c>
      <c r="P578" s="1110">
        <v>-8.4173913043478219</v>
      </c>
      <c r="R578" s="231"/>
      <c r="S578" s="231"/>
      <c r="T578" s="231"/>
      <c r="U578" s="231"/>
      <c r="V578" s="231"/>
      <c r="W578" s="231"/>
      <c r="X578" s="231"/>
      <c r="Y578" s="231"/>
      <c r="Z578" s="231"/>
      <c r="AA578" s="231"/>
      <c r="AB578" s="231"/>
      <c r="AC578" s="231"/>
      <c r="AD578" s="423"/>
      <c r="AE578" s="423"/>
      <c r="AF578" s="423"/>
      <c r="AG578" s="423"/>
      <c r="AH578" s="423"/>
      <c r="AI578" s="423"/>
      <c r="AJ578" s="423"/>
      <c r="AK578" s="423"/>
      <c r="AL578" s="423"/>
      <c r="AM578" s="423"/>
      <c r="AN578" s="423"/>
      <c r="AO578" s="423"/>
      <c r="AP578" s="172"/>
    </row>
    <row r="579" spans="3:42" s="230" customFormat="1" ht="15" customHeight="1">
      <c r="C579" s="994"/>
      <c r="D579" s="173" t="str">
        <f>IF(Indice_index!$Z$1=1,"maio","May")</f>
        <v>maio</v>
      </c>
      <c r="E579" s="1119">
        <v>18.807339449541285</v>
      </c>
      <c r="F579" s="1119">
        <v>-30</v>
      </c>
      <c r="G579" s="1119">
        <v>-20.821114369501466</v>
      </c>
      <c r="H579" s="1119">
        <v>0</v>
      </c>
      <c r="I579" s="1119">
        <v>7.9491255961844196</v>
      </c>
      <c r="J579" s="1119">
        <v>38.494988235755002</v>
      </c>
      <c r="K579" s="1119">
        <v>-35.02629038086301</v>
      </c>
      <c r="L579" s="1119">
        <v>-17.264874383035178</v>
      </c>
      <c r="M579" s="1119">
        <v>22.220851039469331</v>
      </c>
      <c r="N579" s="1119">
        <v>10.554701472596266</v>
      </c>
      <c r="O579" s="1119">
        <v>16.041030117852468</v>
      </c>
      <c r="P579" s="1119">
        <v>4.4960383268840936</v>
      </c>
      <c r="R579" s="231"/>
      <c r="S579" s="231"/>
      <c r="T579" s="231"/>
      <c r="U579" s="231"/>
      <c r="V579" s="231"/>
      <c r="W579" s="231"/>
      <c r="X579" s="231"/>
      <c r="Y579" s="231"/>
      <c r="Z579" s="231"/>
      <c r="AA579" s="231"/>
      <c r="AB579" s="231"/>
      <c r="AC579" s="231"/>
      <c r="AD579" s="423"/>
      <c r="AE579" s="423"/>
      <c r="AF579" s="423"/>
      <c r="AG579" s="423"/>
      <c r="AH579" s="423"/>
      <c r="AI579" s="423"/>
      <c r="AJ579" s="423"/>
      <c r="AK579" s="423"/>
      <c r="AL579" s="423"/>
      <c r="AM579" s="423"/>
      <c r="AN579" s="423"/>
      <c r="AO579" s="423"/>
      <c r="AP579" s="172"/>
    </row>
    <row r="580" spans="3:42" s="230" customFormat="1" ht="15" customHeight="1">
      <c r="C580" s="994"/>
      <c r="D580" s="173" t="str">
        <f>IF(Indice_index!$Z$1=1,"junho","June")</f>
        <v>junho</v>
      </c>
      <c r="E580" s="1120">
        <v>23.243243243243246</v>
      </c>
      <c r="F580" s="1120">
        <v>-12.612612612612612</v>
      </c>
      <c r="G580" s="1120">
        <v>-10.492505353319057</v>
      </c>
      <c r="H580" s="1120">
        <v>8.0769230769230766</v>
      </c>
      <c r="I580" s="1120">
        <v>18.263205013428827</v>
      </c>
      <c r="J580" s="1120">
        <v>54.366247694733858</v>
      </c>
      <c r="K580" s="1120">
        <v>-18.612591684026185</v>
      </c>
      <c r="L580" s="1120">
        <v>-10.771702382327014</v>
      </c>
      <c r="M580" s="1120">
        <v>36.078310418312739</v>
      </c>
      <c r="N580" s="1120">
        <v>23.857149090524139</v>
      </c>
      <c r="O580" s="1120">
        <v>23.790599923576611</v>
      </c>
      <c r="P580" s="1120">
        <v>-0.3114694027116035</v>
      </c>
      <c r="R580" s="231"/>
      <c r="S580" s="231"/>
      <c r="T580" s="231"/>
      <c r="U580" s="231"/>
      <c r="V580" s="231"/>
      <c r="W580" s="231"/>
      <c r="X580" s="231"/>
      <c r="Y580" s="231"/>
      <c r="Z580" s="231"/>
      <c r="AA580" s="231"/>
      <c r="AB580" s="231"/>
      <c r="AC580" s="231"/>
    </row>
    <row r="581" spans="3:42" s="230" customFormat="1" ht="15" customHeight="1">
      <c r="C581" s="994"/>
      <c r="D581" s="173" t="str">
        <f>IF(Indice_index!$Z$1=1,"julho","July")</f>
        <v>julho</v>
      </c>
      <c r="E581" s="1121">
        <v>-30.87855297157623</v>
      </c>
      <c r="F581" s="1121">
        <v>-25.233644859813083</v>
      </c>
      <c r="G581" s="1121">
        <v>-10.273081924577374</v>
      </c>
      <c r="H581" s="1121">
        <v>-24.092409240924091</v>
      </c>
      <c r="I581" s="1121">
        <v>13.936651583710407</v>
      </c>
      <c r="J581" s="1121">
        <v>-16.557965022558076</v>
      </c>
      <c r="K581" s="1121">
        <v>-26.381531179405748</v>
      </c>
      <c r="L581" s="1121">
        <v>-4.3492300729846729</v>
      </c>
      <c r="M581" s="1121">
        <v>-15.184254271403594</v>
      </c>
      <c r="N581" s="1121">
        <v>11.071876292484903</v>
      </c>
      <c r="O581" s="1121">
        <v>19.256885633630873</v>
      </c>
      <c r="P581" s="1121">
        <v>6.6193853427896023</v>
      </c>
      <c r="R581" s="231"/>
      <c r="S581" s="231"/>
      <c r="T581" s="231"/>
      <c r="U581" s="231"/>
      <c r="V581" s="231"/>
      <c r="W581" s="231"/>
      <c r="X581" s="231"/>
      <c r="Y581" s="231"/>
      <c r="Z581" s="231"/>
      <c r="AA581" s="231"/>
      <c r="AB581" s="231"/>
      <c r="AC581" s="231"/>
    </row>
    <row r="582" spans="3:42" s="230" customFormat="1" ht="15" hidden="1" customHeight="1">
      <c r="C582" s="994"/>
      <c r="D582" s="173" t="str">
        <f>IF(Indice_index!$Z$1=1,"agosto","August")</f>
        <v>agosto</v>
      </c>
      <c r="E582" s="1122"/>
      <c r="F582" s="1122"/>
      <c r="G582" s="1122"/>
      <c r="H582" s="1122"/>
      <c r="I582" s="1122"/>
      <c r="J582" s="1122"/>
      <c r="K582" s="1122"/>
      <c r="L582" s="1122"/>
      <c r="M582" s="1122"/>
      <c r="N582" s="1122"/>
      <c r="O582" s="1122"/>
      <c r="P582" s="1122"/>
    </row>
    <row r="583" spans="3:42" s="172" customFormat="1" ht="15" hidden="1" customHeight="1">
      <c r="C583" s="994"/>
      <c r="D583" s="173" t="str">
        <f>IF(Indice_index!$Z$1=1,"setembro","September")</f>
        <v>setembro</v>
      </c>
      <c r="E583" s="1123"/>
      <c r="F583" s="1123"/>
      <c r="G583" s="1123"/>
      <c r="H583" s="1123"/>
      <c r="I583" s="1123"/>
      <c r="J583" s="1123"/>
      <c r="K583" s="1123"/>
      <c r="L583" s="1123"/>
      <c r="M583" s="1123"/>
      <c r="N583" s="1123"/>
      <c r="O583" s="1123"/>
      <c r="P583" s="1123"/>
      <c r="R583" s="230"/>
      <c r="S583" s="230"/>
      <c r="T583" s="230"/>
      <c r="U583" s="230"/>
      <c r="V583" s="230"/>
      <c r="W583" s="230"/>
      <c r="X583" s="230"/>
      <c r="Y583" s="230"/>
      <c r="Z583" s="230"/>
      <c r="AA583" s="230"/>
      <c r="AB583" s="230"/>
      <c r="AC583" s="230"/>
    </row>
    <row r="584" spans="3:42" s="172" customFormat="1" ht="15" hidden="1" customHeight="1">
      <c r="C584" s="994"/>
      <c r="D584" s="173" t="str">
        <f>IF(Indice_index!$Z$1=1,"outubro","October")</f>
        <v>outubro</v>
      </c>
      <c r="E584" s="1114"/>
      <c r="F584" s="1114"/>
      <c r="G584" s="1114"/>
      <c r="H584" s="1114"/>
      <c r="I584" s="1114"/>
      <c r="J584" s="1114"/>
      <c r="K584" s="1114"/>
      <c r="L584" s="1114"/>
      <c r="M584" s="1114"/>
      <c r="N584" s="1114"/>
      <c r="O584" s="1114"/>
      <c r="P584" s="1114"/>
      <c r="R584" s="230"/>
      <c r="S584" s="230"/>
      <c r="T584" s="230"/>
      <c r="U584" s="230"/>
      <c r="V584" s="230"/>
      <c r="W584" s="230"/>
      <c r="X584" s="230"/>
      <c r="Y584" s="230"/>
      <c r="Z584" s="230"/>
      <c r="AA584" s="230"/>
      <c r="AB584" s="230"/>
      <c r="AC584" s="230"/>
    </row>
    <row r="585" spans="3:42" s="172" customFormat="1" ht="15" hidden="1" customHeight="1">
      <c r="C585" s="994"/>
      <c r="D585" s="173" t="str">
        <f>IF(Indice_index!$Z$1=1,"novembro","November")</f>
        <v>novembro</v>
      </c>
      <c r="E585" s="1115"/>
      <c r="F585" s="1115"/>
      <c r="G585" s="1115"/>
      <c r="H585" s="1115"/>
      <c r="I585" s="1115"/>
      <c r="J585" s="1115"/>
      <c r="K585" s="1115"/>
      <c r="L585" s="1115"/>
      <c r="M585" s="1115"/>
      <c r="N585" s="1115"/>
      <c r="O585" s="1115"/>
      <c r="P585" s="1115"/>
      <c r="R585" s="230"/>
      <c r="S585" s="230"/>
      <c r="T585" s="230"/>
      <c r="U585" s="230"/>
      <c r="V585" s="230"/>
      <c r="W585" s="230"/>
      <c r="X585" s="230"/>
      <c r="Y585" s="230"/>
      <c r="Z585" s="230"/>
      <c r="AA585" s="230"/>
      <c r="AB585" s="230"/>
      <c r="AC585" s="230"/>
    </row>
    <row r="586" spans="3:42" s="172" customFormat="1" ht="15" hidden="1" customHeight="1">
      <c r="C586" s="994"/>
      <c r="D586" s="173" t="str">
        <f>IF(Indice_index!$Z$1=1,"dezembro","December")</f>
        <v>dezembro</v>
      </c>
      <c r="E586" s="1124"/>
      <c r="F586" s="1124"/>
      <c r="G586" s="1124"/>
      <c r="H586" s="1124"/>
      <c r="I586" s="1124"/>
      <c r="J586" s="1124"/>
      <c r="K586" s="1124"/>
      <c r="L586" s="1124"/>
      <c r="M586" s="1124"/>
      <c r="N586" s="1124"/>
      <c r="O586" s="1124"/>
      <c r="P586" s="1124"/>
      <c r="R586" s="230"/>
      <c r="S586" s="230"/>
      <c r="T586" s="230"/>
      <c r="U586" s="230"/>
      <c r="V586" s="230"/>
      <c r="W586" s="230"/>
      <c r="X586" s="230"/>
      <c r="Y586" s="230"/>
      <c r="Z586" s="230"/>
      <c r="AA586" s="230"/>
      <c r="AB586" s="230"/>
      <c r="AC586" s="230"/>
    </row>
    <row r="587" spans="3:42" s="230" customFormat="1" ht="3" customHeight="1">
      <c r="C587" s="989"/>
      <c r="D587" s="990"/>
      <c r="E587" s="990"/>
      <c r="F587" s="990"/>
      <c r="G587" s="990"/>
      <c r="H587" s="990"/>
      <c r="I587" s="990"/>
      <c r="J587" s="990"/>
      <c r="K587" s="990"/>
      <c r="L587" s="990"/>
      <c r="M587" s="990"/>
      <c r="N587" s="990"/>
      <c r="O587" s="990"/>
      <c r="P587" s="990"/>
    </row>
    <row r="588" spans="3:42" s="230" customFormat="1" ht="4.5" customHeight="1">
      <c r="C588" s="1130"/>
      <c r="D588" s="172"/>
      <c r="E588" s="1064"/>
      <c r="F588" s="1064"/>
      <c r="G588" s="1064"/>
      <c r="H588" s="1064"/>
      <c r="I588" s="1064"/>
      <c r="J588" s="1064"/>
      <c r="K588" s="1064"/>
      <c r="L588" s="1064"/>
      <c r="M588" s="1064"/>
      <c r="N588" s="1064"/>
      <c r="O588" s="1064"/>
      <c r="P588" s="1064"/>
      <c r="X588" s="50"/>
      <c r="Y588" s="50"/>
      <c r="Z588" s="50"/>
      <c r="AA588" s="171"/>
    </row>
    <row r="589" spans="3:42" s="230" customFormat="1" ht="5.0999999999999996" customHeight="1">
      <c r="C589" s="1130"/>
      <c r="L589" s="172"/>
      <c r="M589" s="172"/>
      <c r="N589" s="172"/>
      <c r="O589" s="172"/>
      <c r="P589" s="172"/>
      <c r="X589" s="50"/>
      <c r="Y589" s="50"/>
      <c r="Z589" s="50"/>
      <c r="AA589" s="171"/>
    </row>
    <row r="590" spans="3:42" s="230" customFormat="1" ht="15" customHeight="1">
      <c r="C590" s="1131" t="str">
        <f>IF(Indice_index!$Z$1=1,"Notas:","Notes:")</f>
        <v>Notas:</v>
      </c>
      <c r="X590" s="50"/>
      <c r="Y590" s="50"/>
      <c r="Z590" s="50"/>
      <c r="AA590" s="171"/>
    </row>
    <row r="591" spans="3:42" s="230" customFormat="1" ht="31.5" customHeight="1">
      <c r="C591" s="1773" t="str">
        <f>IF(Indice_index!$Z$1=1,C594,C595)</f>
        <v xml:space="preserve">Decorrente da aplicação do  Decreto-Lei n.º 166-A/2013, de 27 de dezembro, que transferiu para a Caixa Geral de Aposentações, I.P., a partir de 1 de julho de 2014, a responsabilidade pelo processamento e pagamento dos complementos de pensão a cargo do Fundo de Pensões dos Militares das Forças Armadas, a rubrica de pensões de “Sobrevivência e outras" passou a considerar essa despesa. </v>
      </c>
      <c r="D591" s="1773"/>
      <c r="E591" s="1773"/>
      <c r="F591" s="1773"/>
      <c r="G591" s="1773"/>
      <c r="H591" s="1773"/>
      <c r="I591" s="1773"/>
      <c r="J591" s="1773"/>
      <c r="K591" s="1773"/>
      <c r="L591" s="1773"/>
      <c r="M591" s="1773"/>
      <c r="N591" s="1773"/>
      <c r="O591" s="1773"/>
      <c r="P591" s="1773"/>
      <c r="X591" s="50"/>
      <c r="Y591" s="50"/>
      <c r="Z591" s="50"/>
      <c r="AA591" s="171"/>
    </row>
    <row r="592" spans="3:42" s="230" customFormat="1" ht="34.5" customHeight="1">
      <c r="C592" s="1773" t="str">
        <f>IF(Indice_index!$Z$1=1,C596,C597)</f>
        <v>O acréscimo verificado no número de pensionistas e na despesa com pensões na rubrica "Sobrevivência e Outras Pensões" a partir do mês de outubro de 2017 decorre da aplicação do Decreto-Lei n.º 95-2017, de 10 de agosto, que regula a transferência para a Caixa Geral de Aposentações, I. P., do encargo financeiro com os complementos de pensão dos trabalhadores da Carris. Estes complementos representam um impacto direto no decréscimo verificado na rubrica "Pensão média nova Sobrevivência e outras (€)".</v>
      </c>
      <c r="D592" s="1773"/>
      <c r="E592" s="1773"/>
      <c r="F592" s="1773"/>
      <c r="G592" s="1773"/>
      <c r="H592" s="1773"/>
      <c r="I592" s="1773"/>
      <c r="J592" s="1773"/>
      <c r="K592" s="1773"/>
      <c r="L592" s="1773"/>
      <c r="M592" s="1773"/>
      <c r="N592" s="1773"/>
      <c r="O592" s="1773"/>
      <c r="P592" s="1773"/>
      <c r="X592" s="50"/>
      <c r="Y592" s="50"/>
      <c r="Z592" s="50"/>
      <c r="AA592" s="171"/>
    </row>
    <row r="593" spans="1:27" s="230" customFormat="1" ht="5.0999999999999996" customHeight="1">
      <c r="C593" s="1130"/>
      <c r="L593" s="172"/>
      <c r="M593" s="172"/>
      <c r="N593" s="172"/>
      <c r="O593" s="172"/>
      <c r="P593" s="172"/>
      <c r="X593" s="50"/>
      <c r="Y593" s="50"/>
      <c r="Z593" s="50"/>
      <c r="AA593" s="171"/>
    </row>
    <row r="594" spans="1:27" s="174" customFormat="1" ht="26.25" hidden="1" customHeight="1">
      <c r="C594" s="1774" t="s">
        <v>57</v>
      </c>
      <c r="D594" s="1774"/>
      <c r="E594" s="1774"/>
      <c r="F594" s="1774"/>
      <c r="G594" s="1774"/>
      <c r="H594" s="1774"/>
      <c r="I594" s="1774"/>
      <c r="J594" s="1774"/>
      <c r="K594" s="1774"/>
      <c r="L594" s="1774"/>
      <c r="M594" s="1774"/>
      <c r="N594" s="1774"/>
      <c r="O594" s="1774"/>
      <c r="P594" s="1774"/>
      <c r="X594" s="104"/>
      <c r="Y594" s="104"/>
      <c r="Z594" s="104"/>
      <c r="AA594" s="175"/>
    </row>
    <row r="595" spans="1:27" s="174" customFormat="1" ht="15" hidden="1" customHeight="1">
      <c r="C595" s="1132" t="s">
        <v>14</v>
      </c>
      <c r="X595" s="104"/>
      <c r="Y595" s="104"/>
      <c r="Z595" s="104"/>
      <c r="AA595" s="175"/>
    </row>
    <row r="596" spans="1:27" s="174" customFormat="1" ht="36.75" hidden="1" customHeight="1">
      <c r="C596" s="1774" t="s">
        <v>55</v>
      </c>
      <c r="D596" s="1774"/>
      <c r="E596" s="1774"/>
      <c r="F596" s="1774"/>
      <c r="G596" s="1774"/>
      <c r="H596" s="1774"/>
      <c r="I596" s="1774"/>
      <c r="J596" s="1774"/>
      <c r="K596" s="1774"/>
      <c r="L596" s="1774"/>
      <c r="M596" s="1774"/>
      <c r="N596" s="1774"/>
      <c r="O596" s="1774"/>
      <c r="P596" s="1774"/>
      <c r="X596" s="104"/>
      <c r="Y596" s="104"/>
      <c r="Z596" s="104"/>
      <c r="AA596" s="175"/>
    </row>
    <row r="597" spans="1:27" s="174" customFormat="1" ht="36.75" hidden="1" customHeight="1">
      <c r="C597" s="1774" t="s">
        <v>56</v>
      </c>
      <c r="D597" s="1774"/>
      <c r="E597" s="1774"/>
      <c r="F597" s="1774"/>
      <c r="G597" s="1774"/>
      <c r="H597" s="1774"/>
      <c r="I597" s="1774"/>
      <c r="J597" s="1774"/>
      <c r="K597" s="1774"/>
      <c r="L597" s="1774"/>
      <c r="M597" s="1774"/>
      <c r="N597" s="1774"/>
      <c r="O597" s="1774"/>
      <c r="P597" s="1774"/>
      <c r="X597" s="104"/>
      <c r="Y597" s="104"/>
      <c r="Z597" s="104"/>
      <c r="AA597" s="175"/>
    </row>
    <row r="598" spans="1:27" s="230" customFormat="1" ht="15" customHeight="1">
      <c r="C598" s="230" t="str">
        <f>IF(Indice_index!$Z$1=1,"Fonte: Caixa Geral de Aposentações, I.P.","Source: CGA - Public Servants Social Scheme")</f>
        <v>Fonte: Caixa Geral de Aposentações, I.P.</v>
      </c>
      <c r="L598" s="172"/>
      <c r="M598" s="172"/>
      <c r="N598" s="172"/>
      <c r="O598" s="172"/>
      <c r="P598" s="172"/>
      <c r="X598" s="50"/>
      <c r="Y598" s="50"/>
      <c r="Z598" s="50"/>
      <c r="AA598" s="171"/>
    </row>
    <row r="599" spans="1:27" s="230" customFormat="1">
      <c r="L599" s="172"/>
      <c r="M599" s="172"/>
      <c r="N599" s="172"/>
      <c r="O599" s="172"/>
      <c r="P599" s="172"/>
      <c r="X599" s="50"/>
      <c r="Y599" s="50"/>
      <c r="Z599" s="50"/>
      <c r="AA599" s="171"/>
    </row>
    <row r="600" spans="1:27">
      <c r="A600" s="230"/>
      <c r="B600" s="230"/>
      <c r="C600" s="230"/>
      <c r="D600" s="230"/>
      <c r="E600" s="230"/>
      <c r="F600" s="230"/>
      <c r="G600" s="230"/>
      <c r="H600" s="230"/>
      <c r="I600" s="230"/>
      <c r="J600" s="230"/>
      <c r="K600" s="230"/>
      <c r="Q600" s="230"/>
    </row>
    <row r="601" spans="1:27">
      <c r="A601" s="230"/>
      <c r="B601" s="230"/>
      <c r="C601" s="230"/>
      <c r="D601" s="230"/>
      <c r="E601" s="230"/>
      <c r="F601" s="230"/>
      <c r="G601" s="230"/>
      <c r="H601" s="230"/>
      <c r="I601" s="230"/>
      <c r="J601" s="230"/>
      <c r="K601" s="230"/>
      <c r="Q601" s="230"/>
    </row>
  </sheetData>
  <mergeCells count="27">
    <mergeCell ref="E6:H6"/>
    <mergeCell ref="I6:I7"/>
    <mergeCell ref="K6:K7"/>
    <mergeCell ref="E155:H155"/>
    <mergeCell ref="I155:I156"/>
    <mergeCell ref="K155:K156"/>
    <mergeCell ref="E304:I304"/>
    <mergeCell ref="J304:N304"/>
    <mergeCell ref="O304:O306"/>
    <mergeCell ref="P304:P306"/>
    <mergeCell ref="E305:H305"/>
    <mergeCell ref="I305:I306"/>
    <mergeCell ref="J305:M305"/>
    <mergeCell ref="N305:N306"/>
    <mergeCell ref="E454:I454"/>
    <mergeCell ref="J454:N454"/>
    <mergeCell ref="O454:O456"/>
    <mergeCell ref="P454:P456"/>
    <mergeCell ref="E455:H455"/>
    <mergeCell ref="I455:I456"/>
    <mergeCell ref="J455:M455"/>
    <mergeCell ref="N455:N456"/>
    <mergeCell ref="C591:P591"/>
    <mergeCell ref="C592:P592"/>
    <mergeCell ref="C594:P594"/>
    <mergeCell ref="C596:P596"/>
    <mergeCell ref="C597:P597"/>
  </mergeCells>
  <printOptions horizontalCentered="1"/>
  <pageMargins left="0.70866141732283472" right="0.70866141732283472" top="0.74803149606299213" bottom="0.74803149606299213" header="0.74803149606299213" footer="0.35433070866141736"/>
  <pageSetup paperSize="9" scale="56" fitToHeight="4" orientation="portrait" r:id="rId1"/>
  <headerFooter differentOddEven="1">
    <oddFooter>&amp;R&amp;G</oddFooter>
    <evenFooter>&amp;L&amp;G</evenFooter>
  </headerFooter>
  <rowBreaks count="3" manualBreakCount="3">
    <brk id="153" max="16" man="1"/>
    <brk id="301" max="16" man="1"/>
    <brk id="452" max="16" man="1"/>
  </rowBreaks>
  <ignoredErrors>
    <ignoredError sqref="C8:C34 C47 C157:C196 C307:C346 C457:C483 C561 C424 C274 C125 C287 C437 C574 C138" numberStoredAsText="1"/>
  </ignoredErrors>
  <drawing r:id="rId2"/>
  <legacyDrawingHF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Folha24"/>
  <dimension ref="B1:BL240"/>
  <sheetViews>
    <sheetView showGridLines="0" zoomScaleNormal="100" zoomScaleSheetLayoutView="100" workbookViewId="0">
      <selection activeCell="B2" sqref="B2"/>
    </sheetView>
  </sheetViews>
  <sheetFormatPr defaultColWidth="10" defaultRowHeight="15"/>
  <cols>
    <col min="1" max="1" width="1.85546875" style="176" customWidth="1"/>
    <col min="2" max="2" width="4.42578125" style="176" customWidth="1"/>
    <col min="3" max="3" width="77.42578125" style="176" customWidth="1"/>
    <col min="4" max="4" width="8.5703125" style="176" customWidth="1"/>
    <col min="5" max="5" width="19.85546875" style="177" hidden="1" customWidth="1"/>
    <col min="6" max="6" width="2.5703125" style="97" customWidth="1"/>
    <col min="7" max="7" width="10.28515625" style="176" hidden="1" customWidth="1"/>
    <col min="8" max="13" width="8.5703125" style="176" customWidth="1"/>
    <col min="14" max="16" width="8.5703125" style="176" hidden="1" customWidth="1"/>
    <col min="17" max="17" width="16.42578125" style="176" hidden="1" customWidth="1"/>
    <col min="18" max="18" width="20.140625" style="176" hidden="1" customWidth="1"/>
    <col min="19" max="19" width="8.85546875" style="176" customWidth="1"/>
    <col min="20" max="20" width="10.42578125" style="176" customWidth="1"/>
    <col min="21" max="21" width="2.5703125" style="97" customWidth="1"/>
    <col min="22" max="22" width="8.5703125" style="176" hidden="1" customWidth="1"/>
    <col min="23" max="28" width="8.5703125" style="176" customWidth="1"/>
    <col min="29" max="32" width="8.5703125" style="176" hidden="1" customWidth="1"/>
    <col min="33" max="33" width="6.140625" style="176" hidden="1" customWidth="1"/>
    <col min="34" max="34" width="10.42578125" style="176" customWidth="1"/>
    <col min="35" max="35" width="10" style="176"/>
    <col min="36" max="36" width="18.85546875" style="234" bestFit="1" customWidth="1"/>
    <col min="37" max="42" width="10" style="234"/>
    <col min="43" max="43" width="10" style="235"/>
    <col min="44" max="63" width="10" style="234"/>
    <col min="64" max="64" width="10" style="418"/>
    <col min="65" max="16384" width="10" style="176"/>
  </cols>
  <sheetData>
    <row r="1" spans="2:64" ht="15" customHeight="1">
      <c r="G1" s="179"/>
      <c r="V1" s="179"/>
    </row>
    <row r="2" spans="2:64" ht="24" customHeight="1">
      <c r="B2" s="8"/>
      <c r="C2" s="51" t="str">
        <f>IF(Indice_index!$Z$1=1,"20 - Efeitos temporários/especiais na conta da Administração Central e Segurança Social","20 - Temporary/special effects on the Central Government and Social Security Account")</f>
        <v>20 - Efeitos temporários/especiais na conta da Administração Central e Segurança Social</v>
      </c>
      <c r="D2" s="51"/>
      <c r="E2" s="51"/>
      <c r="F2" s="51"/>
      <c r="G2" s="51"/>
      <c r="H2" s="51"/>
      <c r="I2" s="51"/>
      <c r="J2" s="51"/>
      <c r="K2" s="51"/>
      <c r="L2" s="51"/>
      <c r="M2" s="51"/>
      <c r="N2" s="51"/>
      <c r="O2" s="51"/>
      <c r="P2" s="51"/>
      <c r="Q2" s="51"/>
      <c r="R2" s="51"/>
      <c r="S2" s="51"/>
      <c r="T2" s="51"/>
      <c r="U2" s="51"/>
      <c r="V2" s="51"/>
      <c r="W2" s="51"/>
      <c r="X2" s="51"/>
      <c r="Y2" s="51"/>
      <c r="Z2" s="51"/>
      <c r="AA2" s="51"/>
      <c r="AB2" s="51"/>
      <c r="AC2" s="51"/>
      <c r="AD2" s="51"/>
      <c r="AE2" s="51"/>
      <c r="AF2" s="51"/>
      <c r="AG2" s="51"/>
      <c r="AH2" s="51"/>
    </row>
    <row r="3" spans="2:64" ht="30" customHeight="1">
      <c r="B3" s="50"/>
      <c r="C3" s="52"/>
      <c r="D3" s="52"/>
      <c r="E3" s="52"/>
    </row>
    <row r="4" spans="2:64" ht="15" customHeight="1">
      <c r="C4" s="821"/>
      <c r="D4" s="180"/>
      <c r="E4" s="822"/>
      <c r="G4" s="823"/>
      <c r="H4" s="823"/>
      <c r="I4" s="823"/>
      <c r="J4" s="823"/>
      <c r="K4" s="823"/>
      <c r="L4" s="180"/>
      <c r="M4" s="180"/>
      <c r="N4" s="180"/>
      <c r="O4" s="180"/>
      <c r="P4" s="180"/>
      <c r="Q4" s="180"/>
      <c r="R4" s="180"/>
      <c r="S4" s="180"/>
      <c r="T4" s="823"/>
      <c r="V4" s="823"/>
      <c r="W4" s="823"/>
      <c r="X4" s="823"/>
      <c r="Y4" s="823"/>
      <c r="Z4" s="823"/>
      <c r="AA4" s="180"/>
      <c r="AB4" s="180"/>
      <c r="AC4" s="180"/>
      <c r="AD4" s="180"/>
      <c r="AE4" s="180"/>
      <c r="AF4" s="180"/>
      <c r="AG4" s="180"/>
      <c r="AH4" s="823" t="str">
        <f>IF(Indice_index!$Z$1=1,"€ Milhões","€ Millions")</f>
        <v>€ Milhões</v>
      </c>
    </row>
    <row r="5" spans="2:64" ht="27" customHeight="1">
      <c r="C5" s="824"/>
      <c r="D5" s="824"/>
      <c r="E5" s="825" t="str">
        <f>IF(Indice_index!$Z$1=1,"Classificação económica","Economic classification")</f>
        <v>Classificação económica</v>
      </c>
      <c r="F5" s="826"/>
      <c r="G5" s="1783" t="str">
        <f>IF(Indice_index!$Z$1=1,"2021 - mensal e acumulado","2021 - monthly and cumulative")</f>
        <v>2021 - mensal e acumulado</v>
      </c>
      <c r="H5" s="1783" t="s">
        <v>15</v>
      </c>
      <c r="I5" s="1783" t="s">
        <v>15</v>
      </c>
      <c r="J5" s="1783" t="s">
        <v>15</v>
      </c>
      <c r="K5" s="1783" t="s">
        <v>15</v>
      </c>
      <c r="L5" s="1783" t="s">
        <v>15</v>
      </c>
      <c r="M5" s="1783" t="s">
        <v>15</v>
      </c>
      <c r="N5" s="1783" t="s">
        <v>15</v>
      </c>
      <c r="O5" s="1783" t="s">
        <v>15</v>
      </c>
      <c r="P5" s="1783" t="s">
        <v>15</v>
      </c>
      <c r="Q5" s="1783" t="s">
        <v>15</v>
      </c>
      <c r="R5" s="1783" t="s">
        <v>15</v>
      </c>
      <c r="S5" s="1783"/>
      <c r="T5" s="1783" t="s">
        <v>15</v>
      </c>
      <c r="U5" s="826"/>
      <c r="V5" s="1783" t="str">
        <f>IF(Indice_index!$Z$1=1,"2022 - mensal e acumulado","2022 - monthly and cumulative")</f>
        <v>2022 - mensal e acumulado</v>
      </c>
      <c r="W5" s="1783" t="s">
        <v>15</v>
      </c>
      <c r="X5" s="1783" t="s">
        <v>15</v>
      </c>
      <c r="Y5" s="1783" t="s">
        <v>15</v>
      </c>
      <c r="Z5" s="1783" t="s">
        <v>15</v>
      </c>
      <c r="AA5" s="1783" t="s">
        <v>15</v>
      </c>
      <c r="AB5" s="1783" t="s">
        <v>15</v>
      </c>
      <c r="AC5" s="1783" t="s">
        <v>15</v>
      </c>
      <c r="AD5" s="1783" t="s">
        <v>15</v>
      </c>
      <c r="AE5" s="1783" t="s">
        <v>15</v>
      </c>
      <c r="AF5" s="1783" t="s">
        <v>15</v>
      </c>
      <c r="AG5" s="1783" t="s">
        <v>15</v>
      </c>
      <c r="AH5" s="1783" t="s">
        <v>15</v>
      </c>
    </row>
    <row r="6" spans="2:64" ht="22.35" customHeight="1">
      <c r="C6" s="824"/>
      <c r="D6" s="825"/>
      <c r="E6" s="825"/>
      <c r="G6" s="825" t="str">
        <f>IF(Indice_index!$Z$1=1,"jan","Jan")</f>
        <v>jan</v>
      </c>
      <c r="H6" s="825" t="str">
        <f>IF(Indice_index!$Z$1=1,"fev","Feb")</f>
        <v>fev</v>
      </c>
      <c r="I6" s="825" t="str">
        <f>IF(Indice_index!$Z$1=1,"mar","Mar")</f>
        <v>mar</v>
      </c>
      <c r="J6" s="825" t="str">
        <f>IF(Indice_index!$Z$1=1,"abr","Apr")</f>
        <v>abr</v>
      </c>
      <c r="K6" s="825" t="str">
        <f>IF(Indice_index!$Z$1=1,"mai","May")</f>
        <v>mai</v>
      </c>
      <c r="L6" s="825" t="str">
        <f>IF(Indice_index!$Z$1=1,"jun","Jun")</f>
        <v>jun</v>
      </c>
      <c r="M6" s="825" t="str">
        <f>IF(Indice_index!$Z$1=1,"jul","Jul")</f>
        <v>jul</v>
      </c>
      <c r="N6" s="825" t="str">
        <f>IF(Indice_index!$Z$1=1,"ago","Aug")</f>
        <v>ago</v>
      </c>
      <c r="O6" s="825" t="str">
        <f>IF(Indice_index!$Z$1=1,"set","Sep")</f>
        <v>set</v>
      </c>
      <c r="P6" s="825" t="str">
        <f>IF(Indice_index!$Z$1=1,"out","Oct")</f>
        <v>out</v>
      </c>
      <c r="Q6" s="825" t="str">
        <f>IF(Indice_index!$Z$1=1,"nov","Nov")</f>
        <v>nov</v>
      </c>
      <c r="R6" s="825" t="str">
        <f>IF(Indice_index!$Z$1=1,"dez","Dec")</f>
        <v>dez</v>
      </c>
      <c r="S6" s="825" t="str">
        <f>IF(Indice_index!$Z$1=1,"Ano até à data","Year to date")</f>
        <v>Ano até à data</v>
      </c>
      <c r="T6" s="825" t="str">
        <f>IF(Indice_index!$Z$1=1,"Acumulado","Cumulative")</f>
        <v>Acumulado</v>
      </c>
      <c r="V6" s="825" t="str">
        <f>IF(Indice_index!$Z$1=1,"jan","Jan")</f>
        <v>jan</v>
      </c>
      <c r="W6" s="825" t="str">
        <f>IF(Indice_index!$Z$1=1,"fev","Feb")</f>
        <v>fev</v>
      </c>
      <c r="X6" s="825" t="str">
        <f>IF(Indice_index!$Z$1=1,"mar","Mar")</f>
        <v>mar</v>
      </c>
      <c r="Y6" s="825" t="str">
        <f>IF(Indice_index!$Z$1=1,"abr","Apr")</f>
        <v>abr</v>
      </c>
      <c r="Z6" s="825" t="str">
        <f>IF(Indice_index!$Z$1=1,"mai","May")</f>
        <v>mai</v>
      </c>
      <c r="AA6" s="825" t="str">
        <f>IF(Indice_index!$Z$1=1,"jun","Jun")</f>
        <v>jun</v>
      </c>
      <c r="AB6" s="825" t="str">
        <f>IF(Indice_index!$Z$1=1,"jul","Jul")</f>
        <v>jul</v>
      </c>
      <c r="AC6" s="825" t="str">
        <f>IF(Indice_index!$Z$1=1,"ago","Aug")</f>
        <v>ago</v>
      </c>
      <c r="AD6" s="825" t="str">
        <f>IF(Indice_index!$Z$1=1,"set","Sep")</f>
        <v>set</v>
      </c>
      <c r="AE6" s="825" t="str">
        <f>IF(Indice_index!$Z$1=1,"out","Oct")</f>
        <v>out</v>
      </c>
      <c r="AF6" s="825" t="str">
        <f>IF(Indice_index!$Z$1=1,"nov","Nov")</f>
        <v>nov</v>
      </c>
      <c r="AG6" s="825" t="str">
        <f>IF(Indice_index!$Z$1=1,"dez","Dec")</f>
        <v>dez</v>
      </c>
      <c r="AH6" s="825" t="str">
        <f>IF(Indice_index!$Z$1=1,"Acumulado","Cumulative")</f>
        <v>Acumulado</v>
      </c>
    </row>
    <row r="7" spans="2:64" ht="4.5" customHeight="1">
      <c r="D7" s="827"/>
      <c r="E7" s="828"/>
      <c r="G7" s="828"/>
      <c r="H7" s="828"/>
      <c r="I7" s="828"/>
      <c r="J7" s="828"/>
      <c r="K7" s="828"/>
      <c r="L7" s="828"/>
      <c r="M7" s="828"/>
      <c r="N7" s="828"/>
      <c r="O7" s="828"/>
      <c r="P7" s="828"/>
      <c r="Q7" s="828"/>
      <c r="R7" s="828"/>
      <c r="S7" s="828"/>
      <c r="T7" s="828"/>
      <c r="V7" s="828"/>
      <c r="W7" s="828"/>
      <c r="X7" s="828"/>
      <c r="Y7" s="828"/>
      <c r="Z7" s="828"/>
      <c r="AA7" s="828"/>
      <c r="AB7" s="828"/>
      <c r="AC7" s="828"/>
      <c r="AD7" s="828"/>
      <c r="AE7" s="828"/>
      <c r="AF7" s="828"/>
      <c r="AG7" s="828"/>
      <c r="AH7" s="828"/>
    </row>
    <row r="8" spans="2:64" s="318" customFormat="1" ht="15" customHeight="1">
      <c r="C8" s="319" t="str">
        <f>IF(Indice_index!$Z$1=1,"Receita corrente","Current revenue")</f>
        <v>Receita corrente</v>
      </c>
      <c r="D8" s="829"/>
      <c r="E8" s="829"/>
      <c r="F8" s="251"/>
      <c r="G8" s="829">
        <f>+G9+G10+G12+G15+G11</f>
        <v>58.729722030000005</v>
      </c>
      <c r="H8" s="829">
        <f>+H9+H10+H12+H15+H11</f>
        <v>49.319399959999998</v>
      </c>
      <c r="I8" s="829">
        <f t="shared" ref="I8:J8" si="0">+I9+I10+I12+I15+I11</f>
        <v>128.68634004999998</v>
      </c>
      <c r="J8" s="829">
        <f t="shared" si="0"/>
        <v>69.781900579999984</v>
      </c>
      <c r="K8" s="829">
        <f>+K9+K10+K12+K15+K11</f>
        <v>375.48363393000005</v>
      </c>
      <c r="L8" s="829">
        <f t="shared" ref="L8:N8" si="1">+L9+L10+L12+L15+L11</f>
        <v>89.418738279999999</v>
      </c>
      <c r="M8" s="829">
        <f t="shared" si="1"/>
        <v>22.32705601</v>
      </c>
      <c r="N8" s="829">
        <f t="shared" si="1"/>
        <v>16.159748709999999</v>
      </c>
      <c r="O8" s="829">
        <f>+O9+O10+O12+O15+O11</f>
        <v>22.437207060000002</v>
      </c>
      <c r="P8" s="829">
        <f t="shared" ref="P8:R8" si="2">+P9+P10+P12+P15+P11</f>
        <v>74.431590709999995</v>
      </c>
      <c r="Q8" s="829">
        <f t="shared" si="2"/>
        <v>653.0488730300001</v>
      </c>
      <c r="R8" s="829">
        <f t="shared" si="2"/>
        <v>552.70443967999995</v>
      </c>
      <c r="S8" s="829">
        <f>+S9+S10+S12+S15+S11</f>
        <v>793.74679084000013</v>
      </c>
      <c r="T8" s="829">
        <f t="shared" ref="T8" si="3">SUM(G8:R8)</f>
        <v>2112.5286500299999</v>
      </c>
      <c r="U8" s="251"/>
      <c r="V8" s="829">
        <f>+V9+V10+V12+V15+V11</f>
        <v>81.355944469999997</v>
      </c>
      <c r="W8" s="829">
        <f t="shared" ref="W8:Y8" si="4">+W9+W10+W12+W15+W11</f>
        <v>49.06931307</v>
      </c>
      <c r="X8" s="829">
        <f t="shared" si="4"/>
        <v>52.151623739999998</v>
      </c>
      <c r="Y8" s="829">
        <f t="shared" si="4"/>
        <v>52.417114399999996</v>
      </c>
      <c r="Z8" s="829">
        <f>+Z9+Z10+Z12+Z15+Z11</f>
        <v>326.45193912000002</v>
      </c>
      <c r="AA8" s="829">
        <f t="shared" ref="AA8:AC8" si="5">+AA9+AA10+AA12+AA15+AA11</f>
        <v>315.39769131000003</v>
      </c>
      <c r="AB8" s="829">
        <f t="shared" ref="AB8" si="6">+AB9+AB10+AB12+AB15+AB11</f>
        <v>33.325220420000001</v>
      </c>
      <c r="AC8" s="829">
        <f t="shared" si="5"/>
        <v>0</v>
      </c>
      <c r="AD8" s="829">
        <f>+AD9+AD10+AD12+AD15+AD11</f>
        <v>0</v>
      </c>
      <c r="AE8" s="829">
        <f t="shared" ref="AE8:AG8" si="7">+AE9+AE10+AE12+AE15+AE11</f>
        <v>0</v>
      </c>
      <c r="AF8" s="829">
        <f t="shared" si="7"/>
        <v>0</v>
      </c>
      <c r="AG8" s="829">
        <f t="shared" si="7"/>
        <v>0</v>
      </c>
      <c r="AH8" s="829">
        <f>SUM(V8:AG8)</f>
        <v>910.16884653000011</v>
      </c>
      <c r="AJ8" s="320"/>
      <c r="AK8" s="320"/>
      <c r="AL8" s="320"/>
      <c r="AM8" s="320"/>
      <c r="AN8" s="320"/>
      <c r="AO8" s="320"/>
      <c r="AP8" s="320"/>
      <c r="AQ8" s="320"/>
      <c r="AR8" s="320"/>
      <c r="AS8" s="320"/>
      <c r="AT8" s="320"/>
      <c r="AU8" s="320"/>
      <c r="AV8" s="320"/>
      <c r="AW8" s="320"/>
      <c r="AX8" s="320"/>
      <c r="AY8" s="320"/>
      <c r="AZ8" s="320"/>
      <c r="BA8" s="320"/>
      <c r="BB8" s="320"/>
      <c r="BC8" s="320"/>
      <c r="BD8" s="320"/>
      <c r="BE8" s="320"/>
      <c r="BF8" s="320"/>
      <c r="BG8" s="320"/>
      <c r="BH8" s="320"/>
      <c r="BI8" s="320"/>
      <c r="BJ8" s="320"/>
      <c r="BK8" s="320"/>
      <c r="BL8" s="419"/>
    </row>
    <row r="9" spans="2:64" s="180" customFormat="1" ht="15" customHeight="1">
      <c r="C9" s="830" t="str">
        <f>IF(Indice_index!$Z$1=1,"Impostos diretos ","Direct taxes")</f>
        <v xml:space="preserve">Impostos diretos </v>
      </c>
      <c r="D9" s="136"/>
      <c r="E9" s="136" t="s">
        <v>16</v>
      </c>
      <c r="F9" s="97"/>
      <c r="G9" s="136">
        <f t="shared" ref="G9:T11" si="8">+SUMIF($E$56:$E$85,$E9,G$56:G$85)</f>
        <v>3.7343899899999999</v>
      </c>
      <c r="H9" s="136">
        <f t="shared" si="8"/>
        <v>-0.11633714000000001</v>
      </c>
      <c r="I9" s="136">
        <f t="shared" si="8"/>
        <v>-0.24181496999999999</v>
      </c>
      <c r="J9" s="136">
        <f t="shared" si="8"/>
        <v>-6.5510680000000002E-2</v>
      </c>
      <c r="K9" s="136">
        <f t="shared" si="8"/>
        <v>3.1850899999999998E-3</v>
      </c>
      <c r="L9" s="136">
        <f t="shared" si="8"/>
        <v>-0.2503862</v>
      </c>
      <c r="M9" s="136">
        <f t="shared" si="8"/>
        <v>0.28461910000000001</v>
      </c>
      <c r="N9" s="136">
        <f t="shared" si="8"/>
        <v>5.8610000000000003E-5</v>
      </c>
      <c r="O9" s="136">
        <f t="shared" si="8"/>
        <v>6.5700255299999997</v>
      </c>
      <c r="P9" s="136">
        <f t="shared" si="8"/>
        <v>50.91310713</v>
      </c>
      <c r="Q9" s="136">
        <f t="shared" si="8"/>
        <v>50.634189110000001</v>
      </c>
      <c r="R9" s="136">
        <f t="shared" si="8"/>
        <v>356.34298188000002</v>
      </c>
      <c r="S9" s="136">
        <f>+SUMIF($E$56:$E$85,$E9,S$56:S$85)</f>
        <v>3.3481451899999999</v>
      </c>
      <c r="T9" s="136">
        <f t="shared" si="8"/>
        <v>467.80850744999998</v>
      </c>
      <c r="U9" s="97"/>
      <c r="V9" s="136">
        <f t="shared" ref="V9:AH11" si="9">+SUMIF($E$56:$E$85,$E9,V$56:V$85)</f>
        <v>1.60246394</v>
      </c>
      <c r="W9" s="136">
        <f t="shared" si="9"/>
        <v>-3.21659746</v>
      </c>
      <c r="X9" s="136">
        <f t="shared" si="9"/>
        <v>-0.23536579999999999</v>
      </c>
      <c r="Y9" s="136">
        <f t="shared" si="9"/>
        <v>-3.9654219999999997E-2</v>
      </c>
      <c r="Z9" s="136">
        <f t="shared" si="9"/>
        <v>1.1234E-4</v>
      </c>
      <c r="AA9" s="136">
        <f t="shared" si="9"/>
        <v>3.1173220000000001E-2</v>
      </c>
      <c r="AB9" s="136">
        <f t="shared" si="9"/>
        <v>-0.17013945</v>
      </c>
      <c r="AC9" s="136">
        <f t="shared" si="9"/>
        <v>0</v>
      </c>
      <c r="AD9" s="136">
        <f t="shared" si="9"/>
        <v>0</v>
      </c>
      <c r="AE9" s="136">
        <f t="shared" si="9"/>
        <v>0</v>
      </c>
      <c r="AF9" s="136">
        <f t="shared" si="9"/>
        <v>0</v>
      </c>
      <c r="AG9" s="136">
        <f t="shared" si="9"/>
        <v>0</v>
      </c>
      <c r="AH9" s="136">
        <f t="shared" si="9"/>
        <v>-2.0280074300000002</v>
      </c>
      <c r="AJ9" s="236"/>
      <c r="AK9" s="236"/>
      <c r="AL9" s="236"/>
      <c r="AM9" s="236"/>
      <c r="AN9" s="236"/>
      <c r="AO9" s="236"/>
      <c r="AP9" s="236"/>
      <c r="AQ9" s="236"/>
      <c r="AR9" s="236"/>
      <c r="AS9" s="236"/>
      <c r="AT9" s="236"/>
      <c r="AU9" s="236"/>
      <c r="AV9" s="236"/>
      <c r="AW9" s="236"/>
      <c r="AX9" s="236"/>
      <c r="AY9" s="236"/>
      <c r="AZ9" s="236"/>
      <c r="BA9" s="236"/>
      <c r="BB9" s="236"/>
      <c r="BC9" s="236"/>
      <c r="BD9" s="236"/>
      <c r="BE9" s="236"/>
      <c r="BF9" s="236"/>
      <c r="BG9" s="236"/>
      <c r="BH9" s="236"/>
      <c r="BI9" s="236"/>
      <c r="BJ9" s="236"/>
      <c r="BK9" s="236"/>
      <c r="BL9" s="418"/>
    </row>
    <row r="10" spans="2:64" s="180" customFormat="1" ht="15" customHeight="1">
      <c r="C10" s="830" t="str">
        <f>IF(Indice_index!$Z$1=1,"Impostos indiretos","Indirect taxes")</f>
        <v>Impostos indiretos</v>
      </c>
      <c r="D10" s="136"/>
      <c r="E10" s="136" t="s">
        <v>17</v>
      </c>
      <c r="F10" s="97"/>
      <c r="G10" s="136">
        <f t="shared" si="8"/>
        <v>54.282757560000007</v>
      </c>
      <c r="H10" s="136">
        <f t="shared" si="8"/>
        <v>48.575820739999997</v>
      </c>
      <c r="I10" s="136">
        <f t="shared" si="8"/>
        <v>41.067772329999997</v>
      </c>
      <c r="J10" s="136">
        <f t="shared" si="8"/>
        <v>69.096578859999994</v>
      </c>
      <c r="K10" s="136">
        <f t="shared" si="8"/>
        <v>24.17361519</v>
      </c>
      <c r="L10" s="136">
        <f t="shared" si="8"/>
        <v>14.987979920000001</v>
      </c>
      <c r="M10" s="136">
        <f t="shared" si="8"/>
        <v>21.421607989999998</v>
      </c>
      <c r="N10" s="136">
        <f t="shared" si="8"/>
        <v>15.495488809999999</v>
      </c>
      <c r="O10" s="136">
        <f t="shared" si="8"/>
        <v>15.215828910000001</v>
      </c>
      <c r="P10" s="136">
        <f t="shared" si="8"/>
        <v>22.83669562</v>
      </c>
      <c r="Q10" s="136">
        <f t="shared" si="8"/>
        <v>15.374769649999999</v>
      </c>
      <c r="R10" s="136">
        <f t="shared" si="8"/>
        <v>16.644486520000001</v>
      </c>
      <c r="S10" s="136">
        <f t="shared" si="8"/>
        <v>273.60613259000002</v>
      </c>
      <c r="T10" s="136">
        <f t="shared" si="8"/>
        <v>359.17340210000003</v>
      </c>
      <c r="U10" s="97"/>
      <c r="V10" s="136">
        <f t="shared" si="9"/>
        <v>67.751514249999985</v>
      </c>
      <c r="W10" s="136">
        <f t="shared" si="9"/>
        <v>51.575350900000004</v>
      </c>
      <c r="X10" s="136">
        <f t="shared" si="9"/>
        <v>51.780592909999996</v>
      </c>
      <c r="Y10" s="136">
        <f t="shared" si="9"/>
        <v>48.687685209999998</v>
      </c>
      <c r="Z10" s="136">
        <f t="shared" si="9"/>
        <v>14.7148579</v>
      </c>
      <c r="AA10" s="136">
        <f t="shared" si="9"/>
        <v>15.90066094</v>
      </c>
      <c r="AB10" s="136">
        <f t="shared" si="9"/>
        <v>22.435918010000002</v>
      </c>
      <c r="AC10" s="136">
        <f t="shared" si="9"/>
        <v>0</v>
      </c>
      <c r="AD10" s="136">
        <f t="shared" si="9"/>
        <v>0</v>
      </c>
      <c r="AE10" s="136">
        <f t="shared" si="9"/>
        <v>0</v>
      </c>
      <c r="AF10" s="136">
        <f t="shared" si="9"/>
        <v>0</v>
      </c>
      <c r="AG10" s="136">
        <f t="shared" si="9"/>
        <v>0</v>
      </c>
      <c r="AH10" s="136">
        <f t="shared" si="9"/>
        <v>272.84658012</v>
      </c>
      <c r="AJ10" s="236"/>
      <c r="AK10" s="236"/>
      <c r="AL10" s="236"/>
      <c r="AM10" s="236"/>
      <c r="AN10" s="236"/>
      <c r="AO10" s="236"/>
      <c r="AP10" s="236"/>
      <c r="AQ10" s="236"/>
      <c r="AR10" s="236"/>
      <c r="AS10" s="236"/>
      <c r="AT10" s="236"/>
      <c r="AU10" s="236"/>
      <c r="AV10" s="236"/>
      <c r="AW10" s="236"/>
      <c r="AX10" s="236"/>
      <c r="AY10" s="236"/>
      <c r="AZ10" s="236"/>
      <c r="BA10" s="236"/>
      <c r="BB10" s="236"/>
      <c r="BC10" s="236"/>
      <c r="BD10" s="236"/>
      <c r="BE10" s="236"/>
      <c r="BF10" s="236"/>
      <c r="BG10" s="236"/>
      <c r="BH10" s="236"/>
      <c r="BI10" s="236"/>
      <c r="BJ10" s="236"/>
      <c r="BK10" s="236"/>
      <c r="BL10" s="418"/>
    </row>
    <row r="11" spans="2:64" s="180" customFormat="1" ht="15" customHeight="1">
      <c r="C11" s="771" t="str">
        <f>IF(Indice_index!$Z$1=1,"Contribuições para Segurança Social, CGA e ADSE","Social security, CGA and ADSE contributions")</f>
        <v>Contribuições para Segurança Social, CGA e ADSE</v>
      </c>
      <c r="D11" s="136"/>
      <c r="E11" s="136" t="s">
        <v>18</v>
      </c>
      <c r="F11" s="97"/>
      <c r="G11" s="136">
        <f t="shared" si="8"/>
        <v>0</v>
      </c>
      <c r="H11" s="136">
        <f t="shared" si="8"/>
        <v>0</v>
      </c>
      <c r="I11" s="136">
        <f t="shared" si="8"/>
        <v>0</v>
      </c>
      <c r="J11" s="136">
        <f t="shared" si="8"/>
        <v>0</v>
      </c>
      <c r="K11" s="136">
        <f t="shared" si="8"/>
        <v>0</v>
      </c>
      <c r="L11" s="136">
        <f t="shared" si="8"/>
        <v>0</v>
      </c>
      <c r="M11" s="136">
        <f t="shared" si="8"/>
        <v>0</v>
      </c>
      <c r="N11" s="136">
        <f t="shared" si="8"/>
        <v>0</v>
      </c>
      <c r="O11" s="136">
        <f t="shared" si="8"/>
        <v>0</v>
      </c>
      <c r="P11" s="136">
        <f t="shared" si="8"/>
        <v>0</v>
      </c>
      <c r="Q11" s="136">
        <f t="shared" si="8"/>
        <v>0</v>
      </c>
      <c r="R11" s="136">
        <f t="shared" si="8"/>
        <v>0</v>
      </c>
      <c r="S11" s="136">
        <f t="shared" si="8"/>
        <v>0</v>
      </c>
      <c r="T11" s="136">
        <f t="shared" si="8"/>
        <v>0</v>
      </c>
      <c r="U11" s="97"/>
      <c r="V11" s="136">
        <f t="shared" si="9"/>
        <v>0</v>
      </c>
      <c r="W11" s="136">
        <f t="shared" si="9"/>
        <v>0</v>
      </c>
      <c r="X11" s="136">
        <f t="shared" si="9"/>
        <v>0</v>
      </c>
      <c r="Y11" s="136">
        <f t="shared" si="9"/>
        <v>0</v>
      </c>
      <c r="Z11" s="136">
        <f t="shared" si="9"/>
        <v>0</v>
      </c>
      <c r="AA11" s="136">
        <f t="shared" si="9"/>
        <v>0</v>
      </c>
      <c r="AB11" s="136">
        <f t="shared" si="9"/>
        <v>0</v>
      </c>
      <c r="AC11" s="136">
        <f t="shared" si="9"/>
        <v>0</v>
      </c>
      <c r="AD11" s="136">
        <f t="shared" si="9"/>
        <v>0</v>
      </c>
      <c r="AE11" s="136">
        <f t="shared" si="9"/>
        <v>0</v>
      </c>
      <c r="AF11" s="136">
        <f t="shared" si="9"/>
        <v>0</v>
      </c>
      <c r="AG11" s="136">
        <f t="shared" si="9"/>
        <v>0</v>
      </c>
      <c r="AH11" s="136">
        <f t="shared" si="9"/>
        <v>0</v>
      </c>
      <c r="AJ11" s="236"/>
      <c r="AK11" s="236"/>
      <c r="AL11" s="236"/>
      <c r="AM11" s="236"/>
      <c r="AN11" s="236"/>
      <c r="AO11" s="236"/>
      <c r="AP11" s="236"/>
      <c r="AQ11" s="236"/>
      <c r="AR11" s="236"/>
      <c r="AS11" s="236"/>
      <c r="AT11" s="236"/>
      <c r="AU11" s="236"/>
      <c r="AV11" s="236"/>
      <c r="AW11" s="236"/>
      <c r="AX11" s="236"/>
      <c r="AY11" s="236"/>
      <c r="AZ11" s="236"/>
      <c r="BA11" s="236"/>
      <c r="BB11" s="236"/>
      <c r="BC11" s="236"/>
      <c r="BD11" s="236"/>
      <c r="BE11" s="236"/>
      <c r="BF11" s="236"/>
      <c r="BG11" s="236"/>
      <c r="BH11" s="236"/>
      <c r="BI11" s="236"/>
      <c r="BJ11" s="236"/>
      <c r="BK11" s="236"/>
      <c r="BL11" s="418"/>
    </row>
    <row r="12" spans="2:64" s="180" customFormat="1" ht="15" customHeight="1">
      <c r="C12" s="830" t="str">
        <f>IF(Indice_index!$Z$1=1,"Transferências Correntes","Current transfers")</f>
        <v>Transferências Correntes</v>
      </c>
      <c r="D12" s="136"/>
      <c r="E12" s="136" t="s">
        <v>19</v>
      </c>
      <c r="F12" s="97"/>
      <c r="G12" s="136">
        <f t="shared" ref="G12:T12" si="10">+G13+G14</f>
        <v>0</v>
      </c>
      <c r="H12" s="136">
        <f t="shared" si="10"/>
        <v>0</v>
      </c>
      <c r="I12" s="136">
        <f t="shared" si="10"/>
        <v>0</v>
      </c>
      <c r="J12" s="136">
        <f t="shared" si="10"/>
        <v>0</v>
      </c>
      <c r="K12" s="136">
        <f t="shared" si="10"/>
        <v>0</v>
      </c>
      <c r="L12" s="136">
        <f t="shared" si="10"/>
        <v>0</v>
      </c>
      <c r="M12" s="136">
        <f t="shared" si="10"/>
        <v>0</v>
      </c>
      <c r="N12" s="136">
        <f t="shared" si="10"/>
        <v>0</v>
      </c>
      <c r="O12" s="136">
        <f t="shared" si="10"/>
        <v>0</v>
      </c>
      <c r="P12" s="136">
        <f t="shared" si="10"/>
        <v>0</v>
      </c>
      <c r="Q12" s="136">
        <f t="shared" si="10"/>
        <v>0</v>
      </c>
      <c r="R12" s="136">
        <f t="shared" si="10"/>
        <v>0</v>
      </c>
      <c r="S12" s="136">
        <f t="shared" si="10"/>
        <v>0</v>
      </c>
      <c r="T12" s="136">
        <f t="shared" si="10"/>
        <v>0</v>
      </c>
      <c r="U12" s="97"/>
      <c r="V12" s="136">
        <f t="shared" ref="V12:AH12" si="11">+V13+V14</f>
        <v>0</v>
      </c>
      <c r="W12" s="136">
        <f t="shared" si="11"/>
        <v>0</v>
      </c>
      <c r="X12" s="136">
        <f t="shared" si="11"/>
        <v>0</v>
      </c>
      <c r="Y12" s="136">
        <f t="shared" si="11"/>
        <v>0</v>
      </c>
      <c r="Z12" s="136">
        <f t="shared" si="11"/>
        <v>0</v>
      </c>
      <c r="AA12" s="136">
        <f t="shared" si="11"/>
        <v>0</v>
      </c>
      <c r="AB12" s="136">
        <f t="shared" ref="AB12" si="12">+AB13+AB14</f>
        <v>0</v>
      </c>
      <c r="AC12" s="136">
        <f t="shared" si="11"/>
        <v>0</v>
      </c>
      <c r="AD12" s="136">
        <f t="shared" si="11"/>
        <v>0</v>
      </c>
      <c r="AE12" s="136">
        <f t="shared" si="11"/>
        <v>0</v>
      </c>
      <c r="AF12" s="136">
        <f t="shared" si="11"/>
        <v>0</v>
      </c>
      <c r="AG12" s="136">
        <f t="shared" si="11"/>
        <v>0</v>
      </c>
      <c r="AH12" s="136">
        <f t="shared" si="11"/>
        <v>0</v>
      </c>
      <c r="AJ12" s="236"/>
      <c r="AK12" s="236"/>
      <c r="AL12" s="236"/>
      <c r="AM12" s="236"/>
      <c r="AN12" s="236"/>
      <c r="AO12" s="236"/>
      <c r="AP12" s="236"/>
      <c r="AQ12" s="236"/>
      <c r="AR12" s="236"/>
      <c r="AS12" s="236"/>
      <c r="AT12" s="236"/>
      <c r="AU12" s="236"/>
      <c r="AV12" s="236"/>
      <c r="AW12" s="236"/>
      <c r="AX12" s="236"/>
      <c r="AY12" s="236"/>
      <c r="AZ12" s="236"/>
      <c r="BA12" s="236"/>
      <c r="BB12" s="236"/>
      <c r="BC12" s="236"/>
      <c r="BD12" s="236"/>
      <c r="BE12" s="236"/>
      <c r="BF12" s="236"/>
      <c r="BG12" s="236"/>
      <c r="BH12" s="236"/>
      <c r="BI12" s="236"/>
      <c r="BJ12" s="236"/>
      <c r="BK12" s="236"/>
      <c r="BL12" s="418"/>
    </row>
    <row r="13" spans="2:64" s="180" customFormat="1" ht="15" customHeight="1">
      <c r="C13" s="831" t="str">
        <f>IF(Indice_index!$Z$1=1,"Administrações Públicas","General Government subsectors")</f>
        <v>Administrações Públicas</v>
      </c>
      <c r="D13" s="136"/>
      <c r="E13" s="136" t="s">
        <v>20</v>
      </c>
      <c r="F13" s="97"/>
      <c r="G13" s="136">
        <f t="shared" ref="G13:T15" si="13">+SUMIF($E$56:$E$85,$E13,G$56:G$85)</f>
        <v>0</v>
      </c>
      <c r="H13" s="136">
        <f t="shared" si="13"/>
        <v>0</v>
      </c>
      <c r="I13" s="136">
        <f t="shared" si="13"/>
        <v>0</v>
      </c>
      <c r="J13" s="136">
        <f t="shared" si="13"/>
        <v>0</v>
      </c>
      <c r="K13" s="136">
        <f t="shared" si="13"/>
        <v>0</v>
      </c>
      <c r="L13" s="136">
        <f t="shared" si="13"/>
        <v>0</v>
      </c>
      <c r="M13" s="136">
        <f t="shared" si="13"/>
        <v>0</v>
      </c>
      <c r="N13" s="136">
        <f t="shared" si="13"/>
        <v>0</v>
      </c>
      <c r="O13" s="136">
        <f t="shared" si="13"/>
        <v>0</v>
      </c>
      <c r="P13" s="136">
        <f t="shared" si="13"/>
        <v>0</v>
      </c>
      <c r="Q13" s="136">
        <f t="shared" si="13"/>
        <v>0</v>
      </c>
      <c r="R13" s="136">
        <f t="shared" si="13"/>
        <v>0</v>
      </c>
      <c r="S13" s="136">
        <f t="shared" si="13"/>
        <v>0</v>
      </c>
      <c r="T13" s="136">
        <f t="shared" si="13"/>
        <v>0</v>
      </c>
      <c r="U13" s="97"/>
      <c r="V13" s="136">
        <f t="shared" ref="V13:AH15" si="14">+SUMIF($E$56:$E$85,$E13,V$56:V$85)</f>
        <v>0</v>
      </c>
      <c r="W13" s="136">
        <f t="shared" si="14"/>
        <v>0</v>
      </c>
      <c r="X13" s="136">
        <f t="shared" si="14"/>
        <v>0</v>
      </c>
      <c r="Y13" s="136">
        <f t="shared" si="14"/>
        <v>0</v>
      </c>
      <c r="Z13" s="136">
        <f t="shared" si="14"/>
        <v>0</v>
      </c>
      <c r="AA13" s="136">
        <f t="shared" si="14"/>
        <v>0</v>
      </c>
      <c r="AB13" s="136">
        <f t="shared" si="14"/>
        <v>0</v>
      </c>
      <c r="AC13" s="136">
        <f t="shared" si="14"/>
        <v>0</v>
      </c>
      <c r="AD13" s="136">
        <f t="shared" si="14"/>
        <v>0</v>
      </c>
      <c r="AE13" s="136">
        <f t="shared" si="14"/>
        <v>0</v>
      </c>
      <c r="AF13" s="136">
        <f t="shared" si="14"/>
        <v>0</v>
      </c>
      <c r="AG13" s="136">
        <f t="shared" si="14"/>
        <v>0</v>
      </c>
      <c r="AH13" s="136">
        <f t="shared" si="14"/>
        <v>0</v>
      </c>
      <c r="AJ13" s="236"/>
      <c r="AK13" s="236"/>
      <c r="AL13" s="236"/>
      <c r="AM13" s="236"/>
      <c r="AN13" s="236"/>
      <c r="AO13" s="236"/>
      <c r="AP13" s="236"/>
      <c r="AQ13" s="236"/>
      <c r="AR13" s="236"/>
      <c r="AS13" s="236"/>
      <c r="AT13" s="236"/>
      <c r="AU13" s="236"/>
      <c r="AV13" s="236"/>
      <c r="AW13" s="236"/>
      <c r="AX13" s="236"/>
      <c r="AY13" s="236"/>
      <c r="AZ13" s="236"/>
      <c r="BA13" s="236"/>
      <c r="BB13" s="236"/>
      <c r="BC13" s="236"/>
      <c r="BD13" s="236"/>
      <c r="BE13" s="236"/>
      <c r="BF13" s="236"/>
      <c r="BG13" s="236"/>
      <c r="BH13" s="236"/>
      <c r="BI13" s="236"/>
      <c r="BJ13" s="236"/>
      <c r="BK13" s="236"/>
      <c r="BL13" s="418"/>
    </row>
    <row r="14" spans="2:64" s="180" customFormat="1" ht="15" customHeight="1">
      <c r="C14" s="831" t="str">
        <f>IF(Indice_index!$Z$1=1,"Outras","Others")</f>
        <v>Outras</v>
      </c>
      <c r="D14" s="136"/>
      <c r="E14" s="136" t="s">
        <v>21</v>
      </c>
      <c r="F14" s="97"/>
      <c r="G14" s="136">
        <f t="shared" si="13"/>
        <v>0</v>
      </c>
      <c r="H14" s="136">
        <f t="shared" si="13"/>
        <v>0</v>
      </c>
      <c r="I14" s="136">
        <f t="shared" si="13"/>
        <v>0</v>
      </c>
      <c r="J14" s="136">
        <f t="shared" si="13"/>
        <v>0</v>
      </c>
      <c r="K14" s="136">
        <f t="shared" si="13"/>
        <v>0</v>
      </c>
      <c r="L14" s="136">
        <f t="shared" si="13"/>
        <v>0</v>
      </c>
      <c r="M14" s="136">
        <f t="shared" si="13"/>
        <v>0</v>
      </c>
      <c r="N14" s="136">
        <f t="shared" si="13"/>
        <v>0</v>
      </c>
      <c r="O14" s="136">
        <f t="shared" si="13"/>
        <v>0</v>
      </c>
      <c r="P14" s="136">
        <f t="shared" si="13"/>
        <v>0</v>
      </c>
      <c r="Q14" s="136">
        <f t="shared" si="13"/>
        <v>0</v>
      </c>
      <c r="R14" s="136">
        <f t="shared" si="13"/>
        <v>0</v>
      </c>
      <c r="S14" s="136">
        <f t="shared" si="13"/>
        <v>0</v>
      </c>
      <c r="T14" s="136">
        <f t="shared" si="13"/>
        <v>0</v>
      </c>
      <c r="U14" s="97"/>
      <c r="V14" s="136">
        <f t="shared" si="14"/>
        <v>0</v>
      </c>
      <c r="W14" s="136">
        <f t="shared" si="14"/>
        <v>0</v>
      </c>
      <c r="X14" s="136">
        <f t="shared" si="14"/>
        <v>0</v>
      </c>
      <c r="Y14" s="136">
        <f t="shared" si="14"/>
        <v>0</v>
      </c>
      <c r="Z14" s="136">
        <f t="shared" si="14"/>
        <v>0</v>
      </c>
      <c r="AA14" s="136">
        <f t="shared" si="14"/>
        <v>0</v>
      </c>
      <c r="AB14" s="136">
        <f t="shared" si="14"/>
        <v>0</v>
      </c>
      <c r="AC14" s="136">
        <f t="shared" si="14"/>
        <v>0</v>
      </c>
      <c r="AD14" s="136">
        <f t="shared" si="14"/>
        <v>0</v>
      </c>
      <c r="AE14" s="136">
        <f t="shared" si="14"/>
        <v>0</v>
      </c>
      <c r="AF14" s="136">
        <f t="shared" si="14"/>
        <v>0</v>
      </c>
      <c r="AG14" s="136">
        <f t="shared" si="14"/>
        <v>0</v>
      </c>
      <c r="AH14" s="136">
        <f t="shared" si="14"/>
        <v>0</v>
      </c>
      <c r="AJ14" s="236"/>
      <c r="AK14" s="236"/>
      <c r="AL14" s="236"/>
      <c r="AM14" s="236"/>
      <c r="AN14" s="236"/>
      <c r="AO14" s="236"/>
      <c r="AP14" s="236"/>
      <c r="AQ14" s="236"/>
      <c r="AR14" s="236"/>
      <c r="AS14" s="236"/>
      <c r="AT14" s="236"/>
      <c r="AU14" s="236"/>
      <c r="AV14" s="236"/>
      <c r="AW14" s="236"/>
      <c r="AX14" s="236"/>
      <c r="AY14" s="236"/>
      <c r="AZ14" s="236"/>
      <c r="BA14" s="236"/>
      <c r="BB14" s="236"/>
      <c r="BC14" s="236"/>
      <c r="BD14" s="236"/>
      <c r="BE14" s="236"/>
      <c r="BF14" s="236"/>
      <c r="BG14" s="236"/>
      <c r="BH14" s="236"/>
      <c r="BI14" s="236"/>
      <c r="BJ14" s="236"/>
      <c r="BK14" s="236"/>
      <c r="BL14" s="418"/>
    </row>
    <row r="15" spans="2:64" s="180" customFormat="1" ht="15" customHeight="1">
      <c r="C15" s="830" t="str">
        <f>IF(Indice_index!$Z$1=1,"Outras receitas correntes","Other current revenue")</f>
        <v>Outras receitas correntes</v>
      </c>
      <c r="D15" s="136"/>
      <c r="E15" s="136" t="s">
        <v>58</v>
      </c>
      <c r="F15" s="97"/>
      <c r="G15" s="136">
        <f t="shared" si="13"/>
        <v>0.71257448000000001</v>
      </c>
      <c r="H15" s="136">
        <f t="shared" si="13"/>
        <v>0.85991636000000005</v>
      </c>
      <c r="I15" s="136">
        <f t="shared" si="13"/>
        <v>87.860382689999994</v>
      </c>
      <c r="J15" s="136">
        <f t="shared" si="13"/>
        <v>0.75083239999999973</v>
      </c>
      <c r="K15" s="136">
        <f t="shared" si="13"/>
        <v>351.30683365000004</v>
      </c>
      <c r="L15" s="136">
        <f t="shared" si="13"/>
        <v>74.681144559999993</v>
      </c>
      <c r="M15" s="136">
        <f t="shared" si="13"/>
        <v>0.62082892000000001</v>
      </c>
      <c r="N15" s="136">
        <f t="shared" si="13"/>
        <v>0.66420129000000006</v>
      </c>
      <c r="O15" s="136">
        <f t="shared" si="13"/>
        <v>0.65135262000000005</v>
      </c>
      <c r="P15" s="136">
        <f t="shared" si="13"/>
        <v>0.68178795999999997</v>
      </c>
      <c r="Q15" s="136">
        <f t="shared" si="13"/>
        <v>587.03991427000005</v>
      </c>
      <c r="R15" s="136">
        <f t="shared" si="13"/>
        <v>179.71697128</v>
      </c>
      <c r="S15" s="136">
        <f t="shared" si="13"/>
        <v>516.79251306000003</v>
      </c>
      <c r="T15" s="136">
        <f t="shared" si="13"/>
        <v>1285.5467404799999</v>
      </c>
      <c r="U15" s="97"/>
      <c r="V15" s="136">
        <f t="shared" si="14"/>
        <v>12.00196628</v>
      </c>
      <c r="W15" s="136">
        <f t="shared" si="14"/>
        <v>0.71055963</v>
      </c>
      <c r="X15" s="136">
        <f t="shared" si="14"/>
        <v>0.60639662999999999</v>
      </c>
      <c r="Y15" s="136">
        <f t="shared" si="14"/>
        <v>3.7690834099999999</v>
      </c>
      <c r="Z15" s="136">
        <f t="shared" si="14"/>
        <v>311.73696888000001</v>
      </c>
      <c r="AA15" s="136">
        <f t="shared" si="14"/>
        <v>299.46585715000003</v>
      </c>
      <c r="AB15" s="136">
        <f t="shared" si="14"/>
        <v>11.05944186</v>
      </c>
      <c r="AC15" s="136">
        <f t="shared" si="14"/>
        <v>0</v>
      </c>
      <c r="AD15" s="136">
        <f t="shared" si="14"/>
        <v>0</v>
      </c>
      <c r="AE15" s="136">
        <f t="shared" si="14"/>
        <v>0</v>
      </c>
      <c r="AF15" s="136">
        <f t="shared" si="14"/>
        <v>0</v>
      </c>
      <c r="AG15" s="136">
        <f t="shared" si="14"/>
        <v>0</v>
      </c>
      <c r="AH15" s="136">
        <f t="shared" si="14"/>
        <v>639.35027384</v>
      </c>
      <c r="AJ15" s="236"/>
      <c r="AK15" s="236"/>
      <c r="AL15" s="236"/>
      <c r="AM15" s="236"/>
      <c r="AN15" s="236"/>
      <c r="AO15" s="236"/>
      <c r="AP15" s="236"/>
      <c r="AQ15" s="236"/>
      <c r="AR15" s="236"/>
      <c r="AS15" s="236"/>
      <c r="AT15" s="236"/>
      <c r="AU15" s="236"/>
      <c r="AV15" s="236"/>
      <c r="AW15" s="236"/>
      <c r="AX15" s="236"/>
      <c r="AY15" s="236"/>
      <c r="AZ15" s="236"/>
      <c r="BA15" s="236"/>
      <c r="BB15" s="236"/>
      <c r="BC15" s="236"/>
      <c r="BD15" s="236"/>
      <c r="BE15" s="236"/>
      <c r="BF15" s="236"/>
      <c r="BG15" s="236"/>
      <c r="BH15" s="236"/>
      <c r="BI15" s="236"/>
      <c r="BJ15" s="236"/>
      <c r="BK15" s="236"/>
      <c r="BL15" s="418"/>
    </row>
    <row r="16" spans="2:64" s="318" customFormat="1" ht="15" customHeight="1">
      <c r="C16" s="319" t="str">
        <f>IF(Indice_index!$Z$1=1,"Receita de capital","Capital revenue")</f>
        <v>Receita de capital</v>
      </c>
      <c r="D16" s="829"/>
      <c r="E16" s="829"/>
      <c r="F16" s="251"/>
      <c r="G16" s="829">
        <f t="shared" ref="G16:T16" si="15">+G17+G18+G21</f>
        <v>0</v>
      </c>
      <c r="H16" s="829">
        <f t="shared" si="15"/>
        <v>26.836077</v>
      </c>
      <c r="I16" s="829">
        <f t="shared" si="15"/>
        <v>0</v>
      </c>
      <c r="J16" s="829">
        <f t="shared" si="15"/>
        <v>0</v>
      </c>
      <c r="K16" s="829">
        <f t="shared" si="15"/>
        <v>0</v>
      </c>
      <c r="L16" s="829">
        <f t="shared" si="15"/>
        <v>0</v>
      </c>
      <c r="M16" s="829">
        <f t="shared" si="15"/>
        <v>0</v>
      </c>
      <c r="N16" s="829">
        <f t="shared" si="15"/>
        <v>0</v>
      </c>
      <c r="O16" s="829">
        <f t="shared" si="15"/>
        <v>0</v>
      </c>
      <c r="P16" s="829">
        <f t="shared" si="15"/>
        <v>0</v>
      </c>
      <c r="Q16" s="829">
        <f t="shared" si="15"/>
        <v>0</v>
      </c>
      <c r="R16" s="829">
        <f t="shared" si="15"/>
        <v>0</v>
      </c>
      <c r="S16" s="829">
        <f t="shared" si="15"/>
        <v>26.836077</v>
      </c>
      <c r="T16" s="829">
        <f t="shared" si="15"/>
        <v>26.836077</v>
      </c>
      <c r="U16" s="251"/>
      <c r="V16" s="829">
        <f t="shared" ref="V16:AH16" si="16">+V17+V18+V21</f>
        <v>0</v>
      </c>
      <c r="W16" s="829">
        <f t="shared" si="16"/>
        <v>0</v>
      </c>
      <c r="X16" s="829">
        <f t="shared" si="16"/>
        <v>30</v>
      </c>
      <c r="Y16" s="829">
        <f t="shared" si="16"/>
        <v>0</v>
      </c>
      <c r="Z16" s="829">
        <f t="shared" si="16"/>
        <v>0</v>
      </c>
      <c r="AA16" s="829">
        <f t="shared" si="16"/>
        <v>0</v>
      </c>
      <c r="AB16" s="829">
        <f t="shared" ref="AB16" si="17">+AB17+AB18+AB21</f>
        <v>0</v>
      </c>
      <c r="AC16" s="829">
        <f t="shared" si="16"/>
        <v>0</v>
      </c>
      <c r="AD16" s="829">
        <f t="shared" si="16"/>
        <v>0</v>
      </c>
      <c r="AE16" s="829">
        <f t="shared" si="16"/>
        <v>0</v>
      </c>
      <c r="AF16" s="829">
        <f t="shared" si="16"/>
        <v>0</v>
      </c>
      <c r="AG16" s="829">
        <f t="shared" si="16"/>
        <v>0</v>
      </c>
      <c r="AH16" s="829">
        <f t="shared" si="16"/>
        <v>30</v>
      </c>
      <c r="AJ16" s="320"/>
      <c r="AK16" s="320"/>
      <c r="AL16" s="320"/>
      <c r="AM16" s="320"/>
      <c r="AN16" s="320"/>
      <c r="AO16" s="320"/>
      <c r="AP16" s="320"/>
      <c r="AQ16" s="320"/>
      <c r="AR16" s="320"/>
      <c r="AS16" s="320"/>
      <c r="AT16" s="320"/>
      <c r="AU16" s="320"/>
      <c r="AV16" s="320"/>
      <c r="AW16" s="320"/>
      <c r="AX16" s="320"/>
      <c r="AY16" s="320"/>
      <c r="AZ16" s="320"/>
      <c r="BA16" s="320"/>
      <c r="BB16" s="320"/>
      <c r="BC16" s="320"/>
      <c r="BD16" s="320"/>
      <c r="BE16" s="320"/>
      <c r="BF16" s="320"/>
      <c r="BG16" s="320"/>
      <c r="BH16" s="320"/>
      <c r="BI16" s="320"/>
      <c r="BJ16" s="320"/>
      <c r="BK16" s="320"/>
      <c r="BL16" s="419"/>
    </row>
    <row r="17" spans="3:64" s="180" customFormat="1" ht="15" customHeight="1">
      <c r="C17" s="830" t="str">
        <f>IF(Indice_index!$Z$1=1,"Venda de bens de investimento","Sale of investment good")</f>
        <v>Venda de bens de investimento</v>
      </c>
      <c r="D17" s="136"/>
      <c r="E17" s="136" t="s">
        <v>22</v>
      </c>
      <c r="F17" s="97"/>
      <c r="G17" s="136">
        <f t="shared" ref="G17:T17" si="18">+SUMIF($E$56:$E$85,$E17,G$56:G$85)</f>
        <v>0</v>
      </c>
      <c r="H17" s="136">
        <f t="shared" si="18"/>
        <v>26.836077</v>
      </c>
      <c r="I17" s="136">
        <f t="shared" si="18"/>
        <v>0</v>
      </c>
      <c r="J17" s="136">
        <f t="shared" si="18"/>
        <v>0</v>
      </c>
      <c r="K17" s="136">
        <f t="shared" si="18"/>
        <v>0</v>
      </c>
      <c r="L17" s="136">
        <f t="shared" si="18"/>
        <v>0</v>
      </c>
      <c r="M17" s="136">
        <f t="shared" si="18"/>
        <v>0</v>
      </c>
      <c r="N17" s="136">
        <f t="shared" si="18"/>
        <v>0</v>
      </c>
      <c r="O17" s="136">
        <f t="shared" si="18"/>
        <v>0</v>
      </c>
      <c r="P17" s="136">
        <f t="shared" si="18"/>
        <v>0</v>
      </c>
      <c r="Q17" s="136">
        <f t="shared" si="18"/>
        <v>0</v>
      </c>
      <c r="R17" s="136">
        <f t="shared" si="18"/>
        <v>0</v>
      </c>
      <c r="S17" s="136">
        <f t="shared" si="18"/>
        <v>26.836077</v>
      </c>
      <c r="T17" s="136">
        <f t="shared" si="18"/>
        <v>26.836077</v>
      </c>
      <c r="U17" s="97"/>
      <c r="V17" s="136">
        <f t="shared" ref="V17:AH17" si="19">+SUMIF($E$56:$E$85,$E17,V$56:V$85)</f>
        <v>0</v>
      </c>
      <c r="W17" s="136">
        <f t="shared" si="19"/>
        <v>0</v>
      </c>
      <c r="X17" s="136">
        <f t="shared" si="19"/>
        <v>30</v>
      </c>
      <c r="Y17" s="136">
        <f t="shared" si="19"/>
        <v>0</v>
      </c>
      <c r="Z17" s="136">
        <f t="shared" si="19"/>
        <v>0</v>
      </c>
      <c r="AA17" s="136">
        <f t="shared" si="19"/>
        <v>0</v>
      </c>
      <c r="AB17" s="136">
        <f t="shared" si="19"/>
        <v>0</v>
      </c>
      <c r="AC17" s="136">
        <f t="shared" si="19"/>
        <v>0</v>
      </c>
      <c r="AD17" s="136">
        <f t="shared" si="19"/>
        <v>0</v>
      </c>
      <c r="AE17" s="136">
        <f t="shared" si="19"/>
        <v>0</v>
      </c>
      <c r="AF17" s="136">
        <f t="shared" si="19"/>
        <v>0</v>
      </c>
      <c r="AG17" s="136">
        <f t="shared" si="19"/>
        <v>0</v>
      </c>
      <c r="AH17" s="136">
        <f t="shared" si="19"/>
        <v>30</v>
      </c>
      <c r="AJ17" s="236"/>
      <c r="AK17" s="236"/>
      <c r="AL17" s="236"/>
      <c r="AM17" s="236"/>
      <c r="AN17" s="236"/>
      <c r="AO17" s="236"/>
      <c r="AP17" s="236"/>
      <c r="AQ17" s="236"/>
      <c r="AR17" s="236"/>
      <c r="AS17" s="236"/>
      <c r="AT17" s="236"/>
      <c r="AU17" s="236"/>
      <c r="AV17" s="236"/>
      <c r="AW17" s="236"/>
      <c r="AX17" s="236"/>
      <c r="AY17" s="236"/>
      <c r="AZ17" s="236"/>
      <c r="BA17" s="236"/>
      <c r="BB17" s="236"/>
      <c r="BC17" s="236"/>
      <c r="BD17" s="236"/>
      <c r="BE17" s="236"/>
      <c r="BF17" s="236"/>
      <c r="BG17" s="236"/>
      <c r="BH17" s="236"/>
      <c r="BI17" s="236"/>
      <c r="BJ17" s="236"/>
      <c r="BK17" s="236"/>
      <c r="BL17" s="418"/>
    </row>
    <row r="18" spans="3:64" s="180" customFormat="1" ht="15" customHeight="1">
      <c r="C18" s="830" t="str">
        <f>IF(Indice_index!$Z$1=1,"Transferências de Capital","Capital transfers")</f>
        <v>Transferências de Capital</v>
      </c>
      <c r="D18" s="136"/>
      <c r="E18" s="136" t="s">
        <v>23</v>
      </c>
      <c r="F18" s="97"/>
      <c r="G18" s="136">
        <f t="shared" ref="G18:T18" si="20">+G19+G20</f>
        <v>0</v>
      </c>
      <c r="H18" s="136">
        <f t="shared" si="20"/>
        <v>0</v>
      </c>
      <c r="I18" s="136">
        <f t="shared" si="20"/>
        <v>0</v>
      </c>
      <c r="J18" s="136">
        <f t="shared" si="20"/>
        <v>0</v>
      </c>
      <c r="K18" s="136">
        <f t="shared" si="20"/>
        <v>0</v>
      </c>
      <c r="L18" s="136">
        <f t="shared" si="20"/>
        <v>0</v>
      </c>
      <c r="M18" s="136">
        <f t="shared" si="20"/>
        <v>0</v>
      </c>
      <c r="N18" s="136">
        <f t="shared" si="20"/>
        <v>0</v>
      </c>
      <c r="O18" s="136">
        <f t="shared" si="20"/>
        <v>0</v>
      </c>
      <c r="P18" s="136">
        <f t="shared" si="20"/>
        <v>0</v>
      </c>
      <c r="Q18" s="136">
        <f t="shared" si="20"/>
        <v>0</v>
      </c>
      <c r="R18" s="136">
        <f t="shared" si="20"/>
        <v>0</v>
      </c>
      <c r="S18" s="136">
        <f t="shared" si="20"/>
        <v>0</v>
      </c>
      <c r="T18" s="136">
        <f t="shared" si="20"/>
        <v>0</v>
      </c>
      <c r="U18" s="97"/>
      <c r="V18" s="136">
        <f t="shared" ref="V18:AH18" si="21">+V19+V20</f>
        <v>0</v>
      </c>
      <c r="W18" s="136">
        <f t="shared" si="21"/>
        <v>0</v>
      </c>
      <c r="X18" s="136">
        <f t="shared" si="21"/>
        <v>0</v>
      </c>
      <c r="Y18" s="136">
        <f t="shared" si="21"/>
        <v>0</v>
      </c>
      <c r="Z18" s="136">
        <f t="shared" si="21"/>
        <v>0</v>
      </c>
      <c r="AA18" s="136">
        <f t="shared" si="21"/>
        <v>0</v>
      </c>
      <c r="AB18" s="136">
        <f t="shared" ref="AB18" si="22">+AB19+AB20</f>
        <v>0</v>
      </c>
      <c r="AC18" s="136">
        <f t="shared" si="21"/>
        <v>0</v>
      </c>
      <c r="AD18" s="136">
        <f t="shared" si="21"/>
        <v>0</v>
      </c>
      <c r="AE18" s="136">
        <f t="shared" si="21"/>
        <v>0</v>
      </c>
      <c r="AF18" s="136">
        <f t="shared" si="21"/>
        <v>0</v>
      </c>
      <c r="AG18" s="136">
        <f t="shared" si="21"/>
        <v>0</v>
      </c>
      <c r="AH18" s="136">
        <f t="shared" si="21"/>
        <v>0</v>
      </c>
      <c r="AJ18" s="236"/>
      <c r="AK18" s="236"/>
      <c r="AL18" s="236"/>
      <c r="AM18" s="236"/>
      <c r="AN18" s="236"/>
      <c r="AO18" s="236"/>
      <c r="AP18" s="236"/>
      <c r="AQ18" s="236"/>
      <c r="AR18" s="236"/>
      <c r="AS18" s="236"/>
      <c r="AT18" s="236"/>
      <c r="AU18" s="236"/>
      <c r="AV18" s="236"/>
      <c r="AW18" s="236"/>
      <c r="AX18" s="236"/>
      <c r="AY18" s="236"/>
      <c r="AZ18" s="236"/>
      <c r="BA18" s="236"/>
      <c r="BB18" s="236"/>
      <c r="BC18" s="236"/>
      <c r="BD18" s="236"/>
      <c r="BE18" s="236"/>
      <c r="BF18" s="236"/>
      <c r="BG18" s="236"/>
      <c r="BH18" s="236"/>
      <c r="BI18" s="236"/>
      <c r="BJ18" s="236"/>
      <c r="BK18" s="236"/>
      <c r="BL18" s="418"/>
    </row>
    <row r="19" spans="3:64" s="180" customFormat="1" ht="15" customHeight="1">
      <c r="C19" s="831" t="str">
        <f>IF(Indice_index!$Z$1=1,"Administrações Públicas","General Government subsectors")</f>
        <v>Administrações Públicas</v>
      </c>
      <c r="D19" s="136"/>
      <c r="E19" s="136" t="s">
        <v>24</v>
      </c>
      <c r="F19" s="97"/>
      <c r="G19" s="136">
        <f t="shared" ref="G19:T21" si="23">+SUMIF($E$56:$E$85,$E19,G$56:G$85)</f>
        <v>0</v>
      </c>
      <c r="H19" s="136">
        <f t="shared" si="23"/>
        <v>0</v>
      </c>
      <c r="I19" s="136">
        <f t="shared" si="23"/>
        <v>0</v>
      </c>
      <c r="J19" s="136">
        <f t="shared" si="23"/>
        <v>0</v>
      </c>
      <c r="K19" s="136">
        <f t="shared" si="23"/>
        <v>0</v>
      </c>
      <c r="L19" s="136">
        <f t="shared" si="23"/>
        <v>0</v>
      </c>
      <c r="M19" s="136">
        <f t="shared" si="23"/>
        <v>0</v>
      </c>
      <c r="N19" s="136">
        <f t="shared" si="23"/>
        <v>0</v>
      </c>
      <c r="O19" s="136">
        <f t="shared" si="23"/>
        <v>0</v>
      </c>
      <c r="P19" s="136">
        <f t="shared" si="23"/>
        <v>0</v>
      </c>
      <c r="Q19" s="136">
        <f t="shared" si="23"/>
        <v>0</v>
      </c>
      <c r="R19" s="136">
        <f t="shared" si="23"/>
        <v>0</v>
      </c>
      <c r="S19" s="136">
        <f t="shared" si="23"/>
        <v>0</v>
      </c>
      <c r="T19" s="136">
        <f t="shared" si="23"/>
        <v>0</v>
      </c>
      <c r="U19" s="97"/>
      <c r="V19" s="136">
        <f t="shared" ref="V19:AH21" si="24">+SUMIF($E$56:$E$85,$E19,V$56:V$85)</f>
        <v>0</v>
      </c>
      <c r="W19" s="136">
        <f t="shared" si="24"/>
        <v>0</v>
      </c>
      <c r="X19" s="136">
        <f t="shared" si="24"/>
        <v>0</v>
      </c>
      <c r="Y19" s="136">
        <f t="shared" si="24"/>
        <v>0</v>
      </c>
      <c r="Z19" s="136">
        <f t="shared" si="24"/>
        <v>0</v>
      </c>
      <c r="AA19" s="136">
        <f t="shared" si="24"/>
        <v>0</v>
      </c>
      <c r="AB19" s="136">
        <f t="shared" si="24"/>
        <v>0</v>
      </c>
      <c r="AC19" s="136">
        <f t="shared" si="24"/>
        <v>0</v>
      </c>
      <c r="AD19" s="136">
        <f t="shared" si="24"/>
        <v>0</v>
      </c>
      <c r="AE19" s="136">
        <f t="shared" si="24"/>
        <v>0</v>
      </c>
      <c r="AF19" s="136">
        <f t="shared" si="24"/>
        <v>0</v>
      </c>
      <c r="AG19" s="136">
        <f t="shared" si="24"/>
        <v>0</v>
      </c>
      <c r="AH19" s="136">
        <f t="shared" si="24"/>
        <v>0</v>
      </c>
      <c r="AJ19" s="236"/>
      <c r="AK19" s="236"/>
      <c r="AL19" s="236"/>
      <c r="AM19" s="236"/>
      <c r="AN19" s="236"/>
      <c r="AO19" s="236"/>
      <c r="AP19" s="236"/>
      <c r="AQ19" s="236"/>
      <c r="AR19" s="236"/>
      <c r="AS19" s="236"/>
      <c r="AT19" s="236"/>
      <c r="AU19" s="236"/>
      <c r="AV19" s="236"/>
      <c r="AW19" s="236"/>
      <c r="AX19" s="236"/>
      <c r="AY19" s="236"/>
      <c r="AZ19" s="236"/>
      <c r="BA19" s="236"/>
      <c r="BB19" s="236"/>
      <c r="BC19" s="236"/>
      <c r="BD19" s="236"/>
      <c r="BE19" s="236"/>
      <c r="BF19" s="236"/>
      <c r="BG19" s="236"/>
      <c r="BH19" s="236"/>
      <c r="BI19" s="236"/>
      <c r="BJ19" s="236"/>
      <c r="BK19" s="236"/>
      <c r="BL19" s="418"/>
    </row>
    <row r="20" spans="3:64" s="180" customFormat="1" ht="15" customHeight="1">
      <c r="C20" s="831" t="str">
        <f>IF(Indice_index!$Z$1=1,"Outras","Others")</f>
        <v>Outras</v>
      </c>
      <c r="D20" s="136"/>
      <c r="E20" s="136" t="s">
        <v>25</v>
      </c>
      <c r="F20" s="97"/>
      <c r="G20" s="136">
        <f t="shared" si="23"/>
        <v>0</v>
      </c>
      <c r="H20" s="136">
        <f t="shared" si="23"/>
        <v>0</v>
      </c>
      <c r="I20" s="136">
        <f t="shared" si="23"/>
        <v>0</v>
      </c>
      <c r="J20" s="136">
        <f t="shared" si="23"/>
        <v>0</v>
      </c>
      <c r="K20" s="136">
        <f t="shared" si="23"/>
        <v>0</v>
      </c>
      <c r="L20" s="136">
        <f t="shared" si="23"/>
        <v>0</v>
      </c>
      <c r="M20" s="136">
        <f t="shared" si="23"/>
        <v>0</v>
      </c>
      <c r="N20" s="136">
        <f t="shared" si="23"/>
        <v>0</v>
      </c>
      <c r="O20" s="136">
        <f t="shared" si="23"/>
        <v>0</v>
      </c>
      <c r="P20" s="136">
        <f t="shared" si="23"/>
        <v>0</v>
      </c>
      <c r="Q20" s="136">
        <f t="shared" si="23"/>
        <v>0</v>
      </c>
      <c r="R20" s="136">
        <f t="shared" si="23"/>
        <v>0</v>
      </c>
      <c r="S20" s="136">
        <f t="shared" si="23"/>
        <v>0</v>
      </c>
      <c r="T20" s="136">
        <f t="shared" si="23"/>
        <v>0</v>
      </c>
      <c r="U20" s="97"/>
      <c r="V20" s="136">
        <f t="shared" si="24"/>
        <v>0</v>
      </c>
      <c r="W20" s="136">
        <f t="shared" si="24"/>
        <v>0</v>
      </c>
      <c r="X20" s="136">
        <f t="shared" si="24"/>
        <v>0</v>
      </c>
      <c r="Y20" s="136">
        <f t="shared" si="24"/>
        <v>0</v>
      </c>
      <c r="Z20" s="136">
        <f t="shared" si="24"/>
        <v>0</v>
      </c>
      <c r="AA20" s="136">
        <f t="shared" si="24"/>
        <v>0</v>
      </c>
      <c r="AB20" s="136">
        <f t="shared" si="24"/>
        <v>0</v>
      </c>
      <c r="AC20" s="136">
        <f t="shared" si="24"/>
        <v>0</v>
      </c>
      <c r="AD20" s="136">
        <f t="shared" si="24"/>
        <v>0</v>
      </c>
      <c r="AE20" s="136">
        <f t="shared" si="24"/>
        <v>0</v>
      </c>
      <c r="AF20" s="136">
        <f t="shared" si="24"/>
        <v>0</v>
      </c>
      <c r="AG20" s="136">
        <f t="shared" si="24"/>
        <v>0</v>
      </c>
      <c r="AH20" s="136">
        <f t="shared" si="24"/>
        <v>0</v>
      </c>
      <c r="AJ20" s="236"/>
      <c r="AK20" s="236"/>
      <c r="AL20" s="236"/>
      <c r="AM20" s="236"/>
      <c r="AN20" s="236"/>
      <c r="AO20" s="236"/>
      <c r="AP20" s="236"/>
      <c r="AQ20" s="236"/>
      <c r="AR20" s="236"/>
      <c r="AS20" s="236"/>
      <c r="AT20" s="236"/>
      <c r="AU20" s="236"/>
      <c r="AV20" s="236"/>
      <c r="AW20" s="236"/>
      <c r="AX20" s="236"/>
      <c r="AY20" s="236"/>
      <c r="AZ20" s="236"/>
      <c r="BA20" s="236"/>
      <c r="BB20" s="236"/>
      <c r="BC20" s="236"/>
      <c r="BD20" s="236"/>
      <c r="BE20" s="236"/>
      <c r="BF20" s="236"/>
      <c r="BG20" s="236"/>
      <c r="BH20" s="236"/>
      <c r="BI20" s="236"/>
      <c r="BJ20" s="236"/>
      <c r="BK20" s="236"/>
      <c r="BL20" s="418"/>
    </row>
    <row r="21" spans="3:64" s="180" customFormat="1" ht="15" customHeight="1">
      <c r="C21" s="830" t="str">
        <f>IF(Indice_index!$Z$1=1,"Outras receitas de capital","Other capital revenue")</f>
        <v>Outras receitas de capital</v>
      </c>
      <c r="D21" s="136"/>
      <c r="E21" s="136" t="s">
        <v>26</v>
      </c>
      <c r="F21" s="97"/>
      <c r="G21" s="136">
        <f t="shared" si="23"/>
        <v>0</v>
      </c>
      <c r="H21" s="136">
        <f t="shared" si="23"/>
        <v>0</v>
      </c>
      <c r="I21" s="136">
        <f t="shared" si="23"/>
        <v>0</v>
      </c>
      <c r="J21" s="136">
        <f t="shared" si="23"/>
        <v>0</v>
      </c>
      <c r="K21" s="136">
        <f t="shared" si="23"/>
        <v>0</v>
      </c>
      <c r="L21" s="136">
        <f t="shared" si="23"/>
        <v>0</v>
      </c>
      <c r="M21" s="136">
        <f t="shared" si="23"/>
        <v>0</v>
      </c>
      <c r="N21" s="136">
        <f t="shared" si="23"/>
        <v>0</v>
      </c>
      <c r="O21" s="136">
        <f t="shared" si="23"/>
        <v>0</v>
      </c>
      <c r="P21" s="136">
        <f t="shared" si="23"/>
        <v>0</v>
      </c>
      <c r="Q21" s="136">
        <f t="shared" si="23"/>
        <v>0</v>
      </c>
      <c r="R21" s="136">
        <f t="shared" si="23"/>
        <v>0</v>
      </c>
      <c r="S21" s="136">
        <f t="shared" si="23"/>
        <v>0</v>
      </c>
      <c r="T21" s="136">
        <f t="shared" si="23"/>
        <v>0</v>
      </c>
      <c r="U21" s="97"/>
      <c r="V21" s="136">
        <f t="shared" si="24"/>
        <v>0</v>
      </c>
      <c r="W21" s="136">
        <f t="shared" si="24"/>
        <v>0</v>
      </c>
      <c r="X21" s="136">
        <f t="shared" si="24"/>
        <v>0</v>
      </c>
      <c r="Y21" s="136">
        <f t="shared" si="24"/>
        <v>0</v>
      </c>
      <c r="Z21" s="136">
        <f t="shared" si="24"/>
        <v>0</v>
      </c>
      <c r="AA21" s="136">
        <f t="shared" si="24"/>
        <v>0</v>
      </c>
      <c r="AB21" s="136">
        <f t="shared" si="24"/>
        <v>0</v>
      </c>
      <c r="AC21" s="136">
        <f t="shared" si="24"/>
        <v>0</v>
      </c>
      <c r="AD21" s="136">
        <f t="shared" si="24"/>
        <v>0</v>
      </c>
      <c r="AE21" s="136">
        <f t="shared" si="24"/>
        <v>0</v>
      </c>
      <c r="AF21" s="136">
        <f t="shared" si="24"/>
        <v>0</v>
      </c>
      <c r="AG21" s="136">
        <f t="shared" si="24"/>
        <v>0</v>
      </c>
      <c r="AH21" s="136">
        <f t="shared" si="24"/>
        <v>0</v>
      </c>
      <c r="AJ21" s="236"/>
      <c r="AK21" s="236"/>
      <c r="AL21" s="236"/>
      <c r="AM21" s="236"/>
      <c r="AN21" s="236"/>
      <c r="AO21" s="236"/>
      <c r="AP21" s="236"/>
      <c r="AQ21" s="236"/>
      <c r="AR21" s="236"/>
      <c r="AS21" s="236"/>
      <c r="AT21" s="236"/>
      <c r="AU21" s="236"/>
      <c r="AV21" s="236"/>
      <c r="AW21" s="236"/>
      <c r="AX21" s="236"/>
      <c r="AY21" s="236"/>
      <c r="AZ21" s="236"/>
      <c r="BA21" s="236"/>
      <c r="BB21" s="236"/>
      <c r="BC21" s="236"/>
      <c r="BD21" s="236"/>
      <c r="BE21" s="236"/>
      <c r="BF21" s="236"/>
      <c r="BG21" s="236"/>
      <c r="BH21" s="236"/>
      <c r="BI21" s="236"/>
      <c r="BJ21" s="236"/>
      <c r="BK21" s="236"/>
      <c r="BL21" s="418"/>
    </row>
    <row r="22" spans="3:64" s="180" customFormat="1" ht="4.5" customHeight="1">
      <c r="C22" s="832"/>
      <c r="D22" s="136"/>
      <c r="E22" s="136"/>
      <c r="F22" s="97"/>
      <c r="G22" s="136"/>
      <c r="H22" s="136"/>
      <c r="I22" s="136"/>
      <c r="J22" s="136"/>
      <c r="K22" s="136"/>
      <c r="L22" s="136"/>
      <c r="M22" s="136"/>
      <c r="N22" s="136"/>
      <c r="O22" s="136"/>
      <c r="P22" s="136"/>
      <c r="Q22" s="136"/>
      <c r="R22" s="136"/>
      <c r="S22" s="136"/>
      <c r="T22" s="136"/>
      <c r="U22" s="97"/>
      <c r="V22" s="136"/>
      <c r="W22" s="136"/>
      <c r="X22" s="136"/>
      <c r="Y22" s="136"/>
      <c r="Z22" s="136"/>
      <c r="AA22" s="136"/>
      <c r="AB22" s="136"/>
      <c r="AC22" s="136"/>
      <c r="AD22" s="136"/>
      <c r="AE22" s="136"/>
      <c r="AF22" s="136"/>
      <c r="AG22" s="136"/>
      <c r="AH22" s="136"/>
      <c r="AJ22" s="236"/>
      <c r="AK22" s="236"/>
      <c r="AL22" s="236"/>
      <c r="AM22" s="236"/>
      <c r="AN22" s="236"/>
      <c r="AO22" s="236"/>
      <c r="AP22" s="236"/>
      <c r="AQ22" s="236"/>
      <c r="AR22" s="236"/>
      <c r="AS22" s="236"/>
      <c r="AT22" s="236"/>
      <c r="AU22" s="236"/>
      <c r="AV22" s="236"/>
      <c r="AW22" s="236"/>
      <c r="AX22" s="236"/>
      <c r="AY22" s="236"/>
      <c r="AZ22" s="236"/>
      <c r="BA22" s="236"/>
      <c r="BB22" s="236"/>
      <c r="BC22" s="236"/>
      <c r="BD22" s="236"/>
      <c r="BE22" s="236"/>
      <c r="BF22" s="236"/>
      <c r="BG22" s="236"/>
      <c r="BH22" s="236"/>
      <c r="BI22" s="236"/>
      <c r="BJ22" s="236"/>
      <c r="BK22" s="236"/>
      <c r="BL22" s="418"/>
    </row>
    <row r="23" spans="3:64" s="319" customFormat="1" ht="15" customHeight="1">
      <c r="C23" s="833" t="str">
        <f>IF(Indice_index!$Z$1=1,"Receita efetiva","Effective revenue")</f>
        <v>Receita efetiva</v>
      </c>
      <c r="D23" s="834"/>
      <c r="E23" s="835"/>
      <c r="F23" s="251"/>
      <c r="G23" s="834">
        <f t="shared" ref="G23:T23" si="25">+G8+G16</f>
        <v>58.729722030000005</v>
      </c>
      <c r="H23" s="835">
        <f t="shared" si="25"/>
        <v>76.155476960000001</v>
      </c>
      <c r="I23" s="835">
        <f t="shared" si="25"/>
        <v>128.68634004999998</v>
      </c>
      <c r="J23" s="835">
        <f t="shared" si="25"/>
        <v>69.781900579999984</v>
      </c>
      <c r="K23" s="835">
        <f t="shared" si="25"/>
        <v>375.48363393000005</v>
      </c>
      <c r="L23" s="835">
        <f t="shared" si="25"/>
        <v>89.418738279999999</v>
      </c>
      <c r="M23" s="835">
        <f t="shared" si="25"/>
        <v>22.32705601</v>
      </c>
      <c r="N23" s="835">
        <f t="shared" si="25"/>
        <v>16.159748709999999</v>
      </c>
      <c r="O23" s="835">
        <f t="shared" si="25"/>
        <v>22.437207060000002</v>
      </c>
      <c r="P23" s="835">
        <f t="shared" si="25"/>
        <v>74.431590709999995</v>
      </c>
      <c r="Q23" s="835">
        <f t="shared" si="25"/>
        <v>653.0488730300001</v>
      </c>
      <c r="R23" s="835">
        <f t="shared" si="25"/>
        <v>552.70443967999995</v>
      </c>
      <c r="S23" s="835">
        <f t="shared" si="25"/>
        <v>820.58286784000018</v>
      </c>
      <c r="T23" s="834">
        <f t="shared" si="25"/>
        <v>2139.3647270299998</v>
      </c>
      <c r="U23" s="251"/>
      <c r="V23" s="834">
        <f t="shared" ref="V23:AH23" si="26">+V8+V16</f>
        <v>81.355944469999997</v>
      </c>
      <c r="W23" s="835">
        <f t="shared" si="26"/>
        <v>49.06931307</v>
      </c>
      <c r="X23" s="835">
        <f t="shared" si="26"/>
        <v>82.151623739999991</v>
      </c>
      <c r="Y23" s="835">
        <f t="shared" si="26"/>
        <v>52.417114399999996</v>
      </c>
      <c r="Z23" s="835">
        <f t="shared" si="26"/>
        <v>326.45193912000002</v>
      </c>
      <c r="AA23" s="835">
        <f t="shared" si="26"/>
        <v>315.39769131000003</v>
      </c>
      <c r="AB23" s="835">
        <f t="shared" ref="AB23" si="27">+AB8+AB16</f>
        <v>33.325220420000001</v>
      </c>
      <c r="AC23" s="835">
        <f t="shared" si="26"/>
        <v>0</v>
      </c>
      <c r="AD23" s="835">
        <f t="shared" si="26"/>
        <v>0</v>
      </c>
      <c r="AE23" s="835">
        <f t="shared" si="26"/>
        <v>0</v>
      </c>
      <c r="AF23" s="835">
        <f t="shared" si="26"/>
        <v>0</v>
      </c>
      <c r="AG23" s="835">
        <f t="shared" si="26"/>
        <v>0</v>
      </c>
      <c r="AH23" s="834">
        <f t="shared" si="26"/>
        <v>940.16884653000011</v>
      </c>
      <c r="AJ23" s="320"/>
      <c r="AK23" s="320"/>
      <c r="AL23" s="320"/>
      <c r="AM23" s="320"/>
      <c r="AN23" s="320"/>
      <c r="AO23" s="320"/>
      <c r="AP23" s="320"/>
      <c r="AQ23" s="320"/>
      <c r="AR23" s="320"/>
      <c r="AS23" s="320"/>
      <c r="AT23" s="320"/>
      <c r="AU23" s="320"/>
      <c r="AV23" s="320"/>
      <c r="AW23" s="320"/>
      <c r="AX23" s="320"/>
      <c r="AY23" s="320"/>
      <c r="AZ23" s="320"/>
      <c r="BA23" s="320"/>
      <c r="BB23" s="320"/>
      <c r="BC23" s="320"/>
      <c r="BD23" s="320"/>
      <c r="BE23" s="320"/>
      <c r="BF23" s="320"/>
      <c r="BG23" s="320"/>
      <c r="BH23" s="320"/>
      <c r="BI23" s="320"/>
      <c r="BJ23" s="320"/>
      <c r="BK23" s="320"/>
      <c r="BL23" s="419"/>
    </row>
    <row r="24" spans="3:64" s="180" customFormat="1" ht="4.5" customHeight="1">
      <c r="C24" s="832"/>
      <c r="D24" s="136"/>
      <c r="E24" s="136"/>
      <c r="F24" s="97"/>
      <c r="G24" s="136"/>
      <c r="H24" s="136"/>
      <c r="I24" s="136"/>
      <c r="J24" s="136"/>
      <c r="K24" s="136"/>
      <c r="L24" s="136"/>
      <c r="M24" s="136"/>
      <c r="N24" s="136"/>
      <c r="O24" s="136"/>
      <c r="P24" s="136"/>
      <c r="Q24" s="136"/>
      <c r="R24" s="136"/>
      <c r="S24" s="136"/>
      <c r="T24" s="136"/>
      <c r="U24" s="97"/>
      <c r="V24" s="136"/>
      <c r="W24" s="136"/>
      <c r="X24" s="136"/>
      <c r="Y24" s="136"/>
      <c r="Z24" s="136"/>
      <c r="AA24" s="136"/>
      <c r="AB24" s="136"/>
      <c r="AC24" s="136"/>
      <c r="AD24" s="136"/>
      <c r="AE24" s="136"/>
      <c r="AF24" s="136"/>
      <c r="AG24" s="136"/>
      <c r="AH24" s="136"/>
      <c r="AJ24" s="236"/>
      <c r="AK24" s="236"/>
      <c r="AL24" s="236"/>
      <c r="AM24" s="236"/>
      <c r="AN24" s="236"/>
      <c r="AO24" s="236"/>
      <c r="AP24" s="236"/>
      <c r="AQ24" s="236"/>
      <c r="AR24" s="236"/>
      <c r="AS24" s="236"/>
      <c r="AT24" s="236"/>
      <c r="AU24" s="236"/>
      <c r="AV24" s="236"/>
      <c r="AW24" s="236"/>
      <c r="AX24" s="236"/>
      <c r="AY24" s="236"/>
      <c r="AZ24" s="236"/>
      <c r="BA24" s="236"/>
      <c r="BB24" s="236"/>
      <c r="BC24" s="236"/>
      <c r="BD24" s="236"/>
      <c r="BE24" s="236"/>
      <c r="BF24" s="236"/>
      <c r="BG24" s="236"/>
      <c r="BH24" s="236"/>
      <c r="BI24" s="236"/>
      <c r="BJ24" s="236"/>
      <c r="BK24" s="236"/>
      <c r="BL24" s="418"/>
    </row>
    <row r="25" spans="3:64" s="318" customFormat="1" ht="15" customHeight="1">
      <c r="C25" s="319" t="str">
        <f>IF(Indice_index!$Z$1=1,"Despesa corrente","Current expenditure")</f>
        <v>Despesa corrente</v>
      </c>
      <c r="D25" s="829"/>
      <c r="E25" s="829"/>
      <c r="F25" s="251"/>
      <c r="G25" s="829">
        <f t="shared" ref="G25:R25" si="28">+G26+G27+G28+G29+G32+G33</f>
        <v>44.129766109999998</v>
      </c>
      <c r="H25" s="829">
        <f t="shared" si="28"/>
        <v>0</v>
      </c>
      <c r="I25" s="829">
        <f t="shared" si="28"/>
        <v>87.3</v>
      </c>
      <c r="J25" s="829">
        <f t="shared" si="28"/>
        <v>5.8756139999999988</v>
      </c>
      <c r="K25" s="829">
        <f t="shared" si="28"/>
        <v>0</v>
      </c>
      <c r="L25" s="829">
        <f t="shared" si="28"/>
        <v>0</v>
      </c>
      <c r="M25" s="829">
        <f t="shared" si="28"/>
        <v>-270.43729654000003</v>
      </c>
      <c r="N25" s="829">
        <f t="shared" si="28"/>
        <v>334.63643481999998</v>
      </c>
      <c r="O25" s="829">
        <f t="shared" si="28"/>
        <v>9.7948094399999945</v>
      </c>
      <c r="P25" s="829">
        <f t="shared" si="28"/>
        <v>5.8698915900000319</v>
      </c>
      <c r="Q25" s="829">
        <f t="shared" si="28"/>
        <v>-1.2073909999969601E-2</v>
      </c>
      <c r="R25" s="829">
        <f t="shared" si="28"/>
        <v>571.33993764000002</v>
      </c>
      <c r="S25" s="829">
        <f>+S26+S27+S28+S29+S32+S33</f>
        <v>-133.13191642999999</v>
      </c>
      <c r="T25" s="829">
        <f>SUM(G25:R25)</f>
        <v>788.49708314999998</v>
      </c>
      <c r="U25" s="251"/>
      <c r="V25" s="829">
        <f t="shared" ref="V25:AG25" si="29">+V26+V27+V28+V29+V32+V33</f>
        <v>21.59949417</v>
      </c>
      <c r="W25" s="829">
        <f t="shared" si="29"/>
        <v>6.1171480000000003</v>
      </c>
      <c r="X25" s="829">
        <f t="shared" si="29"/>
        <v>1.9571480000000001</v>
      </c>
      <c r="Y25" s="829">
        <f t="shared" si="29"/>
        <v>1.9571480000000001</v>
      </c>
      <c r="Z25" s="829">
        <f t="shared" si="29"/>
        <v>1.9571480000000001</v>
      </c>
      <c r="AA25" s="829">
        <f t="shared" si="29"/>
        <v>1.9571480000000001</v>
      </c>
      <c r="AB25" s="829">
        <f>+AB26+AB27+AB28+AB29+AB32+AB33</f>
        <v>30.518876999999996</v>
      </c>
      <c r="AC25" s="829">
        <f t="shared" si="29"/>
        <v>0</v>
      </c>
      <c r="AD25" s="829">
        <f t="shared" si="29"/>
        <v>0</v>
      </c>
      <c r="AE25" s="829">
        <f t="shared" si="29"/>
        <v>0</v>
      </c>
      <c r="AF25" s="829">
        <f t="shared" si="29"/>
        <v>0</v>
      </c>
      <c r="AG25" s="829">
        <f t="shared" si="29"/>
        <v>0</v>
      </c>
      <c r="AH25" s="829">
        <f>SUM(V25:AG25)</f>
        <v>66.06411116999999</v>
      </c>
      <c r="AJ25" s="320"/>
      <c r="AK25" s="320"/>
      <c r="AL25" s="320"/>
      <c r="AM25" s="320"/>
      <c r="AN25" s="320"/>
      <c r="AO25" s="320"/>
      <c r="AP25" s="320"/>
      <c r="AQ25" s="320"/>
      <c r="AR25" s="320"/>
      <c r="AS25" s="320"/>
      <c r="AT25" s="320"/>
      <c r="AU25" s="320"/>
      <c r="AV25" s="320"/>
      <c r="AW25" s="320"/>
      <c r="AX25" s="320"/>
      <c r="AY25" s="320"/>
      <c r="AZ25" s="320"/>
      <c r="BA25" s="320"/>
      <c r="BB25" s="320"/>
      <c r="BC25" s="320"/>
      <c r="BD25" s="320"/>
      <c r="BE25" s="320"/>
      <c r="BF25" s="320"/>
      <c r="BG25" s="320"/>
      <c r="BH25" s="320"/>
      <c r="BI25" s="320"/>
      <c r="BJ25" s="320"/>
      <c r="BK25" s="320"/>
      <c r="BL25" s="419"/>
    </row>
    <row r="26" spans="3:64" s="180" customFormat="1" ht="15" customHeight="1">
      <c r="C26" s="830" t="str">
        <f>IF(Indice_index!$Z$1=1,"Despesas com o pessoal","Employees")</f>
        <v>Despesas com o pessoal</v>
      </c>
      <c r="D26" s="136"/>
      <c r="E26" s="136" t="s">
        <v>27</v>
      </c>
      <c r="F26" s="97"/>
      <c r="G26" s="136">
        <f t="shared" ref="G26:T28" si="30">+SUMIF($E$56:$E$85,$E26,G$56:G$85)</f>
        <v>38.25415211</v>
      </c>
      <c r="H26" s="136">
        <f t="shared" si="30"/>
        <v>0</v>
      </c>
      <c r="I26" s="136">
        <f t="shared" si="30"/>
        <v>0</v>
      </c>
      <c r="J26" s="136">
        <f t="shared" si="30"/>
        <v>0</v>
      </c>
      <c r="K26" s="136">
        <f t="shared" si="30"/>
        <v>0</v>
      </c>
      <c r="L26" s="136">
        <f t="shared" si="30"/>
        <v>0</v>
      </c>
      <c r="M26" s="136">
        <f t="shared" si="30"/>
        <v>0</v>
      </c>
      <c r="N26" s="136">
        <f t="shared" si="30"/>
        <v>0</v>
      </c>
      <c r="O26" s="136">
        <f t="shared" si="30"/>
        <v>0</v>
      </c>
      <c r="P26" s="136">
        <f t="shared" si="30"/>
        <v>0</v>
      </c>
      <c r="Q26" s="136">
        <f t="shared" si="30"/>
        <v>0</v>
      </c>
      <c r="R26" s="136">
        <f t="shared" si="30"/>
        <v>0</v>
      </c>
      <c r="S26" s="136">
        <f t="shared" si="30"/>
        <v>38.25415211</v>
      </c>
      <c r="T26" s="136">
        <f t="shared" si="30"/>
        <v>38.25415211</v>
      </c>
      <c r="U26" s="97"/>
      <c r="V26" s="136">
        <f t="shared" ref="V26:AH28" si="31">+SUMIF($E$56:$E$85,$E26,V$56:V$85)</f>
        <v>1.3520901699999999</v>
      </c>
      <c r="W26" s="136">
        <f t="shared" si="31"/>
        <v>0</v>
      </c>
      <c r="X26" s="136">
        <f t="shared" si="31"/>
        <v>0</v>
      </c>
      <c r="Y26" s="136">
        <f t="shared" si="31"/>
        <v>0</v>
      </c>
      <c r="Z26" s="136">
        <f t="shared" si="31"/>
        <v>0</v>
      </c>
      <c r="AA26" s="136">
        <f t="shared" si="31"/>
        <v>0</v>
      </c>
      <c r="AB26" s="136">
        <f t="shared" si="31"/>
        <v>0</v>
      </c>
      <c r="AC26" s="136">
        <f t="shared" si="31"/>
        <v>0</v>
      </c>
      <c r="AD26" s="136">
        <f t="shared" si="31"/>
        <v>0</v>
      </c>
      <c r="AE26" s="136">
        <f t="shared" si="31"/>
        <v>0</v>
      </c>
      <c r="AF26" s="136">
        <f t="shared" si="31"/>
        <v>0</v>
      </c>
      <c r="AG26" s="136">
        <f t="shared" si="31"/>
        <v>0</v>
      </c>
      <c r="AH26" s="136">
        <f t="shared" si="31"/>
        <v>1.3520901699999999</v>
      </c>
      <c r="AJ26" s="236"/>
      <c r="AK26" s="236"/>
      <c r="AL26" s="236"/>
      <c r="AM26" s="236"/>
      <c r="AN26" s="236"/>
      <c r="AO26" s="236"/>
      <c r="AP26" s="236"/>
      <c r="AQ26" s="236"/>
      <c r="AR26" s="236"/>
      <c r="AS26" s="236"/>
      <c r="AT26" s="236"/>
      <c r="AU26" s="236"/>
      <c r="AV26" s="236"/>
      <c r="AW26" s="236"/>
      <c r="AX26" s="236"/>
      <c r="AY26" s="236"/>
      <c r="AZ26" s="236"/>
      <c r="BA26" s="236"/>
      <c r="BB26" s="236"/>
      <c r="BC26" s="236"/>
      <c r="BD26" s="236"/>
      <c r="BE26" s="236"/>
      <c r="BF26" s="236"/>
      <c r="BG26" s="236"/>
      <c r="BH26" s="236"/>
      <c r="BI26" s="236"/>
      <c r="BJ26" s="236"/>
      <c r="BK26" s="236"/>
      <c r="BL26" s="418"/>
    </row>
    <row r="27" spans="3:64" s="180" customFormat="1" ht="15" customHeight="1">
      <c r="C27" s="830" t="str">
        <f>IF(Indice_index!$Z$1=1,"Aquisição de bens e serviços","Purchase of goods and services")</f>
        <v>Aquisição de bens e serviços</v>
      </c>
      <c r="D27" s="136"/>
      <c r="E27" s="136" t="s">
        <v>28</v>
      </c>
      <c r="F27" s="97"/>
      <c r="G27" s="136">
        <f t="shared" si="30"/>
        <v>0</v>
      </c>
      <c r="H27" s="136">
        <f t="shared" si="30"/>
        <v>0</v>
      </c>
      <c r="I27" s="136">
        <f t="shared" si="30"/>
        <v>0</v>
      </c>
      <c r="J27" s="136">
        <f t="shared" si="30"/>
        <v>0</v>
      </c>
      <c r="K27" s="136">
        <f t="shared" si="30"/>
        <v>0</v>
      </c>
      <c r="L27" s="136">
        <f t="shared" si="30"/>
        <v>0</v>
      </c>
      <c r="M27" s="136">
        <f t="shared" si="30"/>
        <v>0</v>
      </c>
      <c r="N27" s="136">
        <f t="shared" si="30"/>
        <v>0</v>
      </c>
      <c r="O27" s="136">
        <f t="shared" si="30"/>
        <v>0</v>
      </c>
      <c r="P27" s="136">
        <f t="shared" si="30"/>
        <v>0</v>
      </c>
      <c r="Q27" s="136">
        <f t="shared" si="30"/>
        <v>0</v>
      </c>
      <c r="R27" s="136">
        <f t="shared" si="30"/>
        <v>-115.58609199999999</v>
      </c>
      <c r="S27" s="136">
        <f t="shared" si="30"/>
        <v>0</v>
      </c>
      <c r="T27" s="136">
        <f t="shared" si="30"/>
        <v>-115.58609199999999</v>
      </c>
      <c r="U27" s="97"/>
      <c r="V27" s="136">
        <f t="shared" si="31"/>
        <v>18.290255999999999</v>
      </c>
      <c r="W27" s="136">
        <f t="shared" si="31"/>
        <v>0</v>
      </c>
      <c r="X27" s="136">
        <f t="shared" si="31"/>
        <v>0</v>
      </c>
      <c r="Y27" s="136">
        <f t="shared" si="31"/>
        <v>0</v>
      </c>
      <c r="Z27" s="136">
        <f t="shared" si="31"/>
        <v>0</v>
      </c>
      <c r="AA27" s="136">
        <f t="shared" si="31"/>
        <v>0</v>
      </c>
      <c r="AB27" s="136">
        <f t="shared" si="31"/>
        <v>0</v>
      </c>
      <c r="AC27" s="136">
        <f t="shared" si="31"/>
        <v>0</v>
      </c>
      <c r="AD27" s="136">
        <f t="shared" si="31"/>
        <v>0</v>
      </c>
      <c r="AE27" s="136">
        <f t="shared" si="31"/>
        <v>0</v>
      </c>
      <c r="AF27" s="136">
        <f t="shared" si="31"/>
        <v>0</v>
      </c>
      <c r="AG27" s="136">
        <f t="shared" si="31"/>
        <v>0</v>
      </c>
      <c r="AH27" s="136">
        <f t="shared" si="31"/>
        <v>18.290255999999999</v>
      </c>
      <c r="AJ27" s="236"/>
      <c r="AK27" s="236"/>
      <c r="AL27" s="236"/>
      <c r="AM27" s="236"/>
      <c r="AN27" s="236"/>
      <c r="AO27" s="236"/>
      <c r="AP27" s="236"/>
      <c r="AQ27" s="236"/>
      <c r="AR27" s="236"/>
      <c r="AS27" s="236"/>
      <c r="AT27" s="236"/>
      <c r="AU27" s="236"/>
      <c r="AV27" s="236"/>
      <c r="AW27" s="236"/>
      <c r="AX27" s="236"/>
      <c r="AY27" s="236"/>
      <c r="AZ27" s="236"/>
      <c r="BA27" s="236"/>
      <c r="BB27" s="236"/>
      <c r="BC27" s="236"/>
      <c r="BD27" s="236"/>
      <c r="BE27" s="236"/>
      <c r="BF27" s="236"/>
      <c r="BG27" s="236"/>
      <c r="BH27" s="236"/>
      <c r="BI27" s="236"/>
      <c r="BJ27" s="236"/>
      <c r="BK27" s="236"/>
      <c r="BL27" s="418"/>
    </row>
    <row r="28" spans="3:64" s="180" customFormat="1" ht="15" customHeight="1">
      <c r="C28" s="830" t="str">
        <f>IF(Indice_index!$Z$1=1,"Juros e outros encargos","Interests and other charges")</f>
        <v>Juros e outros encargos</v>
      </c>
      <c r="D28" s="136"/>
      <c r="E28" s="136" t="s">
        <v>29</v>
      </c>
      <c r="F28" s="97"/>
      <c r="G28" s="136">
        <f t="shared" si="30"/>
        <v>0</v>
      </c>
      <c r="H28" s="136">
        <f t="shared" si="30"/>
        <v>0</v>
      </c>
      <c r="I28" s="136">
        <f t="shared" si="30"/>
        <v>0</v>
      </c>
      <c r="J28" s="136">
        <f t="shared" si="30"/>
        <v>0</v>
      </c>
      <c r="K28" s="136">
        <f t="shared" si="30"/>
        <v>0</v>
      </c>
      <c r="L28" s="136">
        <f t="shared" si="30"/>
        <v>0</v>
      </c>
      <c r="M28" s="136">
        <f t="shared" si="30"/>
        <v>-286.65263454000001</v>
      </c>
      <c r="N28" s="136">
        <f t="shared" si="30"/>
        <v>0</v>
      </c>
      <c r="O28" s="136">
        <f t="shared" si="30"/>
        <v>0</v>
      </c>
      <c r="P28" s="136">
        <f t="shared" si="30"/>
        <v>0</v>
      </c>
      <c r="Q28" s="136">
        <f t="shared" si="30"/>
        <v>0</v>
      </c>
      <c r="R28" s="136">
        <f t="shared" si="30"/>
        <v>0</v>
      </c>
      <c r="S28" s="136">
        <f t="shared" si="30"/>
        <v>-286.65263454000001</v>
      </c>
      <c r="T28" s="136">
        <f t="shared" si="30"/>
        <v>-286.65263454000001</v>
      </c>
      <c r="U28" s="97"/>
      <c r="V28" s="136">
        <f t="shared" si="31"/>
        <v>0</v>
      </c>
      <c r="W28" s="136">
        <f t="shared" si="31"/>
        <v>0</v>
      </c>
      <c r="X28" s="136">
        <f t="shared" si="31"/>
        <v>0</v>
      </c>
      <c r="Y28" s="136">
        <f t="shared" si="31"/>
        <v>0</v>
      </c>
      <c r="Z28" s="136">
        <f t="shared" si="31"/>
        <v>0</v>
      </c>
      <c r="AA28" s="136">
        <f t="shared" si="31"/>
        <v>0</v>
      </c>
      <c r="AB28" s="136">
        <f t="shared" si="31"/>
        <v>0</v>
      </c>
      <c r="AC28" s="136">
        <f t="shared" si="31"/>
        <v>0</v>
      </c>
      <c r="AD28" s="136">
        <f t="shared" si="31"/>
        <v>0</v>
      </c>
      <c r="AE28" s="136">
        <f t="shared" si="31"/>
        <v>0</v>
      </c>
      <c r="AF28" s="136">
        <f t="shared" si="31"/>
        <v>0</v>
      </c>
      <c r="AG28" s="136">
        <f t="shared" si="31"/>
        <v>0</v>
      </c>
      <c r="AH28" s="136">
        <f t="shared" si="31"/>
        <v>0</v>
      </c>
      <c r="AJ28" s="236"/>
      <c r="AK28" s="236"/>
      <c r="AL28" s="236"/>
      <c r="AM28" s="236"/>
      <c r="AN28" s="236"/>
      <c r="AO28" s="236"/>
      <c r="AP28" s="236"/>
      <c r="AQ28" s="236"/>
      <c r="AR28" s="236"/>
      <c r="AS28" s="236"/>
      <c r="AT28" s="236"/>
      <c r="AU28" s="236"/>
      <c r="AV28" s="236"/>
      <c r="AW28" s="236"/>
      <c r="AX28" s="236"/>
      <c r="AY28" s="236"/>
      <c r="AZ28" s="236"/>
      <c r="BA28" s="236"/>
      <c r="BB28" s="236"/>
      <c r="BC28" s="236"/>
      <c r="BD28" s="236"/>
      <c r="BE28" s="236"/>
      <c r="BF28" s="236"/>
      <c r="BG28" s="236"/>
      <c r="BH28" s="236"/>
      <c r="BI28" s="236"/>
      <c r="BJ28" s="236"/>
      <c r="BK28" s="236"/>
      <c r="BL28" s="418"/>
    </row>
    <row r="29" spans="3:64" s="180" customFormat="1" ht="15" customHeight="1">
      <c r="C29" s="830" t="str">
        <f>IF(Indice_index!$Z$1=1,"Transferências Correntes","Current transfers")</f>
        <v>Transferências Correntes</v>
      </c>
      <c r="D29" s="136"/>
      <c r="E29" s="136" t="s">
        <v>30</v>
      </c>
      <c r="F29" s="97"/>
      <c r="G29" s="136">
        <f t="shared" ref="G29:T29" si="32">+G30+G31</f>
        <v>5.8756139999999997</v>
      </c>
      <c r="H29" s="136">
        <f t="shared" si="32"/>
        <v>0</v>
      </c>
      <c r="I29" s="136">
        <f t="shared" si="32"/>
        <v>87.3</v>
      </c>
      <c r="J29" s="136">
        <f t="shared" si="32"/>
        <v>5.8756139999999988</v>
      </c>
      <c r="K29" s="136">
        <f t="shared" si="32"/>
        <v>0</v>
      </c>
      <c r="L29" s="136">
        <f t="shared" si="32"/>
        <v>0</v>
      </c>
      <c r="M29" s="136">
        <f t="shared" si="32"/>
        <v>16.215338000000003</v>
      </c>
      <c r="N29" s="136">
        <f t="shared" si="32"/>
        <v>334.63643481999998</v>
      </c>
      <c r="O29" s="136">
        <f t="shared" si="32"/>
        <v>9.7948094399999981</v>
      </c>
      <c r="P29" s="136">
        <f t="shared" si="32"/>
        <v>5.8698915900000319</v>
      </c>
      <c r="Q29" s="136">
        <f t="shared" si="32"/>
        <v>-1.2073909999966621E-2</v>
      </c>
      <c r="R29" s="136">
        <f t="shared" si="32"/>
        <v>686.92602964000002</v>
      </c>
      <c r="S29" s="136">
        <f t="shared" si="32"/>
        <v>115.266566</v>
      </c>
      <c r="T29" s="136">
        <f t="shared" si="32"/>
        <v>1152.4816575800003</v>
      </c>
      <c r="U29" s="97"/>
      <c r="V29" s="136">
        <f t="shared" ref="V29:AH29" si="33">+V30+V31</f>
        <v>1.9571480000000001</v>
      </c>
      <c r="W29" s="136">
        <f t="shared" si="33"/>
        <v>6.1171480000000003</v>
      </c>
      <c r="X29" s="136">
        <f t="shared" si="33"/>
        <v>1.9571480000000001</v>
      </c>
      <c r="Y29" s="136">
        <f t="shared" si="33"/>
        <v>1.9571480000000001</v>
      </c>
      <c r="Z29" s="136">
        <f t="shared" si="33"/>
        <v>1.9571480000000001</v>
      </c>
      <c r="AA29" s="136">
        <f t="shared" si="33"/>
        <v>1.9571480000000001</v>
      </c>
      <c r="AB29" s="136">
        <f t="shared" ref="AB29" si="34">+AB30+AB31</f>
        <v>30.518876999999996</v>
      </c>
      <c r="AC29" s="136">
        <f t="shared" si="33"/>
        <v>0</v>
      </c>
      <c r="AD29" s="136">
        <f t="shared" si="33"/>
        <v>0</v>
      </c>
      <c r="AE29" s="136">
        <f t="shared" si="33"/>
        <v>0</v>
      </c>
      <c r="AF29" s="136">
        <f t="shared" si="33"/>
        <v>0</v>
      </c>
      <c r="AG29" s="136">
        <f t="shared" si="33"/>
        <v>0</v>
      </c>
      <c r="AH29" s="136">
        <f t="shared" si="33"/>
        <v>46.421764999999994</v>
      </c>
      <c r="AJ29" s="236"/>
      <c r="AK29" s="236"/>
      <c r="AL29" s="236"/>
      <c r="AM29" s="236"/>
      <c r="AN29" s="236"/>
      <c r="AO29" s="236"/>
      <c r="AP29" s="236"/>
      <c r="AQ29" s="236"/>
      <c r="AR29" s="236"/>
      <c r="AS29" s="236"/>
      <c r="AT29" s="236"/>
      <c r="AU29" s="236"/>
      <c r="AV29" s="236"/>
      <c r="AW29" s="236"/>
      <c r="AX29" s="236"/>
      <c r="AY29" s="236"/>
      <c r="AZ29" s="236"/>
      <c r="BA29" s="236"/>
      <c r="BB29" s="236"/>
      <c r="BC29" s="236"/>
      <c r="BD29" s="236"/>
      <c r="BE29" s="236"/>
      <c r="BF29" s="236"/>
      <c r="BG29" s="236"/>
      <c r="BH29" s="236"/>
      <c r="BI29" s="236"/>
      <c r="BJ29" s="236"/>
      <c r="BK29" s="236"/>
      <c r="BL29" s="418"/>
    </row>
    <row r="30" spans="3:64" s="180" customFormat="1" ht="15" customHeight="1">
      <c r="C30" s="831" t="str">
        <f>IF(Indice_index!$Z$1=1,"Administrações Públicas","General Government subsectors")</f>
        <v>Administrações Públicas</v>
      </c>
      <c r="D30" s="136"/>
      <c r="E30" s="136" t="s">
        <v>86</v>
      </c>
      <c r="F30" s="97"/>
      <c r="G30" s="136">
        <f t="shared" ref="G30:T33" si="35">+SUMIF($E$56:$E$85,$E30,G$56:G$85)</f>
        <v>5.8756139999999997</v>
      </c>
      <c r="H30" s="136">
        <f t="shared" si="35"/>
        <v>0</v>
      </c>
      <c r="I30" s="136">
        <f t="shared" si="35"/>
        <v>0</v>
      </c>
      <c r="J30" s="136">
        <f t="shared" si="35"/>
        <v>5.8756139999999988</v>
      </c>
      <c r="K30" s="136">
        <f t="shared" si="35"/>
        <v>0</v>
      </c>
      <c r="L30" s="136">
        <f t="shared" si="35"/>
        <v>0</v>
      </c>
      <c r="M30" s="136">
        <f t="shared" si="35"/>
        <v>5.8753380000000011</v>
      </c>
      <c r="N30" s="136">
        <f t="shared" si="35"/>
        <v>334.63643481999998</v>
      </c>
      <c r="O30" s="136">
        <f t="shared" si="35"/>
        <v>9.7948094399999981</v>
      </c>
      <c r="P30" s="136">
        <f t="shared" si="35"/>
        <v>5.8698915900000319</v>
      </c>
      <c r="Q30" s="136">
        <f t="shared" si="35"/>
        <v>-1.2073909999966621E-2</v>
      </c>
      <c r="R30" s="136">
        <f t="shared" si="35"/>
        <v>686.92602964000002</v>
      </c>
      <c r="S30" s="136">
        <f t="shared" si="35"/>
        <v>17.626565999999997</v>
      </c>
      <c r="T30" s="136">
        <f t="shared" si="35"/>
        <v>1054.8416575800002</v>
      </c>
      <c r="U30" s="97"/>
      <c r="V30" s="136">
        <f t="shared" ref="V30:AH33" si="36">+SUMIF($E$56:$E$85,$E30,V$56:V$85)</f>
        <v>1.9571480000000001</v>
      </c>
      <c r="W30" s="136">
        <f t="shared" si="36"/>
        <v>1.9571480000000001</v>
      </c>
      <c r="X30" s="136">
        <f t="shared" si="36"/>
        <v>1.9571480000000001</v>
      </c>
      <c r="Y30" s="136">
        <f t="shared" si="36"/>
        <v>1.9571480000000001</v>
      </c>
      <c r="Z30" s="136">
        <f t="shared" si="36"/>
        <v>1.9571480000000001</v>
      </c>
      <c r="AA30" s="136">
        <f t="shared" si="36"/>
        <v>1.9571480000000001</v>
      </c>
      <c r="AB30" s="136">
        <f t="shared" si="36"/>
        <v>30.518876999999996</v>
      </c>
      <c r="AC30" s="136">
        <f t="shared" si="36"/>
        <v>0</v>
      </c>
      <c r="AD30" s="136">
        <f t="shared" si="36"/>
        <v>0</v>
      </c>
      <c r="AE30" s="136">
        <f t="shared" si="36"/>
        <v>0</v>
      </c>
      <c r="AF30" s="136">
        <f t="shared" si="36"/>
        <v>0</v>
      </c>
      <c r="AG30" s="136">
        <f t="shared" si="36"/>
        <v>0</v>
      </c>
      <c r="AH30" s="136">
        <f t="shared" si="36"/>
        <v>42.261764999999997</v>
      </c>
      <c r="AJ30" s="236"/>
      <c r="AK30" s="236"/>
      <c r="AL30" s="236"/>
      <c r="AM30" s="236"/>
      <c r="AN30" s="236"/>
      <c r="AO30" s="236"/>
      <c r="AP30" s="236"/>
      <c r="AQ30" s="236"/>
      <c r="AR30" s="236"/>
      <c r="AS30" s="236"/>
      <c r="AT30" s="236"/>
      <c r="AU30" s="236"/>
      <c r="AV30" s="236"/>
      <c r="AW30" s="236"/>
      <c r="AX30" s="236"/>
      <c r="AY30" s="236"/>
      <c r="AZ30" s="236"/>
      <c r="BA30" s="236"/>
      <c r="BB30" s="236"/>
      <c r="BC30" s="236"/>
      <c r="BD30" s="236"/>
      <c r="BE30" s="236"/>
      <c r="BF30" s="236"/>
      <c r="BG30" s="236"/>
      <c r="BH30" s="236"/>
      <c r="BI30" s="236"/>
      <c r="BJ30" s="236"/>
      <c r="BK30" s="236"/>
      <c r="BL30" s="418"/>
    </row>
    <row r="31" spans="3:64" s="180" customFormat="1" ht="15" customHeight="1">
      <c r="C31" s="831" t="str">
        <f>IF(Indice_index!$Z$1=1,"Outras","Others")</f>
        <v>Outras</v>
      </c>
      <c r="D31" s="136"/>
      <c r="E31" s="136" t="s">
        <v>31</v>
      </c>
      <c r="F31" s="97"/>
      <c r="G31" s="136">
        <f t="shared" si="35"/>
        <v>0</v>
      </c>
      <c r="H31" s="136">
        <f t="shared" si="35"/>
        <v>0</v>
      </c>
      <c r="I31" s="136">
        <f t="shared" si="35"/>
        <v>87.3</v>
      </c>
      <c r="J31" s="136">
        <f t="shared" si="35"/>
        <v>0</v>
      </c>
      <c r="K31" s="136">
        <f t="shared" si="35"/>
        <v>0</v>
      </c>
      <c r="L31" s="136">
        <f t="shared" si="35"/>
        <v>0</v>
      </c>
      <c r="M31" s="136">
        <f t="shared" si="35"/>
        <v>10.34</v>
      </c>
      <c r="N31" s="136">
        <f t="shared" si="35"/>
        <v>0</v>
      </c>
      <c r="O31" s="136">
        <f t="shared" si="35"/>
        <v>0</v>
      </c>
      <c r="P31" s="136">
        <f t="shared" si="35"/>
        <v>0</v>
      </c>
      <c r="Q31" s="136">
        <f t="shared" si="35"/>
        <v>0</v>
      </c>
      <c r="R31" s="136">
        <f t="shared" si="35"/>
        <v>0</v>
      </c>
      <c r="S31" s="136">
        <f t="shared" si="35"/>
        <v>97.64</v>
      </c>
      <c r="T31" s="136">
        <f t="shared" si="35"/>
        <v>97.64</v>
      </c>
      <c r="U31" s="97"/>
      <c r="V31" s="136">
        <f t="shared" si="36"/>
        <v>0</v>
      </c>
      <c r="W31" s="136">
        <f t="shared" si="36"/>
        <v>4.16</v>
      </c>
      <c r="X31" s="136">
        <f t="shared" si="36"/>
        <v>0</v>
      </c>
      <c r="Y31" s="136">
        <f t="shared" si="36"/>
        <v>0</v>
      </c>
      <c r="Z31" s="136">
        <f t="shared" si="36"/>
        <v>0</v>
      </c>
      <c r="AA31" s="136">
        <f t="shared" si="36"/>
        <v>0</v>
      </c>
      <c r="AB31" s="136">
        <f t="shared" si="36"/>
        <v>0</v>
      </c>
      <c r="AC31" s="136">
        <f t="shared" si="36"/>
        <v>0</v>
      </c>
      <c r="AD31" s="136">
        <f t="shared" si="36"/>
        <v>0</v>
      </c>
      <c r="AE31" s="136">
        <f t="shared" si="36"/>
        <v>0</v>
      </c>
      <c r="AF31" s="136">
        <f t="shared" si="36"/>
        <v>0</v>
      </c>
      <c r="AG31" s="136">
        <f t="shared" si="36"/>
        <v>0</v>
      </c>
      <c r="AH31" s="136">
        <f t="shared" si="36"/>
        <v>4.16</v>
      </c>
      <c r="AJ31" s="236"/>
      <c r="AK31" s="236"/>
      <c r="AL31" s="236"/>
      <c r="AM31" s="236"/>
      <c r="AN31" s="236"/>
      <c r="AO31" s="236"/>
      <c r="AP31" s="236"/>
      <c r="AQ31" s="236"/>
      <c r="AR31" s="236"/>
      <c r="AS31" s="236"/>
      <c r="AT31" s="236"/>
      <c r="AU31" s="236"/>
      <c r="AV31" s="236"/>
      <c r="AW31" s="236"/>
      <c r="AX31" s="236"/>
      <c r="AY31" s="236"/>
      <c r="AZ31" s="236"/>
      <c r="BA31" s="236"/>
      <c r="BB31" s="236"/>
      <c r="BC31" s="236"/>
      <c r="BD31" s="236"/>
      <c r="BE31" s="236"/>
      <c r="BF31" s="236"/>
      <c r="BG31" s="236"/>
      <c r="BH31" s="236"/>
      <c r="BI31" s="236"/>
      <c r="BJ31" s="236"/>
      <c r="BK31" s="236"/>
      <c r="BL31" s="418"/>
    </row>
    <row r="32" spans="3:64" s="180" customFormat="1" ht="15" customHeight="1">
      <c r="C32" s="830" t="str">
        <f>IF(Indice_index!$Z$1=1,"Subsídios","Subsidies")</f>
        <v>Subsídios</v>
      </c>
      <c r="D32" s="136"/>
      <c r="E32" s="136" t="s">
        <v>32</v>
      </c>
      <c r="F32" s="97"/>
      <c r="G32" s="136">
        <f t="shared" si="35"/>
        <v>0</v>
      </c>
      <c r="H32" s="136">
        <f t="shared" si="35"/>
        <v>0</v>
      </c>
      <c r="I32" s="136">
        <f t="shared" si="35"/>
        <v>0</v>
      </c>
      <c r="J32" s="136">
        <f t="shared" si="35"/>
        <v>0</v>
      </c>
      <c r="K32" s="136">
        <f t="shared" si="35"/>
        <v>0</v>
      </c>
      <c r="L32" s="136">
        <f t="shared" si="35"/>
        <v>0</v>
      </c>
      <c r="M32" s="136">
        <f t="shared" si="35"/>
        <v>0</v>
      </c>
      <c r="N32" s="136">
        <f t="shared" si="35"/>
        <v>0</v>
      </c>
      <c r="O32" s="136">
        <f t="shared" si="35"/>
        <v>47.518923000000001</v>
      </c>
      <c r="P32" s="136">
        <f t="shared" si="35"/>
        <v>0</v>
      </c>
      <c r="Q32" s="136">
        <f t="shared" si="35"/>
        <v>-47.518923000000001</v>
      </c>
      <c r="R32" s="136">
        <f t="shared" si="35"/>
        <v>0</v>
      </c>
      <c r="S32" s="136">
        <f t="shared" si="35"/>
        <v>0</v>
      </c>
      <c r="T32" s="136">
        <f t="shared" si="35"/>
        <v>0</v>
      </c>
      <c r="U32" s="97"/>
      <c r="V32" s="136">
        <f t="shared" si="36"/>
        <v>0</v>
      </c>
      <c r="W32" s="136">
        <f t="shared" si="36"/>
        <v>0</v>
      </c>
      <c r="X32" s="136">
        <f t="shared" si="36"/>
        <v>0</v>
      </c>
      <c r="Y32" s="136">
        <f t="shared" si="36"/>
        <v>0</v>
      </c>
      <c r="Z32" s="136">
        <f t="shared" si="36"/>
        <v>0</v>
      </c>
      <c r="AA32" s="136">
        <f t="shared" si="36"/>
        <v>0</v>
      </c>
      <c r="AB32" s="136">
        <f t="shared" si="36"/>
        <v>0</v>
      </c>
      <c r="AC32" s="136">
        <f t="shared" si="36"/>
        <v>0</v>
      </c>
      <c r="AD32" s="136">
        <f t="shared" si="36"/>
        <v>0</v>
      </c>
      <c r="AE32" s="136">
        <f t="shared" si="36"/>
        <v>0</v>
      </c>
      <c r="AF32" s="136">
        <f t="shared" si="36"/>
        <v>0</v>
      </c>
      <c r="AG32" s="136">
        <f t="shared" si="36"/>
        <v>0</v>
      </c>
      <c r="AH32" s="136">
        <f t="shared" si="36"/>
        <v>0</v>
      </c>
      <c r="AJ32" s="236"/>
      <c r="AK32" s="236"/>
      <c r="AL32" s="236"/>
      <c r="AM32" s="236"/>
      <c r="AN32" s="236"/>
      <c r="AO32" s="236"/>
      <c r="AP32" s="236"/>
      <c r="AQ32" s="236"/>
      <c r="AR32" s="236"/>
      <c r="AS32" s="236"/>
      <c r="AT32" s="236"/>
      <c r="AU32" s="236"/>
      <c r="AV32" s="236"/>
      <c r="AW32" s="236"/>
      <c r="AX32" s="236"/>
      <c r="AY32" s="236"/>
      <c r="AZ32" s="236"/>
      <c r="BA32" s="236"/>
      <c r="BB32" s="236"/>
      <c r="BC32" s="236"/>
      <c r="BD32" s="236"/>
      <c r="BE32" s="236"/>
      <c r="BF32" s="236"/>
      <c r="BG32" s="236"/>
      <c r="BH32" s="236"/>
      <c r="BI32" s="236"/>
      <c r="BJ32" s="236"/>
      <c r="BK32" s="236"/>
      <c r="BL32" s="418"/>
    </row>
    <row r="33" spans="3:64" s="180" customFormat="1" ht="15" customHeight="1">
      <c r="C33" s="830" t="str">
        <f>IF(Indice_index!$Z$1=1,"Outras despesas correntes","Other current expenditure")</f>
        <v>Outras despesas correntes</v>
      </c>
      <c r="D33" s="136"/>
      <c r="E33" s="136" t="s">
        <v>33</v>
      </c>
      <c r="F33" s="97"/>
      <c r="G33" s="136">
        <f t="shared" si="35"/>
        <v>0</v>
      </c>
      <c r="H33" s="136">
        <f t="shared" si="35"/>
        <v>0</v>
      </c>
      <c r="I33" s="136">
        <f t="shared" si="35"/>
        <v>0</v>
      </c>
      <c r="J33" s="136">
        <f t="shared" si="35"/>
        <v>0</v>
      </c>
      <c r="K33" s="136">
        <f t="shared" si="35"/>
        <v>0</v>
      </c>
      <c r="L33" s="136">
        <f t="shared" si="35"/>
        <v>0</v>
      </c>
      <c r="M33" s="136">
        <f t="shared" si="35"/>
        <v>0</v>
      </c>
      <c r="N33" s="136">
        <f t="shared" si="35"/>
        <v>0</v>
      </c>
      <c r="O33" s="136">
        <f t="shared" si="35"/>
        <v>-47.518923000000001</v>
      </c>
      <c r="P33" s="136">
        <f t="shared" si="35"/>
        <v>0</v>
      </c>
      <c r="Q33" s="136">
        <f t="shared" si="35"/>
        <v>47.518923000000001</v>
      </c>
      <c r="R33" s="136">
        <f t="shared" si="35"/>
        <v>0</v>
      </c>
      <c r="S33" s="136">
        <f t="shared" si="35"/>
        <v>0</v>
      </c>
      <c r="T33" s="136">
        <f t="shared" si="35"/>
        <v>0</v>
      </c>
      <c r="U33" s="97"/>
      <c r="V33" s="136">
        <f t="shared" si="36"/>
        <v>0</v>
      </c>
      <c r="W33" s="136">
        <f t="shared" si="36"/>
        <v>0</v>
      </c>
      <c r="X33" s="136">
        <f t="shared" si="36"/>
        <v>0</v>
      </c>
      <c r="Y33" s="136">
        <f t="shared" si="36"/>
        <v>0</v>
      </c>
      <c r="Z33" s="136">
        <f t="shared" si="36"/>
        <v>0</v>
      </c>
      <c r="AA33" s="136">
        <f t="shared" si="36"/>
        <v>0</v>
      </c>
      <c r="AB33" s="136">
        <f t="shared" si="36"/>
        <v>0</v>
      </c>
      <c r="AC33" s="136">
        <f t="shared" si="36"/>
        <v>0</v>
      </c>
      <c r="AD33" s="136">
        <f t="shared" si="36"/>
        <v>0</v>
      </c>
      <c r="AE33" s="136">
        <f t="shared" si="36"/>
        <v>0</v>
      </c>
      <c r="AF33" s="136">
        <f t="shared" si="36"/>
        <v>0</v>
      </c>
      <c r="AG33" s="136">
        <f t="shared" si="36"/>
        <v>0</v>
      </c>
      <c r="AH33" s="136">
        <f t="shared" si="36"/>
        <v>0</v>
      </c>
      <c r="AJ33" s="236"/>
      <c r="AK33" s="236"/>
      <c r="AL33" s="236"/>
      <c r="AM33" s="236"/>
      <c r="AN33" s="236"/>
      <c r="AO33" s="236"/>
      <c r="AP33" s="236"/>
      <c r="AQ33" s="236"/>
      <c r="AR33" s="236"/>
      <c r="AS33" s="236"/>
      <c r="AT33" s="236"/>
      <c r="AU33" s="236"/>
      <c r="AV33" s="236"/>
      <c r="AW33" s="236"/>
      <c r="AX33" s="236"/>
      <c r="AY33" s="236"/>
      <c r="AZ33" s="236"/>
      <c r="BA33" s="236"/>
      <c r="BB33" s="236"/>
      <c r="BC33" s="236"/>
      <c r="BD33" s="236"/>
      <c r="BE33" s="236"/>
      <c r="BF33" s="236"/>
      <c r="BG33" s="236"/>
      <c r="BH33" s="236"/>
      <c r="BI33" s="236"/>
      <c r="BJ33" s="236"/>
      <c r="BK33" s="236"/>
      <c r="BL33" s="418"/>
    </row>
    <row r="34" spans="3:64" s="318" customFormat="1" ht="15" customHeight="1">
      <c r="C34" s="319" t="str">
        <f>IF(Indice_index!$Z$1=1,"Despesa de capital","Capital expenditure")</f>
        <v>Despesa de capital</v>
      </c>
      <c r="D34" s="829"/>
      <c r="E34" s="829"/>
      <c r="F34" s="251"/>
      <c r="G34" s="829">
        <f t="shared" ref="G34:S34" si="37">+G35+G36+G39</f>
        <v>13.88124</v>
      </c>
      <c r="H34" s="829">
        <f t="shared" si="37"/>
        <v>14.138688</v>
      </c>
      <c r="I34" s="829">
        <f t="shared" si="37"/>
        <v>13.929066999999996</v>
      </c>
      <c r="J34" s="829">
        <f t="shared" si="37"/>
        <v>52.205551000000007</v>
      </c>
      <c r="K34" s="829">
        <f t="shared" si="37"/>
        <v>15.331340999999995</v>
      </c>
      <c r="L34" s="829">
        <f t="shared" si="37"/>
        <v>332.31218000000001</v>
      </c>
      <c r="M34" s="829">
        <f t="shared" si="37"/>
        <v>13.865550999999996</v>
      </c>
      <c r="N34" s="829">
        <f t="shared" si="37"/>
        <v>15.335550999999995</v>
      </c>
      <c r="O34" s="829">
        <f t="shared" si="37"/>
        <v>68.196328999999992</v>
      </c>
      <c r="P34" s="829">
        <f t="shared" si="37"/>
        <v>15.418551000000015</v>
      </c>
      <c r="Q34" s="829">
        <f t="shared" si="37"/>
        <v>37.195811999999975</v>
      </c>
      <c r="R34" s="829">
        <f t="shared" si="37"/>
        <v>239.87069623999997</v>
      </c>
      <c r="S34" s="829">
        <f t="shared" si="37"/>
        <v>455.66361799999999</v>
      </c>
      <c r="T34" s="829">
        <f t="shared" ref="T34" si="38">SUM(G34:R34)</f>
        <v>831.68055723999987</v>
      </c>
      <c r="U34" s="251"/>
      <c r="V34" s="829">
        <f t="shared" ref="V34:AG34" si="39">+V35+V36+V39</f>
        <v>15.434239999999999</v>
      </c>
      <c r="W34" s="829">
        <f t="shared" si="39"/>
        <v>13.88124</v>
      </c>
      <c r="X34" s="829">
        <f t="shared" si="39"/>
        <v>16.98774264</v>
      </c>
      <c r="Y34" s="829">
        <f t="shared" si="39"/>
        <v>15.434491319999998</v>
      </c>
      <c r="Z34" s="829">
        <f t="shared" si="39"/>
        <v>15.389491319999998</v>
      </c>
      <c r="AA34" s="829">
        <f t="shared" si="39"/>
        <v>15.434491320000005</v>
      </c>
      <c r="AB34" s="829">
        <f t="shared" ref="AB34" si="40">+AB35+AB36+AB39</f>
        <v>1.5532513200000011</v>
      </c>
      <c r="AC34" s="829">
        <f t="shared" si="39"/>
        <v>0</v>
      </c>
      <c r="AD34" s="829">
        <f t="shared" si="39"/>
        <v>0</v>
      </c>
      <c r="AE34" s="829">
        <f t="shared" si="39"/>
        <v>0</v>
      </c>
      <c r="AF34" s="829">
        <f t="shared" si="39"/>
        <v>0</v>
      </c>
      <c r="AG34" s="829">
        <f t="shared" si="39"/>
        <v>0</v>
      </c>
      <c r="AH34" s="829">
        <f>SUM(V34:AG34)</f>
        <v>94.114947920000006</v>
      </c>
      <c r="AJ34" s="320"/>
      <c r="AK34" s="320"/>
      <c r="AL34" s="320"/>
      <c r="AM34" s="320"/>
      <c r="AN34" s="320"/>
      <c r="AO34" s="320"/>
      <c r="AP34" s="320"/>
      <c r="AQ34" s="320"/>
      <c r="AR34" s="320"/>
      <c r="AS34" s="320"/>
      <c r="AT34" s="320"/>
      <c r="AU34" s="320"/>
      <c r="AV34" s="320"/>
      <c r="AW34" s="320"/>
      <c r="AX34" s="320"/>
      <c r="AY34" s="320"/>
      <c r="AZ34" s="320"/>
      <c r="BA34" s="320"/>
      <c r="BB34" s="320"/>
      <c r="BC34" s="320"/>
      <c r="BD34" s="320"/>
      <c r="BE34" s="320"/>
      <c r="BF34" s="320"/>
      <c r="BG34" s="320"/>
      <c r="BH34" s="320"/>
      <c r="BI34" s="320"/>
      <c r="BJ34" s="320"/>
      <c r="BK34" s="320"/>
      <c r="BL34" s="419"/>
    </row>
    <row r="35" spans="3:64" s="180" customFormat="1" ht="15" customHeight="1">
      <c r="C35" s="830" t="str">
        <f>IF(Indice_index!$Z$1=1,"Investimento","Investments")</f>
        <v>Investimento</v>
      </c>
      <c r="D35" s="136"/>
      <c r="E35" s="136" t="s">
        <v>34</v>
      </c>
      <c r="F35" s="97"/>
      <c r="G35" s="136">
        <f t="shared" ref="G35:T35" si="41">+SUMIF($E$56:$E$85,$E35,G$56:G$85)</f>
        <v>0</v>
      </c>
      <c r="H35" s="136">
        <f t="shared" si="41"/>
        <v>0</v>
      </c>
      <c r="I35" s="136">
        <f t="shared" si="41"/>
        <v>0</v>
      </c>
      <c r="J35" s="136">
        <f t="shared" si="41"/>
        <v>38.340000000000003</v>
      </c>
      <c r="K35" s="136">
        <f t="shared" si="41"/>
        <v>1.4299999999999997</v>
      </c>
      <c r="L35" s="136">
        <f t="shared" si="41"/>
        <v>1.4339999999999975</v>
      </c>
      <c r="M35" s="136">
        <f t="shared" si="41"/>
        <v>0</v>
      </c>
      <c r="N35" s="136">
        <f t="shared" si="41"/>
        <v>1.4699999999999989</v>
      </c>
      <c r="O35" s="136">
        <f t="shared" si="41"/>
        <v>54.330777999999995</v>
      </c>
      <c r="P35" s="136">
        <f t="shared" si="41"/>
        <v>1.5530000000000044</v>
      </c>
      <c r="Q35" s="136">
        <f t="shared" si="41"/>
        <v>1.5529999999999973</v>
      </c>
      <c r="R35" s="136">
        <f t="shared" si="41"/>
        <v>1.5530000000000044</v>
      </c>
      <c r="S35" s="136">
        <f t="shared" si="41"/>
        <v>41.204000000000001</v>
      </c>
      <c r="T35" s="136">
        <f t="shared" si="41"/>
        <v>101.66377800000001</v>
      </c>
      <c r="U35" s="97"/>
      <c r="V35" s="136">
        <f t="shared" ref="V35:AH35" si="42">+SUMIF($E$56:$E$85,$E35,V$56:V$85)</f>
        <v>1.5529999999999999</v>
      </c>
      <c r="W35" s="136">
        <f t="shared" si="42"/>
        <v>0</v>
      </c>
      <c r="X35" s="136">
        <f t="shared" si="42"/>
        <v>3.1065026400000004</v>
      </c>
      <c r="Y35" s="136">
        <f t="shared" si="42"/>
        <v>1.5532513199999993</v>
      </c>
      <c r="Z35" s="136">
        <f t="shared" si="42"/>
        <v>1.5532513200000002</v>
      </c>
      <c r="AA35" s="136">
        <f t="shared" si="42"/>
        <v>1.5532513199999993</v>
      </c>
      <c r="AB35" s="136">
        <f t="shared" si="42"/>
        <v>1.5532513200000011</v>
      </c>
      <c r="AC35" s="136">
        <f t="shared" si="42"/>
        <v>0</v>
      </c>
      <c r="AD35" s="136">
        <f t="shared" si="42"/>
        <v>0</v>
      </c>
      <c r="AE35" s="136">
        <f t="shared" si="42"/>
        <v>0</v>
      </c>
      <c r="AF35" s="136">
        <f t="shared" si="42"/>
        <v>0</v>
      </c>
      <c r="AG35" s="136">
        <f t="shared" si="42"/>
        <v>0</v>
      </c>
      <c r="AH35" s="136">
        <f t="shared" si="42"/>
        <v>10.87250792</v>
      </c>
      <c r="AJ35" s="236"/>
      <c r="AK35" s="236"/>
      <c r="AL35" s="236"/>
      <c r="AM35" s="236"/>
      <c r="AN35" s="236"/>
      <c r="AO35" s="236"/>
      <c r="AP35" s="236"/>
      <c r="AQ35" s="236"/>
      <c r="AR35" s="236"/>
      <c r="AS35" s="236"/>
      <c r="AT35" s="236"/>
      <c r="AU35" s="236"/>
      <c r="AV35" s="236"/>
      <c r="AW35" s="236"/>
      <c r="AX35" s="236"/>
      <c r="AY35" s="236"/>
      <c r="AZ35" s="236"/>
      <c r="BA35" s="236"/>
      <c r="BB35" s="236"/>
      <c r="BC35" s="236"/>
      <c r="BD35" s="236"/>
      <c r="BE35" s="236"/>
      <c r="BF35" s="236"/>
      <c r="BG35" s="236"/>
      <c r="BH35" s="236"/>
      <c r="BI35" s="236"/>
      <c r="BJ35" s="236"/>
      <c r="BK35" s="236"/>
      <c r="BL35" s="418"/>
    </row>
    <row r="36" spans="3:64" s="180" customFormat="1" ht="15" customHeight="1">
      <c r="C36" s="830" t="str">
        <f>IF(Indice_index!$Z$1=1,"Transferências de capital","Capital transfers")</f>
        <v>Transferências de capital</v>
      </c>
      <c r="D36" s="136"/>
      <c r="E36" s="136" t="s">
        <v>35</v>
      </c>
      <c r="F36" s="97"/>
      <c r="G36" s="136">
        <f t="shared" ref="G36:T36" si="43">+G37+G38</f>
        <v>13.88124</v>
      </c>
      <c r="H36" s="136">
        <f t="shared" si="43"/>
        <v>14.138688</v>
      </c>
      <c r="I36" s="136">
        <f t="shared" si="43"/>
        <v>13.929066999999996</v>
      </c>
      <c r="J36" s="136">
        <f t="shared" si="43"/>
        <v>13.865551000000004</v>
      </c>
      <c r="K36" s="136">
        <f t="shared" si="43"/>
        <v>13.901340999999995</v>
      </c>
      <c r="L36" s="136">
        <f t="shared" si="43"/>
        <v>330.87818000000004</v>
      </c>
      <c r="M36" s="136">
        <f t="shared" si="43"/>
        <v>13.865550999999996</v>
      </c>
      <c r="N36" s="136">
        <f t="shared" si="43"/>
        <v>13.865550999999996</v>
      </c>
      <c r="O36" s="136">
        <f t="shared" si="43"/>
        <v>13.865550999999996</v>
      </c>
      <c r="P36" s="136">
        <f t="shared" si="43"/>
        <v>13.865551000000011</v>
      </c>
      <c r="Q36" s="136">
        <f t="shared" si="43"/>
        <v>35.642811999999978</v>
      </c>
      <c r="R36" s="136">
        <f t="shared" si="43"/>
        <v>238.31769623999998</v>
      </c>
      <c r="S36" s="136">
        <f t="shared" si="43"/>
        <v>414.45961799999998</v>
      </c>
      <c r="T36" s="136">
        <f t="shared" si="43"/>
        <v>730.01677924000001</v>
      </c>
      <c r="U36" s="97"/>
      <c r="V36" s="136">
        <f t="shared" ref="V36:AH36" si="44">+V37+V38</f>
        <v>13.88124</v>
      </c>
      <c r="W36" s="136">
        <f t="shared" si="44"/>
        <v>13.88124</v>
      </c>
      <c r="X36" s="136">
        <f t="shared" si="44"/>
        <v>13.881240000000002</v>
      </c>
      <c r="Y36" s="136">
        <f t="shared" si="44"/>
        <v>13.881239999999998</v>
      </c>
      <c r="Z36" s="136">
        <f t="shared" si="44"/>
        <v>13.836239999999997</v>
      </c>
      <c r="AA36" s="136">
        <f t="shared" si="44"/>
        <v>13.881240000000005</v>
      </c>
      <c r="AB36" s="136">
        <f t="shared" ref="AB36" si="45">+AB37+AB38</f>
        <v>0</v>
      </c>
      <c r="AC36" s="136">
        <f t="shared" si="44"/>
        <v>0</v>
      </c>
      <c r="AD36" s="136">
        <f t="shared" si="44"/>
        <v>0</v>
      </c>
      <c r="AE36" s="136">
        <f t="shared" si="44"/>
        <v>0</v>
      </c>
      <c r="AF36" s="136">
        <f t="shared" si="44"/>
        <v>0</v>
      </c>
      <c r="AG36" s="136">
        <f t="shared" si="44"/>
        <v>0</v>
      </c>
      <c r="AH36" s="136">
        <f t="shared" si="44"/>
        <v>83.242440000000002</v>
      </c>
      <c r="AJ36" s="236"/>
      <c r="AK36" s="236"/>
      <c r="AL36" s="236"/>
      <c r="AM36" s="236"/>
      <c r="AN36" s="236"/>
      <c r="AO36" s="236"/>
      <c r="AP36" s="236"/>
      <c r="AQ36" s="236"/>
      <c r="AR36" s="236"/>
      <c r="AS36" s="236"/>
      <c r="AT36" s="236"/>
      <c r="AU36" s="236"/>
      <c r="AV36" s="236"/>
      <c r="AW36" s="236"/>
      <c r="AX36" s="236"/>
      <c r="AY36" s="236"/>
      <c r="AZ36" s="236"/>
      <c r="BA36" s="236"/>
      <c r="BB36" s="236"/>
      <c r="BC36" s="236"/>
      <c r="BD36" s="236"/>
      <c r="BE36" s="236"/>
      <c r="BF36" s="236"/>
      <c r="BG36" s="236"/>
      <c r="BH36" s="236"/>
      <c r="BI36" s="236"/>
      <c r="BJ36" s="236"/>
      <c r="BK36" s="236"/>
      <c r="BL36" s="418"/>
    </row>
    <row r="37" spans="3:64" s="180" customFormat="1" ht="15" customHeight="1">
      <c r="C37" s="831" t="str">
        <f>IF(Indice_index!$Z$1=1,"Administrações Públicas","General Government subsectors")</f>
        <v>Administrações Públicas</v>
      </c>
      <c r="D37" s="136"/>
      <c r="E37" s="136" t="s">
        <v>36</v>
      </c>
      <c r="F37" s="97"/>
      <c r="G37" s="136">
        <f t="shared" ref="G37:T39" si="46">+SUMIF($E$56:$E$85,$E37,G$56:G$85)</f>
        <v>13.88124</v>
      </c>
      <c r="H37" s="136">
        <f t="shared" si="46"/>
        <v>14.138688</v>
      </c>
      <c r="I37" s="136">
        <f t="shared" si="46"/>
        <v>13.929066999999996</v>
      </c>
      <c r="J37" s="136">
        <f t="shared" si="46"/>
        <v>13.865551000000004</v>
      </c>
      <c r="K37" s="136">
        <f t="shared" si="46"/>
        <v>13.901340999999995</v>
      </c>
      <c r="L37" s="136">
        <f t="shared" si="46"/>
        <v>13.865551000000011</v>
      </c>
      <c r="M37" s="136">
        <f t="shared" si="46"/>
        <v>13.865550999999996</v>
      </c>
      <c r="N37" s="136">
        <f t="shared" si="46"/>
        <v>13.865550999999996</v>
      </c>
      <c r="O37" s="136">
        <f t="shared" si="46"/>
        <v>13.865550999999996</v>
      </c>
      <c r="P37" s="136">
        <f t="shared" si="46"/>
        <v>13.865551000000011</v>
      </c>
      <c r="Q37" s="136">
        <f t="shared" si="46"/>
        <v>13.865550999999982</v>
      </c>
      <c r="R37" s="136">
        <f t="shared" si="46"/>
        <v>13.667325999999974</v>
      </c>
      <c r="S37" s="136">
        <f t="shared" si="46"/>
        <v>97.446989000000002</v>
      </c>
      <c r="T37" s="136">
        <f t="shared" si="46"/>
        <v>166.57651899999996</v>
      </c>
      <c r="U37" s="97"/>
      <c r="V37" s="136">
        <f t="shared" ref="V37:AH39" si="47">+SUMIF($E$56:$E$85,$E37,V$56:V$85)</f>
        <v>13.88124</v>
      </c>
      <c r="W37" s="136">
        <f>+SUMIF($E$56:$E$85,$E37,W$56:W$85)</f>
        <v>13.88124</v>
      </c>
      <c r="X37" s="136">
        <f t="shared" si="47"/>
        <v>13.881240000000002</v>
      </c>
      <c r="Y37" s="136">
        <f t="shared" si="47"/>
        <v>13.881239999999998</v>
      </c>
      <c r="Z37" s="136">
        <f t="shared" si="47"/>
        <v>13.836239999999997</v>
      </c>
      <c r="AA37" s="136">
        <f t="shared" si="47"/>
        <v>13.881240000000005</v>
      </c>
      <c r="AB37" s="136">
        <f t="shared" si="47"/>
        <v>0</v>
      </c>
      <c r="AC37" s="136">
        <f t="shared" si="47"/>
        <v>0</v>
      </c>
      <c r="AD37" s="136">
        <f t="shared" si="47"/>
        <v>0</v>
      </c>
      <c r="AE37" s="136">
        <f t="shared" si="47"/>
        <v>0</v>
      </c>
      <c r="AF37" s="136">
        <f t="shared" si="47"/>
        <v>0</v>
      </c>
      <c r="AG37" s="136">
        <f t="shared" si="47"/>
        <v>0</v>
      </c>
      <c r="AH37" s="136">
        <f t="shared" si="47"/>
        <v>83.242440000000002</v>
      </c>
      <c r="AJ37" s="236"/>
      <c r="AK37" s="236"/>
      <c r="AL37" s="236"/>
      <c r="AM37" s="236"/>
      <c r="AN37" s="236"/>
      <c r="AO37" s="236"/>
      <c r="AP37" s="236"/>
      <c r="AQ37" s="236"/>
      <c r="AR37" s="236"/>
      <c r="AS37" s="236"/>
      <c r="AT37" s="236"/>
      <c r="AU37" s="236"/>
      <c r="AV37" s="236"/>
      <c r="AW37" s="236"/>
      <c r="AX37" s="236"/>
      <c r="AY37" s="236"/>
      <c r="AZ37" s="236"/>
      <c r="BA37" s="236"/>
      <c r="BB37" s="236"/>
      <c r="BC37" s="236"/>
      <c r="BD37" s="236"/>
      <c r="BE37" s="236"/>
      <c r="BF37" s="236"/>
      <c r="BG37" s="236"/>
      <c r="BH37" s="236"/>
      <c r="BI37" s="236"/>
      <c r="BJ37" s="236"/>
      <c r="BK37" s="236"/>
      <c r="BL37" s="418"/>
    </row>
    <row r="38" spans="3:64" s="180" customFormat="1" ht="15" customHeight="1">
      <c r="C38" s="831" t="str">
        <f>IF(Indice_index!$Z$1=1,"Outras","Others")</f>
        <v>Outras</v>
      </c>
      <c r="D38" s="136"/>
      <c r="E38" s="136" t="s">
        <v>37</v>
      </c>
      <c r="F38" s="97"/>
      <c r="G38" s="136">
        <f t="shared" si="46"/>
        <v>0</v>
      </c>
      <c r="H38" s="136">
        <f t="shared" si="46"/>
        <v>0</v>
      </c>
      <c r="I38" s="136">
        <f t="shared" si="46"/>
        <v>0</v>
      </c>
      <c r="J38" s="136">
        <f t="shared" si="46"/>
        <v>0</v>
      </c>
      <c r="K38" s="136">
        <f t="shared" si="46"/>
        <v>0</v>
      </c>
      <c r="L38" s="136">
        <f t="shared" si="46"/>
        <v>317.012629</v>
      </c>
      <c r="M38" s="136">
        <f t="shared" si="46"/>
        <v>0</v>
      </c>
      <c r="N38" s="136">
        <f t="shared" si="46"/>
        <v>0</v>
      </c>
      <c r="O38" s="136">
        <f t="shared" si="46"/>
        <v>0</v>
      </c>
      <c r="P38" s="136">
        <f t="shared" si="46"/>
        <v>0</v>
      </c>
      <c r="Q38" s="136">
        <f t="shared" si="46"/>
        <v>21.777260999999999</v>
      </c>
      <c r="R38" s="136">
        <f t="shared" si="46"/>
        <v>224.65037024</v>
      </c>
      <c r="S38" s="136">
        <f t="shared" si="46"/>
        <v>317.012629</v>
      </c>
      <c r="T38" s="136">
        <f t="shared" si="46"/>
        <v>563.44026024000004</v>
      </c>
      <c r="U38" s="97"/>
      <c r="V38" s="136">
        <f t="shared" si="47"/>
        <v>0</v>
      </c>
      <c r="W38" s="136">
        <f t="shared" si="47"/>
        <v>0</v>
      </c>
      <c r="X38" s="136">
        <f t="shared" si="47"/>
        <v>0</v>
      </c>
      <c r="Y38" s="136">
        <f t="shared" si="47"/>
        <v>0</v>
      </c>
      <c r="Z38" s="136">
        <f t="shared" si="47"/>
        <v>0</v>
      </c>
      <c r="AA38" s="136">
        <f t="shared" si="47"/>
        <v>0</v>
      </c>
      <c r="AB38" s="136">
        <f t="shared" si="47"/>
        <v>0</v>
      </c>
      <c r="AC38" s="136">
        <f t="shared" si="47"/>
        <v>0</v>
      </c>
      <c r="AD38" s="136">
        <f t="shared" si="47"/>
        <v>0</v>
      </c>
      <c r="AE38" s="136">
        <f t="shared" si="47"/>
        <v>0</v>
      </c>
      <c r="AF38" s="136">
        <f t="shared" si="47"/>
        <v>0</v>
      </c>
      <c r="AG38" s="136">
        <f t="shared" si="47"/>
        <v>0</v>
      </c>
      <c r="AH38" s="136">
        <f t="shared" si="47"/>
        <v>0</v>
      </c>
      <c r="AJ38" s="236"/>
      <c r="AK38" s="236"/>
      <c r="AL38" s="236"/>
      <c r="AM38" s="236"/>
      <c r="AN38" s="236"/>
      <c r="AO38" s="236"/>
      <c r="AP38" s="236"/>
      <c r="AQ38" s="236"/>
      <c r="AR38" s="236"/>
      <c r="AS38" s="236"/>
      <c r="AT38" s="236"/>
      <c r="AU38" s="236"/>
      <c r="AV38" s="236"/>
      <c r="AW38" s="236"/>
      <c r="AX38" s="236"/>
      <c r="AY38" s="236"/>
      <c r="AZ38" s="236"/>
      <c r="BA38" s="236"/>
      <c r="BB38" s="236"/>
      <c r="BC38" s="236"/>
      <c r="BD38" s="236"/>
      <c r="BE38" s="236"/>
      <c r="BF38" s="236"/>
      <c r="BG38" s="236"/>
      <c r="BH38" s="236"/>
      <c r="BI38" s="236"/>
      <c r="BJ38" s="236"/>
      <c r="BK38" s="236"/>
      <c r="BL38" s="418"/>
    </row>
    <row r="39" spans="3:64" s="180" customFormat="1" ht="15" customHeight="1">
      <c r="C39" s="830" t="str">
        <f>IF(Indice_index!$Z$1=1,"Outras despesas de capital","Other capital expenditure")</f>
        <v>Outras despesas de capital</v>
      </c>
      <c r="D39" s="136"/>
      <c r="E39" s="136" t="s">
        <v>38</v>
      </c>
      <c r="F39" s="97"/>
      <c r="G39" s="136">
        <f t="shared" si="46"/>
        <v>0</v>
      </c>
      <c r="H39" s="136">
        <f t="shared" si="46"/>
        <v>0</v>
      </c>
      <c r="I39" s="136">
        <f t="shared" si="46"/>
        <v>0</v>
      </c>
      <c r="J39" s="136">
        <f t="shared" si="46"/>
        <v>0</v>
      </c>
      <c r="K39" s="136">
        <f t="shared" si="46"/>
        <v>0</v>
      </c>
      <c r="L39" s="136">
        <f t="shared" si="46"/>
        <v>0</v>
      </c>
      <c r="M39" s="136">
        <f t="shared" si="46"/>
        <v>0</v>
      </c>
      <c r="N39" s="136">
        <f t="shared" si="46"/>
        <v>0</v>
      </c>
      <c r="O39" s="136">
        <f t="shared" si="46"/>
        <v>0</v>
      </c>
      <c r="P39" s="136">
        <f t="shared" si="46"/>
        <v>0</v>
      </c>
      <c r="Q39" s="136">
        <f t="shared" si="46"/>
        <v>0</v>
      </c>
      <c r="R39" s="136">
        <f t="shared" si="46"/>
        <v>0</v>
      </c>
      <c r="S39" s="136">
        <f t="shared" si="46"/>
        <v>0</v>
      </c>
      <c r="T39" s="136">
        <f t="shared" si="46"/>
        <v>0</v>
      </c>
      <c r="U39" s="97"/>
      <c r="V39" s="136">
        <f t="shared" si="47"/>
        <v>0</v>
      </c>
      <c r="W39" s="136">
        <f t="shared" si="47"/>
        <v>0</v>
      </c>
      <c r="X39" s="136">
        <f t="shared" si="47"/>
        <v>0</v>
      </c>
      <c r="Y39" s="136">
        <f t="shared" si="47"/>
        <v>0</v>
      </c>
      <c r="Z39" s="136">
        <f t="shared" si="47"/>
        <v>0</v>
      </c>
      <c r="AA39" s="136">
        <f t="shared" si="47"/>
        <v>0</v>
      </c>
      <c r="AB39" s="136">
        <f t="shared" si="47"/>
        <v>0</v>
      </c>
      <c r="AC39" s="136">
        <f t="shared" si="47"/>
        <v>0</v>
      </c>
      <c r="AD39" s="136">
        <f t="shared" si="47"/>
        <v>0</v>
      </c>
      <c r="AE39" s="136">
        <f t="shared" si="47"/>
        <v>0</v>
      </c>
      <c r="AF39" s="136">
        <f t="shared" si="47"/>
        <v>0</v>
      </c>
      <c r="AG39" s="136">
        <f t="shared" si="47"/>
        <v>0</v>
      </c>
      <c r="AH39" s="136">
        <f t="shared" si="47"/>
        <v>0</v>
      </c>
      <c r="AJ39" s="236"/>
      <c r="AK39" s="236"/>
      <c r="AL39" s="236"/>
      <c r="AM39" s="236"/>
      <c r="AN39" s="236"/>
      <c r="AO39" s="236"/>
      <c r="AP39" s="236"/>
      <c r="AQ39" s="236"/>
      <c r="AR39" s="236"/>
      <c r="AS39" s="236"/>
      <c r="AT39" s="236"/>
      <c r="AU39" s="236"/>
      <c r="AV39" s="236"/>
      <c r="AW39" s="236"/>
      <c r="AX39" s="236"/>
      <c r="AY39" s="236"/>
      <c r="AZ39" s="236"/>
      <c r="BA39" s="236"/>
      <c r="BB39" s="236"/>
      <c r="BC39" s="236"/>
      <c r="BD39" s="236"/>
      <c r="BE39" s="236"/>
      <c r="BF39" s="236"/>
      <c r="BG39" s="236"/>
      <c r="BH39" s="236"/>
      <c r="BI39" s="236"/>
      <c r="BJ39" s="236"/>
      <c r="BK39" s="236"/>
      <c r="BL39" s="418"/>
    </row>
    <row r="40" spans="3:64" s="180" customFormat="1" ht="4.5" customHeight="1">
      <c r="C40" s="832"/>
      <c r="D40" s="136"/>
      <c r="E40" s="136"/>
      <c r="F40" s="97"/>
      <c r="G40" s="136"/>
      <c r="H40" s="136"/>
      <c r="I40" s="136"/>
      <c r="J40" s="136"/>
      <c r="K40" s="136"/>
      <c r="L40" s="136"/>
      <c r="M40" s="136"/>
      <c r="N40" s="136"/>
      <c r="O40" s="136"/>
      <c r="P40" s="136"/>
      <c r="Q40" s="136"/>
      <c r="R40" s="136"/>
      <c r="S40" s="136"/>
      <c r="T40" s="136"/>
      <c r="U40" s="97"/>
      <c r="V40" s="136"/>
      <c r="W40" s="136"/>
      <c r="X40" s="136"/>
      <c r="Y40" s="136"/>
      <c r="Z40" s="136"/>
      <c r="AA40" s="136"/>
      <c r="AB40" s="136"/>
      <c r="AC40" s="136"/>
      <c r="AD40" s="136"/>
      <c r="AE40" s="136"/>
      <c r="AF40" s="136"/>
      <c r="AG40" s="136"/>
      <c r="AH40" s="136"/>
      <c r="AJ40" s="236"/>
      <c r="AK40" s="236"/>
      <c r="AL40" s="236"/>
      <c r="AM40" s="236"/>
      <c r="AN40" s="236"/>
      <c r="AO40" s="236"/>
      <c r="AP40" s="236"/>
      <c r="AQ40" s="236"/>
      <c r="AR40" s="236"/>
      <c r="AS40" s="236"/>
      <c r="AT40" s="236"/>
      <c r="AU40" s="236"/>
      <c r="AV40" s="236"/>
      <c r="AW40" s="236"/>
      <c r="AX40" s="236"/>
      <c r="AY40" s="236"/>
      <c r="AZ40" s="236"/>
      <c r="BA40" s="236"/>
      <c r="BB40" s="236"/>
      <c r="BC40" s="236"/>
      <c r="BD40" s="236"/>
      <c r="BE40" s="236"/>
      <c r="BF40" s="236"/>
      <c r="BG40" s="236"/>
      <c r="BH40" s="236"/>
      <c r="BI40" s="236"/>
      <c r="BJ40" s="236"/>
      <c r="BK40" s="236"/>
      <c r="BL40" s="418"/>
    </row>
    <row r="41" spans="3:64" s="319" customFormat="1" ht="15" customHeight="1">
      <c r="C41" s="833" t="str">
        <f>IF(Indice_index!$Z$1=1,"Despesa efetiva","Effective Expenditure")</f>
        <v>Despesa efetiva</v>
      </c>
      <c r="D41" s="834"/>
      <c r="E41" s="835"/>
      <c r="F41" s="251"/>
      <c r="G41" s="834">
        <f t="shared" ref="G41:T41" si="48">+G25+G34</f>
        <v>58.011006109999997</v>
      </c>
      <c r="H41" s="835">
        <f t="shared" si="48"/>
        <v>14.138688</v>
      </c>
      <c r="I41" s="835">
        <f t="shared" si="48"/>
        <v>101.22906699999999</v>
      </c>
      <c r="J41" s="835">
        <f t="shared" si="48"/>
        <v>58.081165000000006</v>
      </c>
      <c r="K41" s="835">
        <f t="shared" si="48"/>
        <v>15.331340999999995</v>
      </c>
      <c r="L41" s="835">
        <f t="shared" si="48"/>
        <v>332.31218000000001</v>
      </c>
      <c r="M41" s="835">
        <f t="shared" si="48"/>
        <v>-256.57174554000005</v>
      </c>
      <c r="N41" s="835">
        <f t="shared" si="48"/>
        <v>349.97198581999999</v>
      </c>
      <c r="O41" s="835">
        <f t="shared" si="48"/>
        <v>77.991138439999986</v>
      </c>
      <c r="P41" s="835">
        <f t="shared" si="48"/>
        <v>21.288442590000045</v>
      </c>
      <c r="Q41" s="835">
        <f t="shared" si="48"/>
        <v>37.183738090000006</v>
      </c>
      <c r="R41" s="835">
        <f t="shared" si="48"/>
        <v>811.21063387999993</v>
      </c>
      <c r="S41" s="835">
        <f t="shared" si="48"/>
        <v>322.53170157</v>
      </c>
      <c r="T41" s="834">
        <f t="shared" si="48"/>
        <v>1620.1776403899999</v>
      </c>
      <c r="U41" s="251"/>
      <c r="V41" s="834">
        <f t="shared" ref="V41:AH41" si="49">+V25+V34</f>
        <v>37.033734170000002</v>
      </c>
      <c r="W41" s="835">
        <f t="shared" si="49"/>
        <v>19.998387999999998</v>
      </c>
      <c r="X41" s="835">
        <f t="shared" si="49"/>
        <v>18.944890640000001</v>
      </c>
      <c r="Y41" s="835">
        <f t="shared" si="49"/>
        <v>17.391639319999996</v>
      </c>
      <c r="Z41" s="835">
        <f t="shared" si="49"/>
        <v>17.346639319999998</v>
      </c>
      <c r="AA41" s="835">
        <f t="shared" si="49"/>
        <v>17.391639320000003</v>
      </c>
      <c r="AB41" s="835">
        <f t="shared" ref="AB41" si="50">+AB25+AB34</f>
        <v>32.072128319999997</v>
      </c>
      <c r="AC41" s="835">
        <f t="shared" si="49"/>
        <v>0</v>
      </c>
      <c r="AD41" s="835">
        <f t="shared" si="49"/>
        <v>0</v>
      </c>
      <c r="AE41" s="835">
        <f t="shared" si="49"/>
        <v>0</v>
      </c>
      <c r="AF41" s="835">
        <f t="shared" si="49"/>
        <v>0</v>
      </c>
      <c r="AG41" s="835">
        <f t="shared" si="49"/>
        <v>0</v>
      </c>
      <c r="AH41" s="834">
        <f t="shared" si="49"/>
        <v>160.17905909000001</v>
      </c>
      <c r="AJ41" s="320"/>
      <c r="AK41" s="320"/>
      <c r="AL41" s="320"/>
      <c r="AM41" s="320"/>
      <c r="AN41" s="320"/>
      <c r="AO41" s="320"/>
      <c r="AP41" s="320"/>
      <c r="AQ41" s="320"/>
      <c r="AR41" s="320"/>
      <c r="AS41" s="320"/>
      <c r="AT41" s="320"/>
      <c r="AU41" s="320"/>
      <c r="AV41" s="320"/>
      <c r="AW41" s="320"/>
      <c r="AX41" s="320"/>
      <c r="AY41" s="320"/>
      <c r="AZ41" s="320"/>
      <c r="BA41" s="320"/>
      <c r="BB41" s="320"/>
      <c r="BC41" s="320"/>
      <c r="BD41" s="320"/>
      <c r="BE41" s="320"/>
      <c r="BF41" s="320"/>
      <c r="BG41" s="320"/>
      <c r="BH41" s="320"/>
      <c r="BI41" s="320"/>
      <c r="BJ41" s="320"/>
      <c r="BK41" s="320"/>
      <c r="BL41" s="419"/>
    </row>
    <row r="42" spans="3:64" ht="5.45" customHeight="1">
      <c r="D42" s="63"/>
      <c r="E42" s="63"/>
      <c r="G42" s="63"/>
      <c r="H42" s="63"/>
      <c r="I42" s="63"/>
      <c r="J42" s="63"/>
      <c r="K42" s="63"/>
      <c r="L42" s="63"/>
      <c r="M42" s="63"/>
      <c r="N42" s="63"/>
      <c r="O42" s="63"/>
      <c r="P42" s="63"/>
      <c r="Q42" s="63"/>
      <c r="R42" s="63"/>
      <c r="S42" s="63"/>
      <c r="T42" s="63"/>
      <c r="V42" s="63"/>
      <c r="W42" s="63"/>
      <c r="X42" s="63"/>
      <c r="Y42" s="63"/>
      <c r="Z42" s="63"/>
      <c r="AA42" s="63"/>
      <c r="AB42" s="63"/>
      <c r="AC42" s="63"/>
      <c r="AD42" s="63"/>
      <c r="AE42" s="63"/>
      <c r="AF42" s="63"/>
      <c r="AG42" s="63"/>
      <c r="AH42" s="63"/>
      <c r="AJ42" s="236"/>
      <c r="AK42" s="236"/>
      <c r="AL42" s="236"/>
      <c r="AM42" s="236"/>
      <c r="AN42" s="236"/>
      <c r="AO42" s="236"/>
      <c r="AP42" s="236"/>
      <c r="AQ42" s="236"/>
      <c r="AR42" s="236"/>
      <c r="AS42" s="236"/>
      <c r="AT42" s="236"/>
      <c r="AU42" s="236"/>
      <c r="AV42" s="236"/>
      <c r="AW42" s="236"/>
      <c r="AX42" s="236"/>
      <c r="AY42" s="236"/>
      <c r="AZ42" s="236"/>
      <c r="BA42" s="236"/>
      <c r="BB42" s="236"/>
      <c r="BC42" s="236"/>
      <c r="BD42" s="236"/>
      <c r="BE42" s="236"/>
      <c r="BF42" s="236"/>
      <c r="BG42" s="236"/>
      <c r="BH42" s="236"/>
      <c r="BI42" s="236"/>
      <c r="BJ42" s="236"/>
      <c r="BK42" s="236"/>
    </row>
    <row r="43" spans="3:64" s="321" customFormat="1" ht="15" customHeight="1">
      <c r="C43" s="833" t="str">
        <f>IF(Indice_index!$Z$1=1,"Impacto no Saldo global","Impact in Overall balance")</f>
        <v>Impacto no Saldo global</v>
      </c>
      <c r="D43" s="834"/>
      <c r="E43" s="834"/>
      <c r="F43" s="251"/>
      <c r="G43" s="834">
        <f t="shared" ref="G43:T43" si="51">+G23-G41</f>
        <v>0.71871592000000817</v>
      </c>
      <c r="H43" s="834">
        <f t="shared" si="51"/>
        <v>62.01678896</v>
      </c>
      <c r="I43" s="834">
        <f t="shared" si="51"/>
        <v>27.457273049999998</v>
      </c>
      <c r="J43" s="834">
        <f t="shared" si="51"/>
        <v>11.700735579999979</v>
      </c>
      <c r="K43" s="834">
        <f t="shared" si="51"/>
        <v>360.15229293000004</v>
      </c>
      <c r="L43" s="834">
        <f t="shared" si="51"/>
        <v>-242.89344172</v>
      </c>
      <c r="M43" s="834">
        <f t="shared" si="51"/>
        <v>278.89880155000003</v>
      </c>
      <c r="N43" s="834">
        <f t="shared" si="51"/>
        <v>-333.81223711000001</v>
      </c>
      <c r="O43" s="834">
        <f t="shared" si="51"/>
        <v>-55.55393137999998</v>
      </c>
      <c r="P43" s="834">
        <f t="shared" si="51"/>
        <v>53.14314811999995</v>
      </c>
      <c r="Q43" s="834">
        <f t="shared" si="51"/>
        <v>615.86513494000008</v>
      </c>
      <c r="R43" s="834">
        <f t="shared" si="51"/>
        <v>-258.50619419999998</v>
      </c>
      <c r="S43" s="834">
        <f t="shared" si="51"/>
        <v>498.05116627000018</v>
      </c>
      <c r="T43" s="834">
        <f t="shared" si="51"/>
        <v>519.18708663999996</v>
      </c>
      <c r="U43" s="251"/>
      <c r="V43" s="834">
        <f t="shared" ref="V43:AH43" si="52">+V23-V41</f>
        <v>44.322210299999995</v>
      </c>
      <c r="W43" s="834">
        <f t="shared" si="52"/>
        <v>29.070925070000001</v>
      </c>
      <c r="X43" s="834">
        <f t="shared" si="52"/>
        <v>63.206733099999994</v>
      </c>
      <c r="Y43" s="834">
        <f t="shared" si="52"/>
        <v>35.02547508</v>
      </c>
      <c r="Z43" s="834">
        <f t="shared" si="52"/>
        <v>309.10529980000001</v>
      </c>
      <c r="AA43" s="834">
        <f t="shared" si="52"/>
        <v>298.00605199</v>
      </c>
      <c r="AB43" s="834">
        <f t="shared" ref="AB43" si="53">+AB23-AB41</f>
        <v>1.2530921000000035</v>
      </c>
      <c r="AC43" s="834">
        <f t="shared" si="52"/>
        <v>0</v>
      </c>
      <c r="AD43" s="834">
        <f t="shared" si="52"/>
        <v>0</v>
      </c>
      <c r="AE43" s="834">
        <f t="shared" si="52"/>
        <v>0</v>
      </c>
      <c r="AF43" s="834">
        <f t="shared" si="52"/>
        <v>0</v>
      </c>
      <c r="AG43" s="834">
        <f t="shared" si="52"/>
        <v>0</v>
      </c>
      <c r="AH43" s="834">
        <f t="shared" si="52"/>
        <v>779.9897874400001</v>
      </c>
      <c r="AJ43" s="320"/>
      <c r="AK43" s="320"/>
      <c r="AL43" s="320"/>
      <c r="AM43" s="320"/>
      <c r="AN43" s="320"/>
      <c r="AO43" s="320"/>
      <c r="AP43" s="320"/>
      <c r="AQ43" s="320"/>
      <c r="AR43" s="320"/>
      <c r="AS43" s="320"/>
      <c r="AT43" s="320"/>
      <c r="AU43" s="320"/>
      <c r="AV43" s="320"/>
      <c r="AW43" s="320"/>
      <c r="AX43" s="320"/>
      <c r="AY43" s="320"/>
      <c r="AZ43" s="320"/>
      <c r="BA43" s="320"/>
      <c r="BB43" s="320"/>
      <c r="BC43" s="320"/>
      <c r="BD43" s="320"/>
      <c r="BE43" s="320"/>
      <c r="BF43" s="320"/>
      <c r="BG43" s="320"/>
      <c r="BH43" s="320"/>
      <c r="BI43" s="320"/>
      <c r="BJ43" s="320"/>
      <c r="BK43" s="320"/>
      <c r="BL43" s="419"/>
    </row>
    <row r="44" spans="3:64" ht="4.5" customHeight="1">
      <c r="C44" s="836"/>
      <c r="D44" s="837"/>
      <c r="E44" s="837"/>
      <c r="G44" s="837"/>
      <c r="H44" s="837"/>
      <c r="I44" s="837"/>
      <c r="J44" s="837"/>
      <c r="K44" s="837"/>
      <c r="L44" s="837"/>
      <c r="M44" s="837"/>
      <c r="N44" s="837"/>
      <c r="O44" s="837"/>
      <c r="P44" s="837"/>
      <c r="Q44" s="837"/>
      <c r="R44" s="837"/>
      <c r="S44" s="837"/>
      <c r="T44" s="837"/>
      <c r="V44" s="837"/>
      <c r="W44" s="837"/>
      <c r="X44" s="837"/>
      <c r="Y44" s="837"/>
      <c r="Z44" s="837"/>
      <c r="AA44" s="837"/>
      <c r="AB44" s="837"/>
      <c r="AC44" s="837"/>
      <c r="AD44" s="837"/>
      <c r="AE44" s="837"/>
      <c r="AF44" s="837"/>
      <c r="AG44" s="837"/>
      <c r="AH44" s="837"/>
      <c r="AJ44" s="236"/>
      <c r="AK44" s="236"/>
      <c r="AL44" s="236"/>
      <c r="AM44" s="236"/>
      <c r="AN44" s="236"/>
      <c r="AO44" s="236"/>
      <c r="AP44" s="236"/>
      <c r="AQ44" s="236"/>
      <c r="AR44" s="236"/>
      <c r="AS44" s="236"/>
      <c r="AT44" s="236"/>
      <c r="AU44" s="236"/>
      <c r="AV44" s="236"/>
      <c r="AW44" s="236"/>
      <c r="AX44" s="236"/>
      <c r="AY44" s="236"/>
      <c r="AZ44" s="236"/>
      <c r="BA44" s="236"/>
      <c r="BB44" s="236"/>
      <c r="BC44" s="236"/>
      <c r="BD44" s="236"/>
      <c r="BE44" s="236"/>
      <c r="BF44" s="236"/>
      <c r="BG44" s="236"/>
      <c r="BH44" s="236"/>
      <c r="BI44" s="236"/>
      <c r="BJ44" s="236"/>
      <c r="BK44" s="236"/>
    </row>
    <row r="45" spans="3:64" ht="15" customHeight="1">
      <c r="C45" s="838" t="str">
        <f>IF(Indice_index!$Z$1=1,"   Por memória:","   Memo item:")</f>
        <v xml:space="preserve">   Por memória:</v>
      </c>
      <c r="D45" s="63"/>
      <c r="E45" s="63"/>
      <c r="G45" s="63"/>
      <c r="H45" s="63"/>
      <c r="I45" s="63"/>
      <c r="J45" s="63"/>
      <c r="K45" s="63"/>
      <c r="L45" s="63"/>
      <c r="M45" s="63"/>
      <c r="N45" s="63"/>
      <c r="O45" s="63"/>
      <c r="P45" s="63"/>
      <c r="Q45" s="63"/>
      <c r="R45" s="63"/>
      <c r="S45" s="63"/>
      <c r="T45" s="63"/>
      <c r="V45" s="63"/>
      <c r="W45" s="63"/>
      <c r="X45" s="63"/>
      <c r="Y45" s="63"/>
      <c r="Z45" s="63"/>
      <c r="AA45" s="63"/>
      <c r="AB45" s="63"/>
      <c r="AC45" s="63"/>
      <c r="AD45" s="63"/>
      <c r="AE45" s="63"/>
      <c r="AF45" s="63"/>
      <c r="AG45" s="63"/>
      <c r="AH45" s="63"/>
      <c r="AJ45" s="236"/>
      <c r="AK45" s="236"/>
      <c r="AL45" s="236"/>
      <c r="AM45" s="236"/>
      <c r="AN45" s="236"/>
      <c r="AO45" s="236"/>
      <c r="AP45" s="236"/>
      <c r="AQ45" s="236"/>
      <c r="AR45" s="236"/>
      <c r="AS45" s="236"/>
      <c r="AT45" s="236"/>
      <c r="AU45" s="236"/>
      <c r="AV45" s="236"/>
      <c r="AW45" s="236"/>
      <c r="AX45" s="236"/>
      <c r="AY45" s="236"/>
      <c r="AZ45" s="236"/>
      <c r="BA45" s="236"/>
      <c r="BB45" s="236"/>
      <c r="BC45" s="236"/>
      <c r="BD45" s="236"/>
      <c r="BE45" s="236"/>
      <c r="BF45" s="236"/>
      <c r="BG45" s="236"/>
      <c r="BH45" s="236"/>
      <c r="BI45" s="236"/>
      <c r="BJ45" s="236"/>
      <c r="BK45" s="236"/>
    </row>
    <row r="46" spans="3:64" s="180" customFormat="1" ht="15" customHeight="1">
      <c r="C46" s="831" t="str">
        <f>IF(Indice_index!$Z$1=1,"Saldo corrente","Current balance")</f>
        <v>Saldo corrente</v>
      </c>
      <c r="D46" s="136"/>
      <c r="E46" s="136"/>
      <c r="F46" s="97"/>
      <c r="G46" s="136">
        <f t="shared" ref="G46:T46" si="54">+G8-G25</f>
        <v>14.599955920000006</v>
      </c>
      <c r="H46" s="136">
        <f t="shared" si="54"/>
        <v>49.319399959999998</v>
      </c>
      <c r="I46" s="136">
        <f t="shared" si="54"/>
        <v>41.386340049999987</v>
      </c>
      <c r="J46" s="136">
        <f t="shared" si="54"/>
        <v>63.906286579999986</v>
      </c>
      <c r="K46" s="136">
        <f t="shared" si="54"/>
        <v>375.48363393000005</v>
      </c>
      <c r="L46" s="136">
        <f t="shared" si="54"/>
        <v>89.418738279999999</v>
      </c>
      <c r="M46" s="136">
        <f t="shared" si="54"/>
        <v>292.76435255000001</v>
      </c>
      <c r="N46" s="136">
        <f t="shared" si="54"/>
        <v>-318.47668611</v>
      </c>
      <c r="O46" s="136">
        <f t="shared" si="54"/>
        <v>12.642397620000008</v>
      </c>
      <c r="P46" s="136">
        <f t="shared" si="54"/>
        <v>68.561699119999957</v>
      </c>
      <c r="Q46" s="136">
        <f t="shared" si="54"/>
        <v>653.06094694000012</v>
      </c>
      <c r="R46" s="136">
        <f t="shared" si="54"/>
        <v>-18.635497960000066</v>
      </c>
      <c r="S46" s="136">
        <f t="shared" si="54"/>
        <v>926.87870727000018</v>
      </c>
      <c r="T46" s="136">
        <f t="shared" si="54"/>
        <v>1324.0315668799999</v>
      </c>
      <c r="U46" s="97"/>
      <c r="V46" s="136">
        <f t="shared" ref="V46:AH46" si="55">+V8-V25</f>
        <v>59.756450299999997</v>
      </c>
      <c r="W46" s="136">
        <f t="shared" si="55"/>
        <v>42.95216507</v>
      </c>
      <c r="X46" s="136">
        <f t="shared" si="55"/>
        <v>50.194475740000001</v>
      </c>
      <c r="Y46" s="136">
        <f t="shared" si="55"/>
        <v>50.459966399999999</v>
      </c>
      <c r="Z46" s="136">
        <f t="shared" si="55"/>
        <v>324.49479112</v>
      </c>
      <c r="AA46" s="136">
        <f t="shared" si="55"/>
        <v>313.44054331000001</v>
      </c>
      <c r="AB46" s="136">
        <f t="shared" si="55"/>
        <v>2.8063434200000046</v>
      </c>
      <c r="AC46" s="136">
        <f t="shared" si="55"/>
        <v>0</v>
      </c>
      <c r="AD46" s="136">
        <f t="shared" si="55"/>
        <v>0</v>
      </c>
      <c r="AE46" s="136">
        <f t="shared" si="55"/>
        <v>0</v>
      </c>
      <c r="AF46" s="136">
        <f t="shared" si="55"/>
        <v>0</v>
      </c>
      <c r="AG46" s="136">
        <f t="shared" si="55"/>
        <v>0</v>
      </c>
      <c r="AH46" s="136">
        <f t="shared" si="55"/>
        <v>844.10473536000018</v>
      </c>
      <c r="AJ46" s="236"/>
      <c r="AK46" s="236"/>
      <c r="AL46" s="236"/>
      <c r="AM46" s="236"/>
      <c r="AN46" s="236"/>
      <c r="AO46" s="236"/>
      <c r="AP46" s="236"/>
      <c r="AQ46" s="236"/>
      <c r="AR46" s="236"/>
      <c r="AS46" s="236"/>
      <c r="AT46" s="236"/>
      <c r="AU46" s="236"/>
      <c r="AV46" s="236"/>
      <c r="AW46" s="236"/>
      <c r="AX46" s="236"/>
      <c r="AY46" s="236"/>
      <c r="AZ46" s="236"/>
      <c r="BA46" s="236"/>
      <c r="BB46" s="236"/>
      <c r="BC46" s="236"/>
      <c r="BD46" s="236"/>
      <c r="BE46" s="236"/>
      <c r="BF46" s="236"/>
      <c r="BG46" s="236"/>
      <c r="BH46" s="236"/>
      <c r="BI46" s="236"/>
      <c r="BJ46" s="236"/>
      <c r="BK46" s="236"/>
      <c r="BL46" s="418"/>
    </row>
    <row r="47" spans="3:64" s="180" customFormat="1" ht="15" customHeight="1">
      <c r="C47" s="831" t="str">
        <f>IF(Indice_index!$Z$1=1,"Saldo de capital","Capital balance")</f>
        <v>Saldo de capital</v>
      </c>
      <c r="D47" s="136"/>
      <c r="E47" s="136"/>
      <c r="F47" s="97"/>
      <c r="G47" s="136">
        <f t="shared" ref="G47:T47" si="56">+G16-G34</f>
        <v>-13.88124</v>
      </c>
      <c r="H47" s="136">
        <f t="shared" si="56"/>
        <v>12.697388999999999</v>
      </c>
      <c r="I47" s="136">
        <f t="shared" si="56"/>
        <v>-13.929066999999996</v>
      </c>
      <c r="J47" s="136">
        <f t="shared" si="56"/>
        <v>-52.205551000000007</v>
      </c>
      <c r="K47" s="136">
        <f t="shared" si="56"/>
        <v>-15.331340999999995</v>
      </c>
      <c r="L47" s="136">
        <f t="shared" si="56"/>
        <v>-332.31218000000001</v>
      </c>
      <c r="M47" s="136">
        <f t="shared" si="56"/>
        <v>-13.865550999999996</v>
      </c>
      <c r="N47" s="136">
        <f t="shared" si="56"/>
        <v>-15.335550999999995</v>
      </c>
      <c r="O47" s="136">
        <f t="shared" si="56"/>
        <v>-68.196328999999992</v>
      </c>
      <c r="P47" s="136">
        <f t="shared" si="56"/>
        <v>-15.418551000000015</v>
      </c>
      <c r="Q47" s="136">
        <f t="shared" si="56"/>
        <v>-37.195811999999975</v>
      </c>
      <c r="R47" s="136">
        <f t="shared" si="56"/>
        <v>-239.87069623999997</v>
      </c>
      <c r="S47" s="136">
        <f t="shared" si="56"/>
        <v>-428.827541</v>
      </c>
      <c r="T47" s="136">
        <f t="shared" si="56"/>
        <v>-804.84448023999983</v>
      </c>
      <c r="U47" s="97"/>
      <c r="V47" s="136">
        <f t="shared" ref="V47:AH47" si="57">+V16-V34</f>
        <v>-15.434239999999999</v>
      </c>
      <c r="W47" s="136">
        <f t="shared" si="57"/>
        <v>-13.88124</v>
      </c>
      <c r="X47" s="136">
        <f t="shared" si="57"/>
        <v>13.01225736</v>
      </c>
      <c r="Y47" s="136">
        <f t="shared" si="57"/>
        <v>-15.434491319999998</v>
      </c>
      <c r="Z47" s="136">
        <f t="shared" si="57"/>
        <v>-15.389491319999998</v>
      </c>
      <c r="AA47" s="136">
        <f t="shared" si="57"/>
        <v>-15.434491320000005</v>
      </c>
      <c r="AB47" s="136">
        <f t="shared" si="57"/>
        <v>-1.5532513200000011</v>
      </c>
      <c r="AC47" s="136">
        <f t="shared" si="57"/>
        <v>0</v>
      </c>
      <c r="AD47" s="136">
        <f t="shared" si="57"/>
        <v>0</v>
      </c>
      <c r="AE47" s="136">
        <f t="shared" si="57"/>
        <v>0</v>
      </c>
      <c r="AF47" s="136">
        <f t="shared" si="57"/>
        <v>0</v>
      </c>
      <c r="AG47" s="136">
        <f t="shared" si="57"/>
        <v>0</v>
      </c>
      <c r="AH47" s="136">
        <f t="shared" si="57"/>
        <v>-64.114947920000006</v>
      </c>
      <c r="AJ47" s="236"/>
      <c r="AK47" s="236"/>
      <c r="AL47" s="236"/>
      <c r="AM47" s="236"/>
      <c r="AN47" s="236"/>
      <c r="AO47" s="236"/>
      <c r="AP47" s="236"/>
      <c r="AQ47" s="236"/>
      <c r="AR47" s="236"/>
      <c r="AS47" s="236"/>
      <c r="AT47" s="236"/>
      <c r="AU47" s="236"/>
      <c r="AV47" s="236"/>
      <c r="AW47" s="236"/>
      <c r="AX47" s="236"/>
      <c r="AY47" s="236"/>
      <c r="AZ47" s="236"/>
      <c r="BA47" s="236"/>
      <c r="BB47" s="236"/>
      <c r="BC47" s="236"/>
      <c r="BD47" s="236"/>
      <c r="BE47" s="236"/>
      <c r="BF47" s="236"/>
      <c r="BG47" s="236"/>
      <c r="BH47" s="236"/>
      <c r="BI47" s="236"/>
      <c r="BJ47" s="236"/>
      <c r="BK47" s="236"/>
      <c r="BL47" s="418"/>
    </row>
    <row r="48" spans="3:64" ht="15" customHeight="1">
      <c r="C48" s="831" t="str">
        <f>IF(Indice_index!$Z$1=1,"Saldo primário","Primary balance")</f>
        <v>Saldo primário</v>
      </c>
      <c r="D48" s="136"/>
      <c r="E48" s="136"/>
      <c r="G48" s="136">
        <f>+G43+G28</f>
        <v>0.71871592000000817</v>
      </c>
      <c r="H48" s="136">
        <f t="shared" ref="H48:T48" si="58">+H43+H28</f>
        <v>62.01678896</v>
      </c>
      <c r="I48" s="136">
        <f t="shared" si="58"/>
        <v>27.457273049999998</v>
      </c>
      <c r="J48" s="136">
        <f t="shared" si="58"/>
        <v>11.700735579999979</v>
      </c>
      <c r="K48" s="136">
        <f t="shared" si="58"/>
        <v>360.15229293000004</v>
      </c>
      <c r="L48" s="136">
        <f t="shared" si="58"/>
        <v>-242.89344172</v>
      </c>
      <c r="M48" s="136">
        <f t="shared" si="58"/>
        <v>-7.7538329899999781</v>
      </c>
      <c r="N48" s="136">
        <f t="shared" si="58"/>
        <v>-333.81223711000001</v>
      </c>
      <c r="O48" s="136">
        <f t="shared" si="58"/>
        <v>-55.55393137999998</v>
      </c>
      <c r="P48" s="136">
        <f t="shared" si="58"/>
        <v>53.14314811999995</v>
      </c>
      <c r="Q48" s="136">
        <f t="shared" si="58"/>
        <v>615.86513494000008</v>
      </c>
      <c r="R48" s="136">
        <f t="shared" si="58"/>
        <v>-258.50619419999998</v>
      </c>
      <c r="S48" s="136">
        <f t="shared" si="58"/>
        <v>211.39853173000017</v>
      </c>
      <c r="T48" s="136">
        <f t="shared" si="58"/>
        <v>232.53445209999995</v>
      </c>
      <c r="V48" s="136">
        <f>+V43+V28</f>
        <v>44.322210299999995</v>
      </c>
      <c r="W48" s="136">
        <f t="shared" ref="W48:AH48" si="59">+W43+W28</f>
        <v>29.070925070000001</v>
      </c>
      <c r="X48" s="136">
        <f t="shared" si="59"/>
        <v>63.206733099999994</v>
      </c>
      <c r="Y48" s="136">
        <f t="shared" si="59"/>
        <v>35.02547508</v>
      </c>
      <c r="Z48" s="136">
        <f t="shared" si="59"/>
        <v>309.10529980000001</v>
      </c>
      <c r="AA48" s="136">
        <f t="shared" si="59"/>
        <v>298.00605199</v>
      </c>
      <c r="AB48" s="136">
        <f t="shared" si="59"/>
        <v>1.2530921000000035</v>
      </c>
      <c r="AC48" s="136">
        <f t="shared" si="59"/>
        <v>0</v>
      </c>
      <c r="AD48" s="136">
        <f t="shared" si="59"/>
        <v>0</v>
      </c>
      <c r="AE48" s="136">
        <f t="shared" si="59"/>
        <v>0</v>
      </c>
      <c r="AF48" s="136">
        <f t="shared" si="59"/>
        <v>0</v>
      </c>
      <c r="AG48" s="136">
        <f t="shared" si="59"/>
        <v>0</v>
      </c>
      <c r="AH48" s="136">
        <f t="shared" si="59"/>
        <v>779.9897874400001</v>
      </c>
      <c r="AJ48" s="236"/>
      <c r="AK48" s="236"/>
      <c r="AL48" s="236"/>
      <c r="AM48" s="236"/>
      <c r="AN48" s="236"/>
      <c r="AO48" s="236"/>
      <c r="AP48" s="236"/>
      <c r="AQ48" s="236"/>
      <c r="AR48" s="236"/>
      <c r="AS48" s="236"/>
      <c r="AT48" s="236"/>
      <c r="AU48" s="236"/>
      <c r="AV48" s="236"/>
      <c r="AW48" s="236"/>
      <c r="AX48" s="236"/>
      <c r="AY48" s="236"/>
      <c r="AZ48" s="236"/>
      <c r="BA48" s="236"/>
      <c r="BB48" s="236"/>
      <c r="BC48" s="236"/>
      <c r="BD48" s="236"/>
      <c r="BE48" s="236"/>
      <c r="BF48" s="236"/>
      <c r="BG48" s="236"/>
      <c r="BH48" s="236"/>
      <c r="BI48" s="236"/>
      <c r="BJ48" s="236"/>
      <c r="BK48" s="236"/>
    </row>
    <row r="49" spans="2:64" ht="15" customHeight="1">
      <c r="C49" s="839" t="str">
        <f>IF(Indice_index!$Z$1=1,"Despesa  primária","Primary Expenditure")</f>
        <v>Despesa  primária</v>
      </c>
      <c r="D49" s="759"/>
      <c r="E49" s="840"/>
      <c r="G49" s="759">
        <f t="shared" ref="G49:T49" si="60">+G41-G28</f>
        <v>58.011006109999997</v>
      </c>
      <c r="H49" s="840">
        <f t="shared" si="60"/>
        <v>14.138688</v>
      </c>
      <c r="I49" s="840">
        <f t="shared" si="60"/>
        <v>101.22906699999999</v>
      </c>
      <c r="J49" s="840">
        <f t="shared" si="60"/>
        <v>58.081165000000006</v>
      </c>
      <c r="K49" s="840">
        <f t="shared" si="60"/>
        <v>15.331340999999995</v>
      </c>
      <c r="L49" s="840">
        <f t="shared" si="60"/>
        <v>332.31218000000001</v>
      </c>
      <c r="M49" s="840">
        <f t="shared" si="60"/>
        <v>30.080888999999956</v>
      </c>
      <c r="N49" s="840">
        <f t="shared" si="60"/>
        <v>349.97198581999999</v>
      </c>
      <c r="O49" s="840">
        <f t="shared" si="60"/>
        <v>77.991138439999986</v>
      </c>
      <c r="P49" s="840">
        <f t="shared" si="60"/>
        <v>21.288442590000045</v>
      </c>
      <c r="Q49" s="840">
        <f t="shared" si="60"/>
        <v>37.183738090000006</v>
      </c>
      <c r="R49" s="840">
        <f t="shared" si="60"/>
        <v>811.21063387999993</v>
      </c>
      <c r="S49" s="840">
        <f t="shared" si="60"/>
        <v>609.18433611</v>
      </c>
      <c r="T49" s="759">
        <f t="shared" si="60"/>
        <v>1906.8302749299999</v>
      </c>
      <c r="V49" s="759">
        <f t="shared" ref="V49:AG49" si="61">+V41-V28</f>
        <v>37.033734170000002</v>
      </c>
      <c r="W49" s="840">
        <f t="shared" si="61"/>
        <v>19.998387999999998</v>
      </c>
      <c r="X49" s="840">
        <f t="shared" si="61"/>
        <v>18.944890640000001</v>
      </c>
      <c r="Y49" s="840">
        <f t="shared" si="61"/>
        <v>17.391639319999996</v>
      </c>
      <c r="Z49" s="840">
        <f t="shared" si="61"/>
        <v>17.346639319999998</v>
      </c>
      <c r="AA49" s="840">
        <f t="shared" si="61"/>
        <v>17.391639320000003</v>
      </c>
      <c r="AB49" s="840">
        <f t="shared" si="61"/>
        <v>32.072128319999997</v>
      </c>
      <c r="AC49" s="840">
        <f t="shared" si="61"/>
        <v>0</v>
      </c>
      <c r="AD49" s="840">
        <f t="shared" si="61"/>
        <v>0</v>
      </c>
      <c r="AE49" s="840">
        <f t="shared" si="61"/>
        <v>0</v>
      </c>
      <c r="AF49" s="840">
        <f t="shared" si="61"/>
        <v>0</v>
      </c>
      <c r="AG49" s="840">
        <f t="shared" si="61"/>
        <v>0</v>
      </c>
      <c r="AH49" s="759">
        <f>+AH41-AH28</f>
        <v>160.17905909000001</v>
      </c>
      <c r="AJ49" s="236"/>
      <c r="AK49" s="236"/>
      <c r="AL49" s="236"/>
      <c r="AM49" s="236"/>
      <c r="AN49" s="236"/>
      <c r="AO49" s="236"/>
      <c r="AP49" s="236"/>
      <c r="AQ49" s="236"/>
      <c r="AR49" s="236"/>
      <c r="AS49" s="236"/>
      <c r="AT49" s="236"/>
      <c r="AU49" s="236"/>
      <c r="AV49" s="236"/>
      <c r="AW49" s="236"/>
      <c r="AX49" s="236"/>
      <c r="AY49" s="236"/>
      <c r="AZ49" s="236"/>
      <c r="BA49" s="236"/>
      <c r="BB49" s="236"/>
      <c r="BC49" s="236"/>
      <c r="BD49" s="236"/>
      <c r="BE49" s="236"/>
      <c r="BF49" s="236"/>
      <c r="BG49" s="236"/>
      <c r="BH49" s="236"/>
      <c r="BI49" s="236"/>
      <c r="BJ49" s="236"/>
      <c r="BK49" s="236"/>
    </row>
    <row r="50" spans="2:64" ht="15" customHeight="1">
      <c r="G50" s="97"/>
      <c r="H50" s="97"/>
      <c r="I50" s="97"/>
      <c r="J50" s="97"/>
      <c r="K50" s="97"/>
      <c r="L50" s="97"/>
      <c r="M50" s="97"/>
      <c r="N50" s="97"/>
      <c r="O50" s="97"/>
      <c r="P50" s="97"/>
      <c r="Q50" s="97"/>
      <c r="R50" s="97"/>
      <c r="S50" s="97"/>
      <c r="T50" s="97"/>
      <c r="V50" s="97"/>
      <c r="W50" s="97"/>
      <c r="X50" s="97"/>
      <c r="Y50" s="97"/>
      <c r="Z50" s="97"/>
      <c r="AA50" s="97"/>
      <c r="AB50" s="97"/>
      <c r="AC50" s="97"/>
      <c r="AD50" s="97"/>
      <c r="AE50" s="97"/>
      <c r="AF50" s="97"/>
      <c r="AG50" s="97"/>
      <c r="AH50" s="97"/>
      <c r="AK50" s="237"/>
      <c r="AL50" s="237"/>
      <c r="AM50" s="237"/>
      <c r="AN50" s="237"/>
      <c r="AO50" s="237"/>
      <c r="AP50" s="237"/>
      <c r="AQ50" s="237"/>
      <c r="AR50" s="237"/>
      <c r="AS50" s="237"/>
      <c r="AT50" s="237"/>
      <c r="AU50" s="237"/>
      <c r="AV50" s="237"/>
      <c r="AW50" s="237"/>
      <c r="AX50" s="237"/>
      <c r="AY50" s="237"/>
      <c r="AZ50" s="237"/>
      <c r="BA50" s="237"/>
      <c r="BB50" s="237"/>
      <c r="BC50" s="237"/>
      <c r="BD50" s="237"/>
      <c r="BE50" s="237"/>
      <c r="BF50" s="237"/>
      <c r="BG50" s="237"/>
      <c r="BH50" s="237"/>
      <c r="BI50" s="237"/>
    </row>
    <row r="51" spans="2:64" ht="6" customHeight="1">
      <c r="G51" s="97"/>
      <c r="H51" s="97"/>
      <c r="I51" s="97"/>
      <c r="J51" s="97"/>
      <c r="K51" s="97"/>
      <c r="L51" s="97"/>
      <c r="M51" s="97"/>
      <c r="N51" s="97"/>
      <c r="O51" s="97"/>
      <c r="P51" s="97"/>
      <c r="Q51" s="97"/>
      <c r="R51" s="97"/>
      <c r="S51" s="97"/>
      <c r="T51" s="97"/>
      <c r="V51" s="97"/>
      <c r="W51" s="97"/>
      <c r="X51" s="97"/>
      <c r="Y51" s="97"/>
      <c r="Z51" s="97"/>
      <c r="AA51" s="97"/>
      <c r="AB51" s="97"/>
      <c r="AC51" s="97"/>
      <c r="AD51" s="97"/>
      <c r="AE51" s="97"/>
      <c r="AF51" s="97"/>
      <c r="AG51" s="97"/>
      <c r="AH51" s="97"/>
      <c r="AK51" s="237"/>
      <c r="AL51" s="237"/>
      <c r="AM51" s="237"/>
      <c r="AN51" s="237"/>
      <c r="AO51" s="237"/>
      <c r="AP51" s="237"/>
      <c r="AQ51" s="237"/>
      <c r="AR51" s="237"/>
      <c r="AS51" s="237"/>
      <c r="AT51" s="237"/>
      <c r="AU51" s="237"/>
      <c r="AV51" s="237"/>
      <c r="AW51" s="237"/>
      <c r="AX51" s="237"/>
      <c r="AY51" s="237"/>
      <c r="AZ51" s="237"/>
      <c r="BA51" s="237"/>
      <c r="BB51" s="237"/>
      <c r="BC51" s="237"/>
      <c r="BD51" s="237"/>
      <c r="BE51" s="237"/>
      <c r="BF51" s="237"/>
      <c r="BG51" s="237"/>
      <c r="BH51" s="237"/>
      <c r="BI51" s="237"/>
    </row>
    <row r="52" spans="2:64" s="367" customFormat="1" ht="15.6" customHeight="1">
      <c r="B52" s="366"/>
      <c r="C52" s="841" t="str">
        <f>IF(Indice_index!$Z$1=1,"Efeitos temporários/especiais na conta da Administração Central e Segurança Social","Temporary/special effects on the Central Government and Social Security Account")</f>
        <v>Efeitos temporários/especiais na conta da Administração Central e Segurança Social</v>
      </c>
      <c r="D52" s="842"/>
      <c r="E52" s="843"/>
      <c r="F52" s="251"/>
      <c r="G52" s="251"/>
      <c r="H52" s="251"/>
      <c r="I52" s="251"/>
      <c r="J52" s="251"/>
      <c r="K52" s="251"/>
      <c r="L52" s="251"/>
      <c r="M52" s="251"/>
      <c r="N52" s="251"/>
      <c r="O52" s="251"/>
      <c r="P52" s="251"/>
      <c r="Q52" s="251"/>
      <c r="R52" s="251"/>
      <c r="S52" s="251"/>
      <c r="T52" s="251"/>
      <c r="U52" s="251"/>
      <c r="V52" s="251"/>
      <c r="W52" s="251"/>
      <c r="X52" s="251"/>
      <c r="Y52" s="251"/>
      <c r="Z52" s="251"/>
      <c r="AA52" s="251"/>
      <c r="AB52" s="251"/>
      <c r="AC52" s="251"/>
      <c r="AD52" s="251"/>
      <c r="AE52" s="251"/>
      <c r="AF52" s="251"/>
      <c r="AG52" s="251"/>
      <c r="AH52" s="251"/>
      <c r="AJ52" s="368"/>
      <c r="AK52" s="368"/>
      <c r="AL52" s="368"/>
      <c r="AM52" s="368"/>
      <c r="AN52" s="368"/>
      <c r="AO52" s="368"/>
      <c r="AP52" s="368"/>
      <c r="AQ52" s="368"/>
      <c r="AR52" s="368"/>
      <c r="AS52" s="368"/>
      <c r="AT52" s="368"/>
      <c r="AU52" s="368"/>
      <c r="AV52" s="368"/>
      <c r="AW52" s="368"/>
      <c r="AX52" s="368"/>
      <c r="AY52" s="368"/>
      <c r="AZ52" s="368"/>
      <c r="BA52" s="368"/>
      <c r="BB52" s="368"/>
      <c r="BC52" s="368"/>
      <c r="BD52" s="368"/>
      <c r="BE52" s="368"/>
      <c r="BF52" s="368"/>
      <c r="BG52" s="368"/>
      <c r="BH52" s="368"/>
      <c r="BI52" s="368"/>
      <c r="BJ52" s="368"/>
      <c r="BK52" s="368"/>
      <c r="BL52" s="419"/>
    </row>
    <row r="53" spans="2:64" s="181" customFormat="1" ht="22.5" customHeight="1">
      <c r="B53" s="178"/>
      <c r="C53" s="824"/>
      <c r="D53" s="825"/>
      <c r="E53" s="844"/>
      <c r="F53" s="97"/>
      <c r="G53" s="1783" t="str">
        <f>IF(Indice_index!$Z$1=1,"2021 - mensal e acumulado","2021 - monthly and cumulative")</f>
        <v>2021 - mensal e acumulado</v>
      </c>
      <c r="H53" s="1783" t="s">
        <v>15</v>
      </c>
      <c r="I53" s="1783" t="s">
        <v>15</v>
      </c>
      <c r="J53" s="1783" t="s">
        <v>15</v>
      </c>
      <c r="K53" s="1783" t="s">
        <v>15</v>
      </c>
      <c r="L53" s="1783" t="s">
        <v>15</v>
      </c>
      <c r="M53" s="1783" t="s">
        <v>15</v>
      </c>
      <c r="N53" s="1783" t="s">
        <v>15</v>
      </c>
      <c r="O53" s="1783" t="s">
        <v>15</v>
      </c>
      <c r="P53" s="1783" t="s">
        <v>15</v>
      </c>
      <c r="Q53" s="1783" t="s">
        <v>15</v>
      </c>
      <c r="R53" s="1783" t="s">
        <v>15</v>
      </c>
      <c r="S53" s="1783"/>
      <c r="T53" s="1783" t="s">
        <v>15</v>
      </c>
      <c r="U53" s="97"/>
      <c r="V53" s="1783" t="str">
        <f>IF(Indice_index!$Z$1=1,"2022 - mensal e acumulado","2022 - monthly and cumulative")</f>
        <v>2022 - mensal e acumulado</v>
      </c>
      <c r="W53" s="1783" t="s">
        <v>15</v>
      </c>
      <c r="X53" s="1783" t="s">
        <v>15</v>
      </c>
      <c r="Y53" s="1783" t="s">
        <v>15</v>
      </c>
      <c r="Z53" s="1783" t="s">
        <v>15</v>
      </c>
      <c r="AA53" s="1783" t="s">
        <v>15</v>
      </c>
      <c r="AB53" s="1783" t="s">
        <v>15</v>
      </c>
      <c r="AC53" s="1783" t="s">
        <v>15</v>
      </c>
      <c r="AD53" s="1783" t="s">
        <v>15</v>
      </c>
      <c r="AE53" s="1783" t="s">
        <v>15</v>
      </c>
      <c r="AF53" s="1783" t="s">
        <v>15</v>
      </c>
      <c r="AG53" s="1783" t="s">
        <v>15</v>
      </c>
      <c r="AH53" s="1783" t="s">
        <v>15</v>
      </c>
      <c r="AJ53" s="238"/>
      <c r="AK53" s="238"/>
      <c r="AL53" s="238"/>
      <c r="AM53" s="237"/>
      <c r="AN53" s="237"/>
      <c r="AO53" s="237"/>
      <c r="AP53" s="237"/>
      <c r="AQ53" s="237"/>
      <c r="AR53" s="237"/>
      <c r="AS53" s="237"/>
      <c r="AT53" s="237"/>
      <c r="AU53" s="237"/>
      <c r="AV53" s="237"/>
      <c r="AW53" s="237"/>
      <c r="AX53" s="237"/>
      <c r="AY53" s="237"/>
      <c r="AZ53" s="237"/>
      <c r="BA53" s="237"/>
      <c r="BB53" s="237"/>
      <c r="BC53" s="237"/>
      <c r="BD53" s="237"/>
      <c r="BE53" s="237"/>
      <c r="BF53" s="237"/>
      <c r="BG53" s="237"/>
      <c r="BH53" s="237"/>
      <c r="BI53" s="237"/>
      <c r="BJ53" s="234"/>
      <c r="BK53" s="234"/>
      <c r="BL53" s="418"/>
    </row>
    <row r="54" spans="2:64" s="181" customFormat="1" ht="22.5" customHeight="1">
      <c r="B54" s="178"/>
      <c r="C54" s="845"/>
      <c r="D54" s="825"/>
      <c r="E54" s="825"/>
      <c r="F54" s="97"/>
      <c r="G54" s="825" t="str">
        <f>IF(Indice_index!$Z$1=1,"jan","Jan")</f>
        <v>jan</v>
      </c>
      <c r="H54" s="825" t="str">
        <f>IF(Indice_index!$Z$1=1,"fev","Feb")</f>
        <v>fev</v>
      </c>
      <c r="I54" s="825" t="str">
        <f>IF(Indice_index!$Z$1=1,"mar","Mar")</f>
        <v>mar</v>
      </c>
      <c r="J54" s="825" t="str">
        <f>IF(Indice_index!$Z$1=1,"abr","Apr")</f>
        <v>abr</v>
      </c>
      <c r="K54" s="825" t="str">
        <f>IF(Indice_index!$Z$1=1,"mai","May")</f>
        <v>mai</v>
      </c>
      <c r="L54" s="825" t="str">
        <f>IF(Indice_index!$Z$1=1,"jun","Jun")</f>
        <v>jun</v>
      </c>
      <c r="M54" s="825" t="str">
        <f>IF(Indice_index!$Z$1=1,"jul","Jul")</f>
        <v>jul</v>
      </c>
      <c r="N54" s="825" t="str">
        <f>IF(Indice_index!$Z$1=1,"ago","Aug")</f>
        <v>ago</v>
      </c>
      <c r="O54" s="825" t="str">
        <f>IF(Indice_index!$Z$1=1,"set","Sep")</f>
        <v>set</v>
      </c>
      <c r="P54" s="825" t="str">
        <f>IF(Indice_index!$Z$1=1,"out","Oct")</f>
        <v>out</v>
      </c>
      <c r="Q54" s="825" t="str">
        <f>IF(Indice_index!$Z$1=1,"nov","Nov")</f>
        <v>nov</v>
      </c>
      <c r="R54" s="825" t="str">
        <f>IF(Indice_index!$Z$1=1,"dez","Dec")</f>
        <v>dez</v>
      </c>
      <c r="S54" s="825" t="str">
        <f>IF(Indice_index!$Z$1=1,"Ano até à data","Year to date")</f>
        <v>Ano até à data</v>
      </c>
      <c r="T54" s="825" t="str">
        <f>IF(Indice_index!$Z$1=1,"Acumulado","Cumulative")</f>
        <v>Acumulado</v>
      </c>
      <c r="U54" s="97"/>
      <c r="V54" s="825" t="str">
        <f>IF(Indice_index!$Z$1=1,"jan","Jan")</f>
        <v>jan</v>
      </c>
      <c r="W54" s="825" t="str">
        <f>IF(Indice_index!$Z$1=1,"fev","Feb")</f>
        <v>fev</v>
      </c>
      <c r="X54" s="825" t="str">
        <f>IF(Indice_index!$Z$1=1,"mar","Mar")</f>
        <v>mar</v>
      </c>
      <c r="Y54" s="825" t="str">
        <f>IF(Indice_index!$Z$1=1,"abr","Apr")</f>
        <v>abr</v>
      </c>
      <c r="Z54" s="825" t="str">
        <f>IF(Indice_index!$Z$1=1,"mai","May")</f>
        <v>mai</v>
      </c>
      <c r="AA54" s="825" t="str">
        <f>IF(Indice_index!$Z$1=1,"jun","Jun")</f>
        <v>jun</v>
      </c>
      <c r="AB54" s="825" t="str">
        <f>IF(Indice_index!$Z$1=1,"jul","Jul")</f>
        <v>jul</v>
      </c>
      <c r="AC54" s="825" t="str">
        <f>IF(Indice_index!$Z$1=1,"ago","Aug")</f>
        <v>ago</v>
      </c>
      <c r="AD54" s="825" t="str">
        <f>IF(Indice_index!$Z$1=1,"set","Sep")</f>
        <v>set</v>
      </c>
      <c r="AE54" s="825" t="str">
        <f>IF(Indice_index!$Z$1=1,"out","Oct")</f>
        <v>out</v>
      </c>
      <c r="AF54" s="825" t="str">
        <f>IF(Indice_index!$Z$1=1,"nov","Nov")</f>
        <v>nov</v>
      </c>
      <c r="AG54" s="825" t="str">
        <f>IF(Indice_index!$Z$1=1,"dez","Dec")</f>
        <v>dez</v>
      </c>
      <c r="AH54" s="825" t="str">
        <f>IF(Indice_index!$Z$1=1,"Acumulado","Cumulative")</f>
        <v>Acumulado</v>
      </c>
      <c r="AI54" s="97"/>
      <c r="AJ54" s="238"/>
      <c r="AK54" s="238"/>
      <c r="AL54" s="238"/>
      <c r="AM54" s="237"/>
      <c r="AN54" s="237"/>
      <c r="AO54" s="237"/>
      <c r="AP54" s="237"/>
      <c r="AQ54" s="237"/>
      <c r="AR54" s="237"/>
      <c r="AS54" s="237"/>
      <c r="AT54" s="237"/>
      <c r="AU54" s="237"/>
      <c r="AV54" s="237"/>
      <c r="AW54" s="237"/>
      <c r="AX54" s="237"/>
      <c r="AY54" s="237"/>
      <c r="AZ54" s="237"/>
      <c r="BA54" s="237"/>
      <c r="BB54" s="237"/>
      <c r="BC54" s="237"/>
      <c r="BD54" s="237"/>
      <c r="BE54" s="237"/>
      <c r="BF54" s="237"/>
      <c r="BG54" s="237"/>
      <c r="BH54" s="237"/>
      <c r="BI54" s="237"/>
      <c r="BJ54" s="234"/>
      <c r="BK54" s="234"/>
      <c r="BL54" s="418"/>
    </row>
    <row r="55" spans="2:64" s="325" customFormat="1" ht="15" customHeight="1">
      <c r="B55" s="322"/>
      <c r="C55" s="846" t="str">
        <f>IF(Indice_index!$Z$1=1,"Subtotal da Administração Central","Central Government subtotal")</f>
        <v>Subtotal da Administração Central</v>
      </c>
      <c r="D55" s="847"/>
      <c r="E55" s="848"/>
      <c r="F55" s="251"/>
      <c r="G55" s="848">
        <f t="shared" ref="G55:R55" si="62">SUMIF($D56:$D85,"Receita",G56:G85)-SUMIF($D56:$D85,"Despesa",G56:G85)+SUMIF($D56:$D85,"Revenue",G56:G85)-SUMIF($D56:$D85,"Expenditure",G56:G85)</f>
        <v>0.71871592000000817</v>
      </c>
      <c r="H55" s="848">
        <f t="shared" si="62"/>
        <v>62.01678896</v>
      </c>
      <c r="I55" s="848">
        <f t="shared" si="62"/>
        <v>27.457273049999998</v>
      </c>
      <c r="J55" s="848">
        <f t="shared" si="62"/>
        <v>11.700735579999979</v>
      </c>
      <c r="K55" s="848">
        <f t="shared" si="62"/>
        <v>360.15229292999999</v>
      </c>
      <c r="L55" s="848">
        <f t="shared" si="62"/>
        <v>-242.89344172</v>
      </c>
      <c r="M55" s="848">
        <f t="shared" si="62"/>
        <v>278.89880155000003</v>
      </c>
      <c r="N55" s="848">
        <f t="shared" si="62"/>
        <v>-333.81223710999996</v>
      </c>
      <c r="O55" s="848">
        <f t="shared" si="62"/>
        <v>-55.55393137999998</v>
      </c>
      <c r="P55" s="848">
        <f t="shared" si="62"/>
        <v>53.14314811999995</v>
      </c>
      <c r="Q55" s="848">
        <f t="shared" si="62"/>
        <v>615.86513494000008</v>
      </c>
      <c r="R55" s="848">
        <f t="shared" si="62"/>
        <v>-258.50619419999998</v>
      </c>
      <c r="S55" s="848">
        <f>SUMIF($D56:$D85,"Receita",S56:S85)-SUMIF($D56:$D85,"Despesa",S56:S85)+SUMIF($D56:$D85,"Revenue",S56:S85)-SUMIF($D56:$D85,"Expenditure",S56:S85)</f>
        <v>498.05116627000007</v>
      </c>
      <c r="T55" s="848">
        <f>SUMIF($D56:$D85,"Receita",T56:T85)-SUMIF($D56:$D85,"Despesa",T56:T85)+SUMIF($D56:$D85,"Revenue",T56:T85)-SUMIF($D56:$D85,"Expenditure",T56:T85)</f>
        <v>519.18708664000042</v>
      </c>
      <c r="U55" s="251"/>
      <c r="V55" s="848">
        <f t="shared" ref="V55:AG55" si="63">SUMIF($D56:$D85,"Receita",V56:V85)-SUMIF($D56:$D85,"Despesa",V56:V85)+SUMIF($D56:$D85,"Revenue",V56:V85)-SUMIF($D56:$D85,"Expenditure",V56:V85)</f>
        <v>44.322210299999995</v>
      </c>
      <c r="W55" s="848">
        <f t="shared" si="63"/>
        <v>29.070925070000008</v>
      </c>
      <c r="X55" s="848">
        <f t="shared" si="63"/>
        <v>63.206733099999987</v>
      </c>
      <c r="Y55" s="848">
        <f t="shared" si="63"/>
        <v>35.025475080000007</v>
      </c>
      <c r="Z55" s="848">
        <f>SUMIF($D56:$D85,"Receita",Z56:Z85)-SUMIF($D56:$D85,"Despesa",Z56:Z85)+SUMIF($D56:$D85,"Revenue",Z56:Z85)-SUMIF($D56:$D85,"Expenditure",Z56:Z85)</f>
        <v>309.10529980000001</v>
      </c>
      <c r="AA55" s="848">
        <f>SUMIF($D56:$D85,"Receita",AA56:AA85)-SUMIF($D56:$D85,"Despesa",AA56:AA85)+SUMIF($D56:$D85,"Revenue",AA56:AA85)-SUMIF($D56:$D85,"Expenditure",AA56:AA85)</f>
        <v>298.00605199</v>
      </c>
      <c r="AB55" s="848">
        <f t="shared" si="63"/>
        <v>1.2530921000000035</v>
      </c>
      <c r="AC55" s="848">
        <f t="shared" si="63"/>
        <v>0</v>
      </c>
      <c r="AD55" s="848">
        <f t="shared" si="63"/>
        <v>0</v>
      </c>
      <c r="AE55" s="848">
        <f t="shared" si="63"/>
        <v>0</v>
      </c>
      <c r="AF55" s="848">
        <f t="shared" si="63"/>
        <v>0</v>
      </c>
      <c r="AG55" s="848">
        <f t="shared" si="63"/>
        <v>0</v>
      </c>
      <c r="AH55" s="848">
        <f>SUMIF($D56:$D85,"Receita",AH56:AH85)-SUMIF($D56:$D85,"Despesa",AH56:AH85)+SUMIF($D56:$D85,"Revenue",AH56:AH85)-SUMIF($D56:$D85,"Expenditure",AH56:AH85)</f>
        <v>779.98978743999999</v>
      </c>
      <c r="AI55" s="251"/>
      <c r="AJ55" s="323"/>
      <c r="AK55" s="323"/>
      <c r="AL55" s="323"/>
      <c r="AM55" s="324"/>
      <c r="AN55" s="324"/>
      <c r="AO55" s="324"/>
      <c r="AP55" s="324"/>
      <c r="AQ55" s="324"/>
      <c r="AR55" s="324"/>
      <c r="AS55" s="324"/>
      <c r="AT55" s="324"/>
      <c r="AU55" s="324"/>
      <c r="AV55" s="324"/>
      <c r="AW55" s="324"/>
      <c r="AX55" s="324"/>
      <c r="AY55" s="324"/>
      <c r="AZ55" s="324"/>
      <c r="BA55" s="324"/>
      <c r="BB55" s="324"/>
      <c r="BC55" s="324"/>
      <c r="BD55" s="324"/>
      <c r="BE55" s="324"/>
      <c r="BF55" s="324"/>
      <c r="BG55" s="324"/>
      <c r="BH55" s="324"/>
      <c r="BI55" s="324"/>
      <c r="BJ55" s="324"/>
      <c r="BK55" s="324"/>
      <c r="BL55" s="419"/>
    </row>
    <row r="56" spans="2:64" s="181" customFormat="1" ht="18" customHeight="1">
      <c r="B56" s="178"/>
      <c r="C56" s="849" t="str">
        <f>IF(Indice_index!$Z$1=1,"Consignação do IRC ao Fundo de Estabilização Financeira da Segurança Social (FEFSS)","Tax revenue (Corporate Income Tax) assigned to the Fund for the Financial Stability of the Social Security System (FEFSS)")</f>
        <v>Consignação do IRC ao Fundo de Estabilização Financeira da Segurança Social (FEFSS)</v>
      </c>
      <c r="D56" s="909" t="str">
        <f>IF(Indice_index!$Z$1=1,"Receita","Revenue")</f>
        <v>Receita</v>
      </c>
      <c r="E56" s="180" t="s">
        <v>16</v>
      </c>
      <c r="F56" s="97"/>
      <c r="G56" s="136"/>
      <c r="H56" s="136"/>
      <c r="I56" s="180"/>
      <c r="J56" s="180"/>
      <c r="K56" s="180"/>
      <c r="L56" s="180"/>
      <c r="M56" s="180"/>
      <c r="N56" s="180"/>
      <c r="O56" s="180"/>
      <c r="P56" s="180"/>
      <c r="Q56" s="180"/>
      <c r="R56" s="180">
        <v>337.30786981</v>
      </c>
      <c r="S56" s="180">
        <f>SUM(G56:M56)</f>
        <v>0</v>
      </c>
      <c r="T56" s="180">
        <f>SUM(G56:R56)</f>
        <v>337.30786981</v>
      </c>
      <c r="U56" s="97"/>
      <c r="V56" s="136"/>
      <c r="W56" s="136"/>
      <c r="X56" s="180"/>
      <c r="Y56" s="180"/>
      <c r="Z56" s="180"/>
      <c r="AA56" s="180"/>
      <c r="AB56" s="180"/>
      <c r="AC56" s="180"/>
      <c r="AD56" s="180"/>
      <c r="AE56" s="180"/>
      <c r="AF56" s="180"/>
      <c r="AG56" s="180"/>
      <c r="AH56" s="180">
        <f>SUM(V56:AG56)</f>
        <v>0</v>
      </c>
      <c r="AI56" s="97"/>
      <c r="AJ56" s="238"/>
      <c r="AK56" s="238"/>
      <c r="AL56" s="238"/>
      <c r="AM56" s="237"/>
      <c r="AN56" s="237"/>
      <c r="AO56" s="237"/>
      <c r="AP56" s="237"/>
      <c r="AQ56" s="237"/>
      <c r="AR56" s="237"/>
      <c r="AS56" s="237"/>
      <c r="AT56" s="237"/>
      <c r="AU56" s="237"/>
      <c r="AV56" s="237"/>
      <c r="AW56" s="237"/>
      <c r="AX56" s="237"/>
      <c r="AY56" s="237"/>
      <c r="AZ56" s="237"/>
      <c r="BA56" s="237"/>
      <c r="BB56" s="237"/>
      <c r="BC56" s="237"/>
      <c r="BD56" s="237"/>
      <c r="BE56" s="237"/>
      <c r="BF56" s="237"/>
      <c r="BG56" s="237"/>
      <c r="BH56" s="237"/>
      <c r="BI56" s="237"/>
      <c r="BJ56" s="234"/>
      <c r="BK56" s="234"/>
      <c r="BL56" s="418"/>
    </row>
    <row r="57" spans="2:64" s="183" customFormat="1" ht="22.5" customHeight="1">
      <c r="B57" s="182"/>
      <c r="C57" s="849" t="str">
        <f>IF(Indice_index!$Z$1=1,"Contribuição extraordinária sobre o setor energético - consignada ao Fundo Sustentabilidade Sistémica do Setor Energético","Extraordinary contribution over the energy sector - Assigned to the Fund for the Systemic Sustainability of the Energetic Sector")</f>
        <v>Contribuição extraordinária sobre o setor energético - consignada ao Fundo Sustentabilidade Sistémica do Setor Energético</v>
      </c>
      <c r="D57" s="909" t="str">
        <f>IF(Indice_index!$Z$1=1,"Receita","Revenue")</f>
        <v>Receita</v>
      </c>
      <c r="E57" s="180" t="s">
        <v>16</v>
      </c>
      <c r="F57" s="97"/>
      <c r="G57" s="136">
        <v>3.7343899899999999</v>
      </c>
      <c r="H57" s="136">
        <v>-0.11633714000000001</v>
      </c>
      <c r="I57" s="180">
        <v>-0.24181496999999999</v>
      </c>
      <c r="J57" s="180">
        <v>-6.5510680000000002E-2</v>
      </c>
      <c r="K57" s="180">
        <v>3.1850899999999998E-3</v>
      </c>
      <c r="L57" s="180">
        <v>-0.2503862</v>
      </c>
      <c r="M57" s="180">
        <v>0.28461910000000001</v>
      </c>
      <c r="N57" s="180">
        <v>5.8610000000000003E-5</v>
      </c>
      <c r="O57" s="180">
        <v>6.5700255299999997</v>
      </c>
      <c r="P57" s="180">
        <v>50.91310713</v>
      </c>
      <c r="Q57" s="180">
        <v>50.634189110000001</v>
      </c>
      <c r="R57" s="180">
        <v>19.03511207</v>
      </c>
      <c r="S57" s="180">
        <f t="shared" ref="S57:S85" si="64">SUM(G57:M57)</f>
        <v>3.3481451899999999</v>
      </c>
      <c r="T57" s="180">
        <f t="shared" ref="T57" si="65">SUM(G57:R57)</f>
        <v>130.50063764000001</v>
      </c>
      <c r="U57" s="97"/>
      <c r="V57" s="136">
        <v>1.60246394</v>
      </c>
      <c r="W57" s="136">
        <v>-3.21659746</v>
      </c>
      <c r="X57" s="180">
        <v>-0.23536579999999999</v>
      </c>
      <c r="Y57" s="180">
        <v>-3.9654219999999997E-2</v>
      </c>
      <c r="Z57" s="180">
        <v>1.1234E-4</v>
      </c>
      <c r="AA57" s="180">
        <v>3.1173220000000001E-2</v>
      </c>
      <c r="AB57" s="180">
        <v>-0.17013945</v>
      </c>
      <c r="AC57" s="180"/>
      <c r="AD57" s="180"/>
      <c r="AE57" s="180"/>
      <c r="AF57" s="180"/>
      <c r="AG57" s="180"/>
      <c r="AH57" s="180">
        <f>SUM(V57:AG57)</f>
        <v>-2.0280074300000002</v>
      </c>
      <c r="AI57" s="97"/>
      <c r="AJ57" s="238"/>
      <c r="AK57" s="238"/>
      <c r="AL57" s="238"/>
      <c r="AM57" s="239"/>
      <c r="AN57" s="239"/>
      <c r="AO57" s="239"/>
      <c r="AP57" s="239"/>
      <c r="AQ57" s="239"/>
      <c r="AR57" s="239"/>
      <c r="AS57" s="239"/>
      <c r="AT57" s="239"/>
      <c r="AU57" s="239"/>
      <c r="AV57" s="239"/>
      <c r="AW57" s="239"/>
      <c r="AX57" s="239"/>
      <c r="AY57" s="239"/>
      <c r="AZ57" s="239"/>
      <c r="BA57" s="239"/>
      <c r="BB57" s="239"/>
      <c r="BC57" s="239"/>
      <c r="BD57" s="239"/>
      <c r="BE57" s="239"/>
      <c r="BF57" s="239"/>
      <c r="BG57" s="239"/>
      <c r="BH57" s="239"/>
      <c r="BI57" s="239"/>
      <c r="BJ57" s="240"/>
      <c r="BK57" s="240"/>
      <c r="BL57" s="418"/>
    </row>
    <row r="58" spans="2:64" s="181" customFormat="1" ht="22.5" customHeight="1">
      <c r="B58" s="178"/>
      <c r="C58" s="849" t="str">
        <f>IF(Indice_index!$Z$1=1,"Consignação do ISP (Adicional sobre as emissões de CO2) ao Fundo Ambiental no âmbito do 'Programa de Apoio à Redução do Tarifário dos Transportes Públicos'","Tax revenue (Tax on oil and energy products (ISP) - Additional CO2 emissions) assigned to the Environmental Fund aimed at financing the ‘Public Transport Tariff Reduction Support Program’")</f>
        <v>Consignação do ISP (Adicional sobre as emissões de CO2) ao Fundo Ambiental no âmbito do 'Programa de Apoio à Redução do Tarifário dos Transportes Públicos'</v>
      </c>
      <c r="D58" s="909" t="str">
        <f>IF(Indice_index!$Z$1=1,"Receita","Revenue")</f>
        <v>Receita</v>
      </c>
      <c r="E58" s="180" t="s">
        <v>17</v>
      </c>
      <c r="F58" s="97"/>
      <c r="G58" s="136">
        <v>33.91973033</v>
      </c>
      <c r="H58" s="136">
        <v>32.477500560000003</v>
      </c>
      <c r="I58" s="180">
        <v>27.468880689999999</v>
      </c>
      <c r="J58" s="180">
        <v>35.460518749999999</v>
      </c>
      <c r="K58" s="180">
        <v>9.2733696699999992</v>
      </c>
      <c r="L58" s="180"/>
      <c r="M58" s="180"/>
      <c r="N58" s="180"/>
      <c r="O58" s="180"/>
      <c r="P58" s="180"/>
      <c r="Q58" s="180"/>
      <c r="R58" s="180"/>
      <c r="S58" s="180">
        <f t="shared" si="64"/>
        <v>138.6</v>
      </c>
      <c r="T58" s="180">
        <f t="shared" ref="T58" si="66">SUM(G58:R58)</f>
        <v>138.6</v>
      </c>
      <c r="U58" s="97"/>
      <c r="V58" s="136">
        <v>42.830693089999997</v>
      </c>
      <c r="W58" s="136">
        <v>34.864685250000001</v>
      </c>
      <c r="X58" s="180">
        <v>37.94755215</v>
      </c>
      <c r="Y58" s="180">
        <v>22.95706951</v>
      </c>
      <c r="Z58" s="180"/>
      <c r="AA58" s="180"/>
      <c r="AB58" s="180"/>
      <c r="AC58" s="180"/>
      <c r="AD58" s="180"/>
      <c r="AE58" s="180"/>
      <c r="AF58" s="180"/>
      <c r="AG58" s="180"/>
      <c r="AH58" s="180">
        <f>SUM(V58:AG58)</f>
        <v>138.6</v>
      </c>
      <c r="AI58" s="97"/>
      <c r="AJ58" s="238"/>
      <c r="AK58" s="238"/>
      <c r="AL58" s="238"/>
      <c r="AM58" s="237"/>
      <c r="AN58" s="237"/>
      <c r="AO58" s="237"/>
      <c r="AP58" s="237"/>
      <c r="AQ58" s="237"/>
      <c r="AR58" s="237"/>
      <c r="AS58" s="237"/>
      <c r="AT58" s="237"/>
      <c r="AU58" s="237"/>
      <c r="AV58" s="237"/>
      <c r="AW58" s="237"/>
      <c r="AX58" s="237"/>
      <c r="AY58" s="237"/>
      <c r="AZ58" s="237"/>
      <c r="BA58" s="237"/>
      <c r="BB58" s="237"/>
      <c r="BC58" s="237"/>
      <c r="BD58" s="237"/>
      <c r="BE58" s="237"/>
      <c r="BF58" s="237"/>
      <c r="BG58" s="237"/>
      <c r="BH58" s="237"/>
      <c r="BI58" s="237"/>
      <c r="BJ58" s="234"/>
      <c r="BK58" s="234"/>
      <c r="BL58" s="418"/>
    </row>
    <row r="59" spans="2:64" s="183" customFormat="1" ht="14.25" customHeight="1">
      <c r="B59" s="182"/>
      <c r="C59" s="849" t="str">
        <f>IF(Indice_index!$Z$1=1,"Contribuição extraordinária sobre a indústria farmacêutica - consignada ao Serviço Nacional de Saúde","Extraordinary contribution over the pharmaceutical industry - assigned to the National Health Service")</f>
        <v>Contribuição extraordinária sobre a indústria farmacêutica - consignada ao Serviço Nacional de Saúde</v>
      </c>
      <c r="D59" s="909" t="str">
        <f>IF(Indice_index!$Z$1=1,"Receita","Revenue")</f>
        <v>Receita</v>
      </c>
      <c r="E59" s="180" t="s">
        <v>17</v>
      </c>
      <c r="F59" s="97"/>
      <c r="G59" s="136">
        <v>4.1780021200000004</v>
      </c>
      <c r="H59" s="136">
        <v>3.36805E-3</v>
      </c>
      <c r="I59" s="180"/>
      <c r="J59" s="180">
        <v>3.6313644699999998</v>
      </c>
      <c r="K59" s="180">
        <v>0.28664426999999998</v>
      </c>
      <c r="L59" s="180"/>
      <c r="M59" s="180">
        <v>3.5552682</v>
      </c>
      <c r="N59" s="180">
        <v>9.2350890000000005E-2</v>
      </c>
      <c r="O59" s="180"/>
      <c r="P59" s="180">
        <v>3.7916012600000002</v>
      </c>
      <c r="Q59" s="180">
        <v>0.23739737</v>
      </c>
      <c r="R59" s="180">
        <v>0.91036715999999995</v>
      </c>
      <c r="S59" s="180">
        <f t="shared" si="64"/>
        <v>11.654647110000001</v>
      </c>
      <c r="T59" s="180">
        <f>SUM(G59:R59)</f>
        <v>16.686363790000001</v>
      </c>
      <c r="U59" s="97"/>
      <c r="V59" s="136">
        <v>4.37321442</v>
      </c>
      <c r="W59" s="136">
        <v>0.2212944</v>
      </c>
      <c r="X59" s="180">
        <v>-0.19143478</v>
      </c>
      <c r="Y59" s="180">
        <v>3.8198989999999999</v>
      </c>
      <c r="Z59" s="180">
        <v>0.14034541</v>
      </c>
      <c r="AA59" s="180"/>
      <c r="AB59" s="180">
        <v>3.8758010700000001</v>
      </c>
      <c r="AC59" s="180"/>
      <c r="AD59" s="180"/>
      <c r="AE59" s="180"/>
      <c r="AF59" s="180"/>
      <c r="AG59" s="180"/>
      <c r="AH59" s="180">
        <f>SUM(V59:AG59)</f>
        <v>12.239119519999999</v>
      </c>
      <c r="AI59" s="97"/>
      <c r="AJ59" s="238"/>
      <c r="AK59" s="238"/>
      <c r="AL59" s="238"/>
      <c r="AM59" s="239"/>
      <c r="AN59" s="239"/>
      <c r="AO59" s="239"/>
      <c r="AP59" s="239"/>
      <c r="AQ59" s="239"/>
      <c r="AR59" s="239"/>
      <c r="AS59" s="239"/>
      <c r="AT59" s="239"/>
      <c r="AU59" s="239"/>
      <c r="AV59" s="239"/>
      <c r="AW59" s="239"/>
      <c r="AX59" s="239"/>
      <c r="AY59" s="239"/>
      <c r="AZ59" s="239"/>
      <c r="BA59" s="239"/>
      <c r="BB59" s="239"/>
      <c r="BC59" s="239"/>
      <c r="BD59" s="239"/>
      <c r="BE59" s="239"/>
      <c r="BF59" s="239"/>
      <c r="BG59" s="239"/>
      <c r="BH59" s="239"/>
      <c r="BI59" s="239"/>
      <c r="BJ59" s="240"/>
      <c r="BK59" s="240"/>
      <c r="BL59" s="418"/>
    </row>
    <row r="60" spans="2:64" s="183" customFormat="1" ht="14.25" customHeight="1">
      <c r="B60" s="182"/>
      <c r="C60" s="849" t="str">
        <f>IF(Indice_index!$Z$1=1,"Contribuição extraordinária sobre os fornecedores da indústria de dispositivos médicos do SNS","Extraordinary contribution over the on suppliers of the industry - assigned to the National Health Service")</f>
        <v>Contribuição extraordinária sobre os fornecedores da indústria de dispositivos médicos do SNS</v>
      </c>
      <c r="D60" s="909" t="str">
        <f>IF(Indice_index!$Z$1=1,"Receita","Revenue")</f>
        <v>Receita</v>
      </c>
      <c r="E60" s="180" t="s">
        <v>17</v>
      </c>
      <c r="F60" s="97"/>
      <c r="G60" s="136"/>
      <c r="H60" s="136"/>
      <c r="I60" s="180"/>
      <c r="J60" s="180">
        <v>13.063439109999999</v>
      </c>
      <c r="K60" s="180">
        <v>5.617283E-2</v>
      </c>
      <c r="L60" s="180"/>
      <c r="M60" s="180">
        <v>3.3818280600000001</v>
      </c>
      <c r="N60" s="180">
        <v>1.6816729999999998E-2</v>
      </c>
      <c r="O60" s="180"/>
      <c r="P60" s="180">
        <v>3.4518416799999998</v>
      </c>
      <c r="Q60" s="180">
        <v>8.4389339999999993E-2</v>
      </c>
      <c r="R60" s="180">
        <v>0.16572945</v>
      </c>
      <c r="S60" s="180">
        <f t="shared" si="64"/>
        <v>16.501439999999999</v>
      </c>
      <c r="T60" s="180">
        <f>SUM(G60:R60)</f>
        <v>20.2202172</v>
      </c>
      <c r="U60" s="97"/>
      <c r="V60" s="136">
        <v>3.9671968299999998</v>
      </c>
      <c r="W60" s="136">
        <v>0.1443555</v>
      </c>
      <c r="X60" s="180">
        <v>8.7141670000000004E-2</v>
      </c>
      <c r="Y60" s="180">
        <v>5.3334514999999998</v>
      </c>
      <c r="Z60" s="180">
        <v>0.65120067000000004</v>
      </c>
      <c r="AA60" s="180"/>
      <c r="AB60" s="180">
        <v>3.96817514</v>
      </c>
      <c r="AC60" s="180"/>
      <c r="AD60" s="180"/>
      <c r="AE60" s="180"/>
      <c r="AF60" s="180"/>
      <c r="AG60" s="180"/>
      <c r="AH60" s="180">
        <f>SUM(V60:AG60)</f>
        <v>14.151521309999998</v>
      </c>
      <c r="AI60" s="97"/>
      <c r="AJ60" s="238"/>
      <c r="AK60" s="238"/>
      <c r="AL60" s="238"/>
      <c r="AM60" s="239"/>
      <c r="AN60" s="239"/>
      <c r="AO60" s="239"/>
      <c r="AP60" s="239"/>
      <c r="AQ60" s="239"/>
      <c r="AR60" s="239"/>
      <c r="AS60" s="239"/>
      <c r="AT60" s="239"/>
      <c r="AU60" s="239"/>
      <c r="AV60" s="239"/>
      <c r="AW60" s="239"/>
      <c r="AX60" s="239"/>
      <c r="AY60" s="239"/>
      <c r="AZ60" s="239"/>
      <c r="BA60" s="239"/>
      <c r="BB60" s="239"/>
      <c r="BC60" s="239"/>
      <c r="BD60" s="239"/>
      <c r="BE60" s="239"/>
      <c r="BF60" s="239"/>
      <c r="BG60" s="239"/>
      <c r="BH60" s="239"/>
      <c r="BI60" s="239"/>
      <c r="BJ60" s="240"/>
      <c r="BK60" s="240"/>
      <c r="BL60" s="418"/>
    </row>
    <row r="61" spans="2:64" s="183" customFormat="1" ht="14.25" customHeight="1">
      <c r="B61" s="182"/>
      <c r="C61" s="849" t="str">
        <f>IF(Indice_index!$Z$1=1,"Contribuição sobre o audiovisual - consignada à RTP - Radio e Televisão Portuguesa, SGPS - Impostos indiretos","Contribution over the audiovisual industry - assigned to the RTP - Indirect taxes")</f>
        <v>Contribuição sobre o audiovisual - consignada à RTP - Radio e Televisão Portuguesa, SGPS - Impostos indiretos</v>
      </c>
      <c r="D61" s="909" t="str">
        <f>IF(Indice_index!$Z$1=1,"Receita","Revenue")</f>
        <v>Receita</v>
      </c>
      <c r="E61" s="180" t="s">
        <v>17</v>
      </c>
      <c r="F61" s="97"/>
      <c r="G61" s="136">
        <v>16.185025110000002</v>
      </c>
      <c r="H61" s="136">
        <v>16.094952129999999</v>
      </c>
      <c r="I61" s="180">
        <v>13.59889164</v>
      </c>
      <c r="J61" s="180">
        <v>16.94125653</v>
      </c>
      <c r="K61" s="180">
        <v>14.557428420000001</v>
      </c>
      <c r="L61" s="180">
        <v>14.987979920000001</v>
      </c>
      <c r="M61" s="180">
        <v>14.484511729999999</v>
      </c>
      <c r="N61" s="180">
        <v>15.38632119</v>
      </c>
      <c r="O61" s="180">
        <v>15.215828910000001</v>
      </c>
      <c r="P61" s="180">
        <v>15.593252680000001</v>
      </c>
      <c r="Q61" s="180">
        <v>15.05298294</v>
      </c>
      <c r="R61" s="180">
        <v>15.56838991</v>
      </c>
      <c r="S61" s="180">
        <f t="shared" si="64"/>
        <v>106.85004548000001</v>
      </c>
      <c r="T61" s="180">
        <f t="shared" ref="T61:T65" si="67">SUM(G61:R61)</f>
        <v>183.66682111000003</v>
      </c>
      <c r="U61" s="97"/>
      <c r="V61" s="136">
        <v>16.58040991</v>
      </c>
      <c r="W61" s="136">
        <v>16.345015750000002</v>
      </c>
      <c r="X61" s="180">
        <v>13.93733387</v>
      </c>
      <c r="Y61" s="180">
        <v>16.577265199999999</v>
      </c>
      <c r="Z61" s="180">
        <v>13.92331182</v>
      </c>
      <c r="AA61" s="180">
        <v>15.90066094</v>
      </c>
      <c r="AB61" s="180">
        <v>14.591941800000001</v>
      </c>
      <c r="AC61" s="180"/>
      <c r="AD61" s="180"/>
      <c r="AE61" s="180"/>
      <c r="AF61" s="180"/>
      <c r="AG61" s="180"/>
      <c r="AH61" s="180">
        <f t="shared" ref="AH61" si="68">SUM(V61:AG61)</f>
        <v>107.85593928999999</v>
      </c>
      <c r="AI61" s="97"/>
      <c r="AJ61" s="238"/>
      <c r="AK61" s="238"/>
      <c r="AL61" s="238"/>
      <c r="AM61" s="239"/>
      <c r="AN61" s="239"/>
      <c r="AO61" s="239"/>
      <c r="AP61" s="239"/>
      <c r="AQ61" s="239"/>
      <c r="AR61" s="239"/>
      <c r="AS61" s="239"/>
      <c r="AT61" s="239"/>
      <c r="AU61" s="239"/>
      <c r="AV61" s="239"/>
      <c r="AW61" s="239"/>
      <c r="AX61" s="239"/>
      <c r="AY61" s="239"/>
      <c r="AZ61" s="239"/>
      <c r="BA61" s="239"/>
      <c r="BB61" s="239"/>
      <c r="BC61" s="239"/>
      <c r="BD61" s="239"/>
      <c r="BE61" s="239"/>
      <c r="BF61" s="239"/>
      <c r="BG61" s="239"/>
      <c r="BH61" s="239"/>
      <c r="BI61" s="239"/>
      <c r="BJ61" s="240"/>
      <c r="BK61" s="240"/>
      <c r="BL61" s="418"/>
    </row>
    <row r="62" spans="2:64" s="183" customFormat="1" ht="14.25" customHeight="1">
      <c r="B62" s="182"/>
      <c r="C62" s="849" t="str">
        <f>IF(Indice_index!$Z$1=1,"Contribuição sobre o audiovisual - consignada à RTP - Radio e Televisão Portuguesa, SGPS - Taxas","Contribution over the audiovisual industry - assigned to the RTP - Fines and fees")</f>
        <v>Contribuição sobre o audiovisual - consignada à RTP - Radio e Televisão Portuguesa, SGPS - Taxas</v>
      </c>
      <c r="D62" s="909" t="str">
        <f>IF(Indice_index!$Z$1=1,"Receita","Revenue")</f>
        <v>Receita</v>
      </c>
      <c r="E62" s="180" t="s">
        <v>58</v>
      </c>
      <c r="F62" s="97"/>
      <c r="G62" s="136">
        <v>0.71257448000000001</v>
      </c>
      <c r="H62" s="136">
        <v>0.85991636000000005</v>
      </c>
      <c r="I62" s="180">
        <v>0.56038268999999996</v>
      </c>
      <c r="J62" s="180">
        <v>0.75083239999999973</v>
      </c>
      <c r="K62" s="180">
        <v>0.63383599000000002</v>
      </c>
      <c r="L62" s="180">
        <v>0.63143024000000003</v>
      </c>
      <c r="M62" s="180">
        <v>0.62082892000000001</v>
      </c>
      <c r="N62" s="180">
        <v>0.66420129000000006</v>
      </c>
      <c r="O62" s="180">
        <v>0.65135262000000005</v>
      </c>
      <c r="P62" s="180">
        <v>0.68178795999999997</v>
      </c>
      <c r="Q62" s="180">
        <v>0.63626181999999998</v>
      </c>
      <c r="R62" s="180">
        <v>0.68206528</v>
      </c>
      <c r="S62" s="180">
        <f t="shared" si="64"/>
        <v>4.7698010799999997</v>
      </c>
      <c r="T62" s="180">
        <f>SUM(G62:R62)</f>
        <v>8.0854700499999996</v>
      </c>
      <c r="U62" s="97"/>
      <c r="V62" s="136">
        <v>0.72445177000000005</v>
      </c>
      <c r="W62" s="136">
        <v>0.71055963</v>
      </c>
      <c r="X62" s="180">
        <v>0.60639662999999999</v>
      </c>
      <c r="Y62" s="180">
        <v>0.7233584099999999</v>
      </c>
      <c r="Z62" s="180">
        <v>0.58491316000000004</v>
      </c>
      <c r="AA62" s="180">
        <v>0.66309459999999998</v>
      </c>
      <c r="AB62" s="180">
        <v>0.61860462000000005</v>
      </c>
      <c r="AC62" s="180"/>
      <c r="AD62" s="180"/>
      <c r="AE62" s="180"/>
      <c r="AF62" s="180"/>
      <c r="AG62" s="180"/>
      <c r="AH62" s="180">
        <f>SUM(V62:AG62)</f>
        <v>4.6313788200000001</v>
      </c>
      <c r="AI62" s="97"/>
      <c r="AJ62" s="238"/>
      <c r="AK62" s="238"/>
      <c r="AL62" s="238"/>
      <c r="AM62" s="239"/>
      <c r="AN62" s="239"/>
      <c r="AO62" s="239"/>
      <c r="AP62" s="239"/>
      <c r="AQ62" s="239"/>
      <c r="AR62" s="239"/>
      <c r="AS62" s="239"/>
      <c r="AT62" s="239"/>
      <c r="AU62" s="239"/>
      <c r="AV62" s="239"/>
      <c r="AW62" s="239"/>
      <c r="AX62" s="239"/>
      <c r="AY62" s="239"/>
      <c r="AZ62" s="239"/>
      <c r="BA62" s="239"/>
      <c r="BB62" s="239"/>
      <c r="BC62" s="239"/>
      <c r="BD62" s="239"/>
      <c r="BE62" s="239"/>
      <c r="BF62" s="239"/>
      <c r="BG62" s="239"/>
      <c r="BH62" s="239"/>
      <c r="BI62" s="239"/>
      <c r="BJ62" s="240"/>
      <c r="BK62" s="240"/>
      <c r="BL62" s="418"/>
    </row>
    <row r="63" spans="2:64" s="183" customFormat="1" ht="14.25" customHeight="1">
      <c r="B63" s="182"/>
      <c r="C63" s="849" t="str">
        <f>IF(Indice_index!$Z$1=1,"Leilão no âmbito da 5.ª Geração de comunicações móveis (5G)"," Sale of the 5th generation mobile frequency use rights (5G)")</f>
        <v>Leilão no âmbito da 5.ª Geração de comunicações móveis (5G)</v>
      </c>
      <c r="D63" s="909" t="str">
        <f>IF(Indice_index!$Z$1=1,"Receita","Revenue")</f>
        <v>Receita</v>
      </c>
      <c r="E63" s="180" t="s">
        <v>58</v>
      </c>
      <c r="F63" s="97"/>
      <c r="G63" s="136"/>
      <c r="H63" s="136"/>
      <c r="I63" s="180"/>
      <c r="J63" s="180"/>
      <c r="K63" s="180"/>
      <c r="L63" s="180"/>
      <c r="M63" s="180"/>
      <c r="N63" s="180"/>
      <c r="O63" s="180"/>
      <c r="P63" s="180"/>
      <c r="Q63" s="180">
        <v>347.43915644999998</v>
      </c>
      <c r="R63" s="180">
        <v>62.6145</v>
      </c>
      <c r="S63" s="180">
        <f t="shared" si="64"/>
        <v>0</v>
      </c>
      <c r="T63" s="180">
        <f>SUM(G63:R63)</f>
        <v>410.05365645000001</v>
      </c>
      <c r="U63" s="97"/>
      <c r="V63" s="136"/>
      <c r="W63" s="136"/>
      <c r="X63" s="180"/>
      <c r="Y63" s="180"/>
      <c r="Z63" s="180"/>
      <c r="AA63" s="180"/>
      <c r="AB63" s="180"/>
      <c r="AC63" s="180"/>
      <c r="AD63" s="180"/>
      <c r="AE63" s="180"/>
      <c r="AF63" s="180"/>
      <c r="AG63" s="180"/>
      <c r="AH63" s="180">
        <f>SUM(V63:AG63)</f>
        <v>0</v>
      </c>
      <c r="AI63" s="97"/>
      <c r="AJ63" s="238"/>
      <c r="AK63" s="238"/>
      <c r="AL63" s="238"/>
      <c r="AM63" s="239"/>
      <c r="AN63" s="239"/>
      <c r="AO63" s="239"/>
      <c r="AP63" s="239"/>
      <c r="AQ63" s="239"/>
      <c r="AR63" s="239"/>
      <c r="AS63" s="239"/>
      <c r="AT63" s="239"/>
      <c r="AU63" s="239"/>
      <c r="AV63" s="239"/>
      <c r="AW63" s="239"/>
      <c r="AX63" s="239"/>
      <c r="AY63" s="239"/>
      <c r="AZ63" s="239"/>
      <c r="BA63" s="239"/>
      <c r="BB63" s="239"/>
      <c r="BC63" s="239"/>
      <c r="BD63" s="239"/>
      <c r="BE63" s="239"/>
      <c r="BF63" s="239"/>
      <c r="BG63" s="239"/>
      <c r="BH63" s="239"/>
      <c r="BI63" s="239"/>
      <c r="BJ63" s="240"/>
      <c r="BK63" s="240"/>
      <c r="BL63" s="418"/>
    </row>
    <row r="64" spans="2:64" s="181" customFormat="1" ht="14.25" customHeight="1">
      <c r="B64" s="178"/>
      <c r="C64" s="830" t="str">
        <f>IF(Indice_index!$Z$1=1,"Dividendos do Banco de Portugal","Dividends from the Bank of Portugal")</f>
        <v>Dividendos do Banco de Portugal</v>
      </c>
      <c r="D64" s="909" t="str">
        <f>IF(Indice_index!$Z$1=1,"Receita","Revenue")</f>
        <v>Receita</v>
      </c>
      <c r="E64" s="180" t="s">
        <v>58</v>
      </c>
      <c r="F64" s="97"/>
      <c r="G64" s="136"/>
      <c r="H64" s="136"/>
      <c r="I64" s="180"/>
      <c r="J64" s="180"/>
      <c r="K64" s="180">
        <v>336.39773766000002</v>
      </c>
      <c r="L64" s="180"/>
      <c r="M64" s="180"/>
      <c r="N64" s="180"/>
      <c r="O64" s="180"/>
      <c r="P64" s="180"/>
      <c r="Q64" s="180"/>
      <c r="R64" s="180"/>
      <c r="S64" s="180">
        <f t="shared" si="64"/>
        <v>336.39773766000002</v>
      </c>
      <c r="T64" s="180">
        <f t="shared" si="67"/>
        <v>336.39773766000002</v>
      </c>
      <c r="U64" s="97"/>
      <c r="V64" s="136"/>
      <c r="W64" s="136"/>
      <c r="X64" s="180"/>
      <c r="Y64" s="180"/>
      <c r="Z64" s="180">
        <v>311.15205572000002</v>
      </c>
      <c r="AA64" s="180"/>
      <c r="AB64" s="180"/>
      <c r="AC64" s="180"/>
      <c r="AD64" s="180"/>
      <c r="AE64" s="180"/>
      <c r="AF64" s="180"/>
      <c r="AG64" s="180"/>
      <c r="AH64" s="180">
        <f t="shared" ref="AH64:AH85" si="69">SUM(V64:AG64)</f>
        <v>311.15205572000002</v>
      </c>
      <c r="AI64" s="97"/>
      <c r="AJ64" s="238"/>
      <c r="AK64" s="238"/>
      <c r="AL64" s="238"/>
      <c r="AM64" s="237"/>
      <c r="AN64" s="237"/>
      <c r="AO64" s="237"/>
      <c r="AP64" s="237"/>
      <c r="AQ64" s="237"/>
      <c r="AR64" s="237"/>
      <c r="AS64" s="237"/>
      <c r="AT64" s="237"/>
      <c r="AU64" s="237"/>
      <c r="AV64" s="237"/>
      <c r="AW64" s="237"/>
      <c r="AX64" s="237"/>
      <c r="AY64" s="237"/>
      <c r="AZ64" s="237"/>
      <c r="BA64" s="237"/>
      <c r="BB64" s="237"/>
      <c r="BC64" s="237"/>
      <c r="BD64" s="237"/>
      <c r="BE64" s="237"/>
      <c r="BF64" s="237"/>
      <c r="BG64" s="237"/>
      <c r="BH64" s="237"/>
      <c r="BI64" s="237"/>
      <c r="BJ64" s="234"/>
      <c r="BK64" s="234"/>
      <c r="BL64" s="418"/>
    </row>
    <row r="65" spans="2:64" s="181" customFormat="1" ht="14.25" customHeight="1">
      <c r="B65" s="178"/>
      <c r="C65" s="830" t="str">
        <f>IF(Indice_index!$Z$1=1,"Dividendos da Caixa Geral de Depósitos","Dividends from the public bank Caixa Geral de Depósitos")</f>
        <v>Dividendos da Caixa Geral de Depósitos</v>
      </c>
      <c r="D65" s="909" t="str">
        <f>IF(Indice_index!$Z$1=1,"Receita","Revenue")</f>
        <v>Receita</v>
      </c>
      <c r="E65" s="180" t="s">
        <v>58</v>
      </c>
      <c r="F65" s="97"/>
      <c r="G65" s="136"/>
      <c r="H65" s="136"/>
      <c r="I65" s="180"/>
      <c r="J65" s="180"/>
      <c r="K65" s="180"/>
      <c r="L65" s="180">
        <v>66.074657529999996</v>
      </c>
      <c r="M65" s="180"/>
      <c r="N65" s="180"/>
      <c r="O65" s="180"/>
      <c r="P65" s="180"/>
      <c r="Q65" s="180">
        <v>237</v>
      </c>
      <c r="R65" s="180"/>
      <c r="S65" s="180">
        <f t="shared" si="64"/>
        <v>66.074657529999996</v>
      </c>
      <c r="T65" s="180">
        <f t="shared" si="67"/>
        <v>303.07465752999997</v>
      </c>
      <c r="U65" s="97"/>
      <c r="V65" s="136"/>
      <c r="W65" s="136"/>
      <c r="X65" s="180"/>
      <c r="Y65" s="180"/>
      <c r="Z65" s="180"/>
      <c r="AA65" s="180">
        <v>298.80276255000001</v>
      </c>
      <c r="AB65" s="180"/>
      <c r="AC65" s="180"/>
      <c r="AD65" s="180"/>
      <c r="AE65" s="180"/>
      <c r="AF65" s="180"/>
      <c r="AG65" s="180"/>
      <c r="AH65" s="180">
        <f t="shared" si="69"/>
        <v>298.80276255000001</v>
      </c>
      <c r="AI65" s="97"/>
      <c r="AJ65" s="238"/>
      <c r="AK65" s="238"/>
      <c r="AL65" s="238"/>
      <c r="AM65" s="237"/>
      <c r="AN65" s="237"/>
      <c r="AO65" s="237"/>
      <c r="AP65" s="237"/>
      <c r="AQ65" s="237"/>
      <c r="AR65" s="237"/>
      <c r="AS65" s="237"/>
      <c r="AT65" s="237"/>
      <c r="AU65" s="237"/>
      <c r="AV65" s="237"/>
      <c r="AW65" s="237"/>
      <c r="AX65" s="237"/>
      <c r="AY65" s="237"/>
      <c r="AZ65" s="237"/>
      <c r="BA65" s="237"/>
      <c r="BB65" s="237"/>
      <c r="BC65" s="237"/>
      <c r="BD65" s="237"/>
      <c r="BE65" s="237"/>
      <c r="BF65" s="237"/>
      <c r="BG65" s="237"/>
      <c r="BH65" s="237"/>
      <c r="BI65" s="237"/>
      <c r="BJ65" s="234"/>
      <c r="BK65" s="234"/>
      <c r="BL65" s="418"/>
    </row>
    <row r="66" spans="2:64" s="181" customFormat="1" ht="22.5">
      <c r="B66" s="178"/>
      <c r="C66" s="849" t="str">
        <f>IF(Indice_index!$Z$1=1,"Restituições da contribuição financeira da União Europeia (ano anterior) - consignadas ao pagamento da contribuição financeira (do ano)","Refund payments on European Union own resources")</f>
        <v>Restituições da contribuição financeira da União Europeia (ano anterior) - consignadas ao pagamento da contribuição financeira (do ano)</v>
      </c>
      <c r="D66" s="909" t="str">
        <f>IF(Indice_index!$Z$1=1,"Receita","Revenue")</f>
        <v>Receita</v>
      </c>
      <c r="E66" s="180" t="s">
        <v>58</v>
      </c>
      <c r="F66" s="97"/>
      <c r="G66" s="136"/>
      <c r="H66" s="136"/>
      <c r="I66" s="180"/>
      <c r="J66" s="180"/>
      <c r="K66" s="180"/>
      <c r="L66" s="180">
        <v>7.97505679</v>
      </c>
      <c r="M66" s="180"/>
      <c r="N66" s="180"/>
      <c r="O66" s="180"/>
      <c r="P66" s="180"/>
      <c r="Q66" s="180"/>
      <c r="R66" s="180"/>
      <c r="S66" s="180">
        <f t="shared" si="64"/>
        <v>7.97505679</v>
      </c>
      <c r="T66" s="180">
        <f t="shared" ref="T66" si="70">SUM(G66:R66)</f>
        <v>7.97505679</v>
      </c>
      <c r="U66" s="97"/>
      <c r="V66" s="136">
        <v>0.29384104</v>
      </c>
      <c r="W66" s="136"/>
      <c r="X66" s="180"/>
      <c r="Y66" s="180"/>
      <c r="Z66" s="180"/>
      <c r="AA66" s="180"/>
      <c r="AB66" s="180"/>
      <c r="AC66" s="180"/>
      <c r="AD66" s="180"/>
      <c r="AE66" s="180"/>
      <c r="AF66" s="180"/>
      <c r="AG66" s="180"/>
      <c r="AH66" s="180">
        <f t="shared" si="69"/>
        <v>0.29384104</v>
      </c>
      <c r="AI66" s="97"/>
      <c r="AJ66" s="238"/>
      <c r="AK66" s="238"/>
      <c r="AL66" s="238"/>
      <c r="AM66" s="237"/>
      <c r="AN66" s="237"/>
      <c r="AO66" s="237"/>
      <c r="AP66" s="237"/>
      <c r="AQ66" s="237"/>
      <c r="AR66" s="237"/>
      <c r="AS66" s="237"/>
      <c r="AT66" s="237"/>
      <c r="AU66" s="237"/>
      <c r="AV66" s="237"/>
      <c r="AW66" s="237"/>
      <c r="AX66" s="237"/>
      <c r="AY66" s="237"/>
      <c r="AZ66" s="237"/>
      <c r="BA66" s="237"/>
      <c r="BB66" s="237"/>
      <c r="BC66" s="237"/>
      <c r="BD66" s="237"/>
      <c r="BE66" s="237"/>
      <c r="BF66" s="237"/>
      <c r="BG66" s="237"/>
      <c r="BH66" s="237"/>
      <c r="BI66" s="237"/>
      <c r="BJ66" s="234"/>
      <c r="BK66" s="234"/>
      <c r="BL66" s="418"/>
    </row>
    <row r="67" spans="2:64" s="183" customFormat="1" ht="24" customHeight="1">
      <c r="B67" s="182"/>
      <c r="C67" s="849" t="str">
        <f>IF(Indice_index!$Z$1=1,"Princípio da onerosidade (receita registada pela Direção-Geral do Tesouro e Finanças (DGTF), relativa a rendas de anos anteriores)","Principle of onerosity (revenue recorded by the Directorate-General for Treasury and Finance (DGTF), relating to rents from previous years)")</f>
        <v>Princípio da onerosidade (receita registada pela Direção-Geral do Tesouro e Finanças (DGTF), relativa a rendas de anos anteriores)</v>
      </c>
      <c r="D67" s="909" t="str">
        <f>IF(Indice_index!$Z$1=1,"Receita","Revenue")</f>
        <v>Receita</v>
      </c>
      <c r="E67" s="180" t="s">
        <v>58</v>
      </c>
      <c r="F67" s="97"/>
      <c r="G67" s="136"/>
      <c r="H67" s="136"/>
      <c r="I67" s="180"/>
      <c r="J67" s="180"/>
      <c r="K67" s="180">
        <v>14.275259999999999</v>
      </c>
      <c r="L67" s="180"/>
      <c r="M67" s="180"/>
      <c r="N67" s="180"/>
      <c r="O67" s="180"/>
      <c r="P67" s="180"/>
      <c r="Q67" s="180">
        <v>1.964496</v>
      </c>
      <c r="R67" s="180">
        <v>116.420406</v>
      </c>
      <c r="S67" s="180">
        <f t="shared" si="64"/>
        <v>14.275259999999999</v>
      </c>
      <c r="T67" s="180">
        <f t="shared" ref="T67:T68" si="71">SUM(G67:R67)</f>
        <v>132.66016200000001</v>
      </c>
      <c r="U67" s="97"/>
      <c r="V67" s="136"/>
      <c r="W67" s="136"/>
      <c r="X67" s="180"/>
      <c r="Y67" s="180">
        <v>3.045725</v>
      </c>
      <c r="Z67" s="180"/>
      <c r="AA67" s="180"/>
      <c r="AB67" s="180"/>
      <c r="AC67" s="180"/>
      <c r="AD67" s="180"/>
      <c r="AE67" s="180"/>
      <c r="AF67" s="180"/>
      <c r="AG67" s="180"/>
      <c r="AH67" s="180">
        <f t="shared" ref="AH67:AH68" si="72">SUM(V67:AG67)</f>
        <v>3.045725</v>
      </c>
      <c r="AI67" s="97"/>
      <c r="AJ67" s="238"/>
      <c r="AK67" s="238"/>
      <c r="AL67" s="238"/>
      <c r="AM67" s="239"/>
      <c r="AN67" s="239"/>
      <c r="AO67" s="239"/>
      <c r="AP67" s="239"/>
      <c r="AQ67" s="239"/>
      <c r="AR67" s="239"/>
      <c r="AS67" s="239"/>
      <c r="AT67" s="239"/>
      <c r="AU67" s="239"/>
      <c r="AV67" s="239"/>
      <c r="AW67" s="239"/>
      <c r="AX67" s="239"/>
      <c r="AY67" s="239"/>
      <c r="AZ67" s="239"/>
      <c r="BA67" s="239"/>
      <c r="BB67" s="239"/>
      <c r="BC67" s="239"/>
      <c r="BD67" s="239"/>
      <c r="BE67" s="239"/>
      <c r="BF67" s="239"/>
      <c r="BG67" s="239"/>
      <c r="BH67" s="239"/>
      <c r="BI67" s="239"/>
      <c r="BJ67" s="240"/>
      <c r="BK67" s="240"/>
      <c r="BL67" s="418"/>
    </row>
    <row r="68" spans="2:64" s="183" customFormat="1" ht="14.25" customHeight="1">
      <c r="B68" s="182"/>
      <c r="C68" s="849" t="str">
        <f>IF(Indice_index!$Z$1=1,"Juros remuneratórios do Programa de Ajustamento Económico e Financeiro da Região Autónoma da Madeira","Remunerative interest of the Economic and Financial Adjustment Program of the Autonomous Region of Madeira")</f>
        <v>Juros remuneratórios do Programa de Ajustamento Económico e Financeiro da Região Autónoma da Madeira</v>
      </c>
      <c r="D68" s="909" t="str">
        <f>IF(Indice_index!$Z$1=1,"Receita","Revenue")</f>
        <v>Receita</v>
      </c>
      <c r="E68" s="180" t="s">
        <v>58</v>
      </c>
      <c r="F68" s="97"/>
      <c r="G68" s="136"/>
      <c r="H68" s="136"/>
      <c r="I68" s="180"/>
      <c r="J68" s="180"/>
      <c r="K68" s="180"/>
      <c r="L68" s="180"/>
      <c r="M68" s="180"/>
      <c r="N68" s="180"/>
      <c r="O68" s="180"/>
      <c r="P68" s="180"/>
      <c r="Q68" s="180"/>
      <c r="R68" s="180"/>
      <c r="S68" s="180">
        <f t="shared" si="64"/>
        <v>0</v>
      </c>
      <c r="T68" s="180">
        <f t="shared" si="71"/>
        <v>0</v>
      </c>
      <c r="U68" s="97"/>
      <c r="V68" s="136">
        <v>10.983673469999999</v>
      </c>
      <c r="W68" s="136"/>
      <c r="X68" s="180"/>
      <c r="Y68" s="180"/>
      <c r="Z68" s="180"/>
      <c r="AA68" s="180"/>
      <c r="AB68" s="180">
        <v>10.44083724</v>
      </c>
      <c r="AC68" s="180"/>
      <c r="AD68" s="180"/>
      <c r="AE68" s="180"/>
      <c r="AF68" s="180"/>
      <c r="AG68" s="180"/>
      <c r="AH68" s="180">
        <f t="shared" si="72"/>
        <v>21.42451071</v>
      </c>
      <c r="AI68" s="97"/>
      <c r="AJ68" s="238"/>
      <c r="AK68" s="238"/>
      <c r="AL68" s="238"/>
      <c r="AM68" s="239"/>
      <c r="AN68" s="239"/>
      <c r="AO68" s="239"/>
      <c r="AP68" s="239"/>
      <c r="AQ68" s="239"/>
      <c r="AR68" s="239"/>
      <c r="AS68" s="239"/>
      <c r="AT68" s="239"/>
      <c r="AU68" s="239"/>
      <c r="AV68" s="239"/>
      <c r="AW68" s="239"/>
      <c r="AX68" s="239"/>
      <c r="AY68" s="239"/>
      <c r="AZ68" s="239"/>
      <c r="BA68" s="239"/>
      <c r="BB68" s="239"/>
      <c r="BC68" s="239"/>
      <c r="BD68" s="239"/>
      <c r="BE68" s="239"/>
      <c r="BF68" s="239"/>
      <c r="BG68" s="239"/>
      <c r="BH68" s="239"/>
      <c r="BI68" s="239"/>
      <c r="BJ68" s="240"/>
      <c r="BK68" s="240"/>
      <c r="BL68" s="418"/>
    </row>
    <row r="69" spans="2:64" s="183" customFormat="1" ht="22.5">
      <c r="B69" s="182"/>
      <c r="C69" s="849" t="str">
        <f>IF(Indice_index!$Z$1=1,"Atualização do valor de referência anual da prestação social de inclusão pela Portaria n.º 5/2021, de 6 de janeiro, com efeitos retroativos a partir de 1 de outubro de 2020.","Update of the annual reference value of the social inclusion benefit by Portaria No. 5/2021, of January 6, with retroactive effect from October 1, 2020.")</f>
        <v>Atualização do valor de referência anual da prestação social de inclusão pela Portaria n.º 5/2021, de 6 de janeiro, com efeitos retroativos a partir de 1 de outubro de 2020.</v>
      </c>
      <c r="D69" s="909" t="str">
        <f>IF(Indice_index!$Z$1=1,"Receita","Revenue")</f>
        <v>Receita</v>
      </c>
      <c r="E69" s="180" t="s">
        <v>58</v>
      </c>
      <c r="F69" s="97"/>
      <c r="G69" s="136"/>
      <c r="H69" s="136"/>
      <c r="I69" s="180">
        <v>87.3</v>
      </c>
      <c r="J69" s="180"/>
      <c r="K69" s="180"/>
      <c r="L69" s="180"/>
      <c r="M69" s="180"/>
      <c r="N69" s="180"/>
      <c r="O69" s="180"/>
      <c r="P69" s="180"/>
      <c r="Q69" s="180"/>
      <c r="R69" s="180"/>
      <c r="S69" s="180">
        <f t="shared" si="64"/>
        <v>87.3</v>
      </c>
      <c r="T69" s="180">
        <f t="shared" ref="T69" si="73">SUM(G69:R69)</f>
        <v>87.3</v>
      </c>
      <c r="U69" s="97"/>
      <c r="V69" s="136"/>
      <c r="W69" s="136"/>
      <c r="X69" s="180"/>
      <c r="Y69" s="180"/>
      <c r="Z69" s="180"/>
      <c r="AA69" s="180"/>
      <c r="AB69" s="180"/>
      <c r="AC69" s="180"/>
      <c r="AD69" s="180"/>
      <c r="AE69" s="180"/>
      <c r="AF69" s="180"/>
      <c r="AG69" s="180"/>
      <c r="AH69" s="180">
        <f t="shared" ref="AH69" si="74">SUM(V69:AG69)</f>
        <v>0</v>
      </c>
      <c r="AI69" s="97"/>
      <c r="AJ69" s="238"/>
      <c r="AK69" s="238"/>
      <c r="AL69" s="238"/>
      <c r="AM69" s="239"/>
      <c r="AN69" s="239"/>
      <c r="AO69" s="239"/>
      <c r="AP69" s="239"/>
      <c r="AQ69" s="239"/>
      <c r="AR69" s="239"/>
      <c r="AS69" s="239"/>
      <c r="AT69" s="239"/>
      <c r="AU69" s="239"/>
      <c r="AV69" s="239"/>
      <c r="AW69" s="239"/>
      <c r="AX69" s="239"/>
      <c r="AY69" s="239"/>
      <c r="AZ69" s="239"/>
      <c r="BA69" s="239"/>
      <c r="BB69" s="239"/>
      <c r="BC69" s="239"/>
      <c r="BD69" s="239"/>
      <c r="BE69" s="239"/>
      <c r="BF69" s="239"/>
      <c r="BG69" s="239"/>
      <c r="BH69" s="239"/>
      <c r="BI69" s="239"/>
      <c r="BJ69" s="240"/>
      <c r="BK69" s="240"/>
      <c r="BL69" s="418"/>
    </row>
    <row r="70" spans="2:64" s="183" customFormat="1" ht="15.75">
      <c r="B70" s="182"/>
      <c r="C70" s="910" t="str">
        <f>IF(Indice_index!$Z$1=1,"Alienação de aeronaves à República da Roménia","Aircraft sales to the Republic of Romenia")</f>
        <v>Alienação de aeronaves à República da Roménia</v>
      </c>
      <c r="D70" s="911" t="str">
        <f>IF(Indice_index!$Z$1=1,"Receita","Revenue")</f>
        <v>Receita</v>
      </c>
      <c r="E70" s="912" t="s">
        <v>22</v>
      </c>
      <c r="F70" s="913"/>
      <c r="G70" s="914"/>
      <c r="H70" s="914">
        <v>26.836077</v>
      </c>
      <c r="I70" s="912"/>
      <c r="J70" s="912"/>
      <c r="K70" s="912"/>
      <c r="L70" s="912"/>
      <c r="M70" s="912"/>
      <c r="N70" s="912"/>
      <c r="O70" s="912"/>
      <c r="P70" s="912"/>
      <c r="Q70" s="912"/>
      <c r="R70" s="912"/>
      <c r="S70" s="912">
        <f t="shared" si="64"/>
        <v>26.836077</v>
      </c>
      <c r="T70" s="912">
        <f>SUM(G70:R70)</f>
        <v>26.836077</v>
      </c>
      <c r="U70" s="913"/>
      <c r="V70" s="914"/>
      <c r="W70" s="914"/>
      <c r="X70" s="912">
        <v>30</v>
      </c>
      <c r="Y70" s="912"/>
      <c r="Z70" s="912"/>
      <c r="AA70" s="912"/>
      <c r="AB70" s="912"/>
      <c r="AC70" s="912"/>
      <c r="AD70" s="912"/>
      <c r="AE70" s="912"/>
      <c r="AF70" s="912"/>
      <c r="AG70" s="912"/>
      <c r="AH70" s="912">
        <f>SUM(V70:AG70)</f>
        <v>30</v>
      </c>
      <c r="AI70" s="97"/>
      <c r="AJ70" s="238"/>
      <c r="AK70" s="238"/>
      <c r="AL70" s="238"/>
      <c r="AM70" s="239"/>
      <c r="AN70" s="239"/>
      <c r="AO70" s="239"/>
      <c r="AP70" s="239"/>
      <c r="AQ70" s="239"/>
      <c r="AR70" s="239"/>
      <c r="AS70" s="239"/>
      <c r="AT70" s="239"/>
      <c r="AU70" s="239"/>
      <c r="AV70" s="239"/>
      <c r="AW70" s="239"/>
      <c r="AX70" s="239"/>
      <c r="AY70" s="239"/>
      <c r="AZ70" s="239"/>
      <c r="BA70" s="239"/>
      <c r="BB70" s="239"/>
      <c r="BC70" s="239"/>
      <c r="BD70" s="239"/>
      <c r="BE70" s="239"/>
      <c r="BF70" s="239"/>
      <c r="BG70" s="239"/>
      <c r="BH70" s="239"/>
      <c r="BI70" s="239"/>
      <c r="BJ70" s="240"/>
      <c r="BK70" s="240"/>
      <c r="BL70" s="418"/>
    </row>
    <row r="71" spans="2:64" s="183" customFormat="1" ht="22.5">
      <c r="B71" s="182"/>
      <c r="C71" s="849" t="str">
        <f>IF(Indice_index!$Z$1=1,C129,C130)</f>
        <v>Pagamentos de encargos para sistemas de segurança social, realizados em janeiro mas respeitantes ao ano anterior, pelos Estabelecimentos de Educação e Ensinos Básico e Secundário.</v>
      </c>
      <c r="D71" s="685" t="str">
        <f>IF(Indice_index!$Z$1=1,"Despesa","Expenditure")</f>
        <v>Despesa</v>
      </c>
      <c r="E71" s="180" t="s">
        <v>27</v>
      </c>
      <c r="F71" s="112"/>
      <c r="G71" s="136">
        <v>38.25415211</v>
      </c>
      <c r="H71" s="136"/>
      <c r="I71" s="180"/>
      <c r="J71" s="180"/>
      <c r="K71" s="180"/>
      <c r="L71" s="180"/>
      <c r="M71" s="180"/>
      <c r="N71" s="180"/>
      <c r="O71" s="180"/>
      <c r="P71" s="180"/>
      <c r="Q71" s="180"/>
      <c r="R71" s="180"/>
      <c r="S71" s="180">
        <f t="shared" si="64"/>
        <v>38.25415211</v>
      </c>
      <c r="T71" s="180">
        <f>SUM(G71:R71)</f>
        <v>38.25415211</v>
      </c>
      <c r="U71" s="112"/>
      <c r="V71" s="136">
        <v>1.3520901699999999</v>
      </c>
      <c r="W71" s="136"/>
      <c r="X71" s="180"/>
      <c r="Y71" s="180"/>
      <c r="Z71" s="180"/>
      <c r="AA71" s="180"/>
      <c r="AB71" s="180"/>
      <c r="AC71" s="180"/>
      <c r="AD71" s="180"/>
      <c r="AE71" s="180"/>
      <c r="AF71" s="180"/>
      <c r="AG71" s="180"/>
      <c r="AH71" s="180">
        <f>SUM(V71:AG71)</f>
        <v>1.3520901699999999</v>
      </c>
      <c r="AI71" s="97"/>
      <c r="AJ71" s="238"/>
      <c r="AK71" s="238"/>
      <c r="AL71" s="238"/>
      <c r="AM71" s="239"/>
      <c r="AN71" s="239"/>
      <c r="AO71" s="239"/>
      <c r="AP71" s="239"/>
      <c r="AQ71" s="239"/>
      <c r="AR71" s="239"/>
      <c r="AS71" s="239"/>
      <c r="AT71" s="239"/>
      <c r="AU71" s="239"/>
      <c r="AV71" s="239"/>
      <c r="AW71" s="239"/>
      <c r="AX71" s="239"/>
      <c r="AY71" s="239"/>
      <c r="AZ71" s="239"/>
      <c r="BA71" s="239"/>
      <c r="BB71" s="239"/>
      <c r="BC71" s="239"/>
      <c r="BD71" s="239"/>
      <c r="BE71" s="239"/>
      <c r="BF71" s="239"/>
      <c r="BG71" s="239"/>
      <c r="BH71" s="239"/>
      <c r="BI71" s="239"/>
      <c r="BJ71" s="240"/>
      <c r="BK71" s="240"/>
      <c r="BL71" s="418"/>
    </row>
    <row r="72" spans="2:64" s="183" customFormat="1" ht="25.5" customHeight="1">
      <c r="B72" s="182"/>
      <c r="C72" s="849" t="str">
        <f>IF(Indice_index!$Z$1=1,"Regularização de dívidas vencidas a fornecedores por parte de entidades do Serviço Nacional de Saúde, com contrapartida em reforços dos respetivos capitais pelo Estado (a)","Settlement of overdue debt to suppliers by National Health Service’s entities, with counterpart in increases in the respective capital by the State (a)")</f>
        <v>Regularização de dívidas vencidas a fornecedores por parte de entidades do Serviço Nacional de Saúde, com contrapartida em reforços dos respetivos capitais pelo Estado (a)</v>
      </c>
      <c r="D72" s="685" t="str">
        <f>IF(Indice_index!$Z$1=1,"Despesa","Expenditure")</f>
        <v>Despesa</v>
      </c>
      <c r="E72" s="180" t="s">
        <v>86</v>
      </c>
      <c r="F72" s="112"/>
      <c r="G72" s="136"/>
      <c r="H72" s="136"/>
      <c r="I72" s="180"/>
      <c r="J72" s="180"/>
      <c r="K72" s="180"/>
      <c r="L72" s="180"/>
      <c r="M72" s="180"/>
      <c r="N72" s="180">
        <v>334.63643481999998</v>
      </c>
      <c r="O72" s="180">
        <v>9.7948094399999981</v>
      </c>
      <c r="P72" s="180">
        <v>-8.3664099999666217E-3</v>
      </c>
      <c r="Q72" s="180">
        <v>-1.2073909999966621E-2</v>
      </c>
      <c r="R72" s="180">
        <v>686.92602964000002</v>
      </c>
      <c r="S72" s="180">
        <f t="shared" si="64"/>
        <v>0</v>
      </c>
      <c r="T72" s="180">
        <f t="shared" ref="T72:T84" si="75">SUM(G72:R72)</f>
        <v>1031.3368335800001</v>
      </c>
      <c r="U72" s="112"/>
      <c r="V72" s="136"/>
      <c r="W72" s="136"/>
      <c r="X72" s="180"/>
      <c r="Y72" s="180"/>
      <c r="Z72" s="180"/>
      <c r="AA72" s="180"/>
      <c r="AB72" s="180"/>
      <c r="AC72" s="180"/>
      <c r="AD72" s="180"/>
      <c r="AE72" s="180"/>
      <c r="AF72" s="180"/>
      <c r="AG72" s="180"/>
      <c r="AH72" s="180">
        <f>SUM(V72:AG72)</f>
        <v>0</v>
      </c>
      <c r="AI72" s="97"/>
      <c r="AJ72" s="238"/>
      <c r="AK72" s="238"/>
      <c r="AL72" s="238"/>
      <c r="AM72" s="239"/>
      <c r="AN72" s="239"/>
      <c r="AO72" s="239"/>
      <c r="AP72" s="239"/>
      <c r="AQ72" s="239"/>
      <c r="AR72" s="239"/>
      <c r="AS72" s="239"/>
      <c r="AT72" s="239"/>
      <c r="AU72" s="239"/>
      <c r="AV72" s="239"/>
      <c r="AW72" s="239"/>
      <c r="AX72" s="239"/>
      <c r="AY72" s="239"/>
      <c r="AZ72" s="239"/>
      <c r="BA72" s="239"/>
      <c r="BB72" s="239"/>
      <c r="BC72" s="239"/>
      <c r="BD72" s="239"/>
      <c r="BE72" s="239"/>
      <c r="BF72" s="239"/>
      <c r="BG72" s="239"/>
      <c r="BH72" s="239"/>
      <c r="BI72" s="239"/>
      <c r="BJ72" s="240"/>
      <c r="BK72" s="240"/>
      <c r="BL72" s="418"/>
    </row>
    <row r="73" spans="2:64" s="183" customFormat="1" ht="33.75">
      <c r="B73" s="182"/>
      <c r="C73" s="849" t="str">
        <f>IF(Indice_index!$Z$1=1,C132,C133)</f>
        <v>Pagamento relativo ao princípio da onerosidade realizado pela Direção-Geral de Recursos da Defesa Nacional em dezembro de 2021, mas que diz respeito ao ano de 2020 (o montante em causa foi expurgado da despesa de 2021 e considerado em 2020, por forma a não afetar a comparabilidade homóloga).</v>
      </c>
      <c r="D73" s="685" t="str">
        <f>IF(Indice_index!$Z$1=1,"Despesa","Expenditure")</f>
        <v>Despesa</v>
      </c>
      <c r="E73" s="180" t="s">
        <v>28</v>
      </c>
      <c r="F73" s="112"/>
      <c r="G73" s="136"/>
      <c r="H73" s="136"/>
      <c r="I73" s="180"/>
      <c r="J73" s="180"/>
      <c r="K73" s="180"/>
      <c r="L73" s="180"/>
      <c r="M73" s="180"/>
      <c r="N73" s="180"/>
      <c r="O73" s="180"/>
      <c r="P73" s="180"/>
      <c r="Q73" s="180"/>
      <c r="R73" s="180">
        <v>-115.58609199999999</v>
      </c>
      <c r="S73" s="180">
        <f t="shared" si="64"/>
        <v>0</v>
      </c>
      <c r="T73" s="180">
        <f t="shared" si="75"/>
        <v>-115.58609199999999</v>
      </c>
      <c r="U73" s="112"/>
      <c r="V73" s="136"/>
      <c r="W73" s="136"/>
      <c r="X73" s="180"/>
      <c r="Y73" s="180"/>
      <c r="Z73" s="180"/>
      <c r="AA73" s="180"/>
      <c r="AB73" s="180"/>
      <c r="AC73" s="180"/>
      <c r="AD73" s="180"/>
      <c r="AE73" s="180"/>
      <c r="AF73" s="180"/>
      <c r="AG73" s="180"/>
      <c r="AH73" s="180">
        <f t="shared" ref="AH73" si="76">SUM(V73:AG73)</f>
        <v>0</v>
      </c>
      <c r="AI73" s="97"/>
      <c r="AJ73" s="238"/>
      <c r="AK73" s="238"/>
      <c r="AL73" s="238"/>
      <c r="AM73" s="239"/>
      <c r="AN73" s="239"/>
      <c r="AO73" s="239"/>
      <c r="AP73" s="239"/>
      <c r="AQ73" s="239"/>
      <c r="AR73" s="239"/>
      <c r="AS73" s="239"/>
      <c r="AT73" s="239"/>
      <c r="AU73" s="239"/>
      <c r="AV73" s="239"/>
      <c r="AW73" s="239"/>
      <c r="AX73" s="239"/>
      <c r="AY73" s="239"/>
      <c r="AZ73" s="239"/>
      <c r="BA73" s="239"/>
      <c r="BB73" s="239"/>
      <c r="BC73" s="239"/>
      <c r="BD73" s="239"/>
      <c r="BE73" s="239"/>
      <c r="BF73" s="239"/>
      <c r="BG73" s="239"/>
      <c r="BH73" s="239"/>
      <c r="BI73" s="239"/>
      <c r="BJ73" s="240"/>
      <c r="BK73" s="240"/>
      <c r="BL73" s="418"/>
    </row>
    <row r="74" spans="2:64" s="183" customFormat="1" ht="22.5">
      <c r="B74" s="182"/>
      <c r="C74" s="849" t="str">
        <f>IF(Indice_index!$Z$1=1,C157,C158)</f>
        <v>Pagamento à parceria público-privada do Hospital de Loures, efetuado em janeiro de 2022, decorrente de decisão arbitral de tribunal.</v>
      </c>
      <c r="D74" s="685" t="str">
        <f>IF(Indice_index!$Z$1=1,"Despesa","Expenditure")</f>
        <v>Despesa</v>
      </c>
      <c r="E74" s="180" t="s">
        <v>28</v>
      </c>
      <c r="F74" s="112"/>
      <c r="G74" s="136"/>
      <c r="H74" s="136"/>
      <c r="I74" s="180"/>
      <c r="J74" s="180"/>
      <c r="K74" s="180"/>
      <c r="L74" s="180"/>
      <c r="M74" s="180"/>
      <c r="N74" s="180"/>
      <c r="O74" s="180"/>
      <c r="P74" s="180"/>
      <c r="Q74" s="180"/>
      <c r="R74" s="180"/>
      <c r="S74" s="180">
        <f t="shared" si="64"/>
        <v>0</v>
      </c>
      <c r="T74" s="180">
        <f t="shared" si="75"/>
        <v>0</v>
      </c>
      <c r="U74" s="112"/>
      <c r="V74" s="136">
        <f>18290256/10^6</f>
        <v>18.290255999999999</v>
      </c>
      <c r="W74" s="136"/>
      <c r="X74" s="180"/>
      <c r="Y74" s="180"/>
      <c r="Z74" s="180"/>
      <c r="AA74" s="180"/>
      <c r="AB74" s="180"/>
      <c r="AC74" s="180"/>
      <c r="AD74" s="180"/>
      <c r="AE74" s="180"/>
      <c r="AF74" s="180"/>
      <c r="AG74" s="180"/>
      <c r="AH74" s="180">
        <f t="shared" ref="AH74" si="77">SUM(V74:AG74)</f>
        <v>18.290255999999999</v>
      </c>
      <c r="AI74" s="97"/>
      <c r="AJ74" s="238"/>
      <c r="AK74" s="238"/>
      <c r="AL74" s="238"/>
      <c r="AM74" s="239"/>
      <c r="AN74" s="239"/>
      <c r="AO74" s="239"/>
      <c r="AP74" s="239"/>
      <c r="AQ74" s="239"/>
      <c r="AR74" s="239"/>
      <c r="AS74" s="239"/>
      <c r="AT74" s="239"/>
      <c r="AU74" s="239"/>
      <c r="AV74" s="239"/>
      <c r="AW74" s="239"/>
      <c r="AX74" s="239"/>
      <c r="AY74" s="239"/>
      <c r="AZ74" s="239"/>
      <c r="BA74" s="239"/>
      <c r="BB74" s="239"/>
      <c r="BC74" s="239"/>
      <c r="BD74" s="239"/>
      <c r="BE74" s="239"/>
      <c r="BF74" s="239"/>
      <c r="BG74" s="239"/>
      <c r="BH74" s="239"/>
      <c r="BI74" s="239"/>
      <c r="BJ74" s="240"/>
      <c r="BK74" s="240"/>
      <c r="BL74" s="418"/>
    </row>
    <row r="75" spans="2:64" s="183" customFormat="1" ht="26.25" customHeight="1">
      <c r="B75" s="182"/>
      <c r="C75" s="849" t="str">
        <f>IF(Indice_index!$Z$1=1,C135,C136)</f>
        <v>Devolução pelo Fundo Europeu de Estabilização Financeira (FEEF) ao Estado português, da rentabilidade das prepaid margins retida aquando do desembolso inicial do empréstimo do PAEF.</v>
      </c>
      <c r="D75" s="685" t="str">
        <f>IF(Indice_index!$Z$1=1,"Despesa","Expenditure")</f>
        <v>Despesa</v>
      </c>
      <c r="E75" s="180" t="s">
        <v>29</v>
      </c>
      <c r="F75" s="112"/>
      <c r="G75" s="136"/>
      <c r="H75" s="136"/>
      <c r="I75" s="180"/>
      <c r="J75" s="180"/>
      <c r="K75" s="180"/>
      <c r="L75" s="180"/>
      <c r="M75" s="180">
        <v>-286.65263454000001</v>
      </c>
      <c r="N75" s="180"/>
      <c r="O75" s="180"/>
      <c r="P75" s="180"/>
      <c r="Q75" s="180"/>
      <c r="R75" s="180"/>
      <c r="S75" s="180">
        <f t="shared" si="64"/>
        <v>-286.65263454000001</v>
      </c>
      <c r="T75" s="180">
        <f t="shared" si="75"/>
        <v>-286.65263454000001</v>
      </c>
      <c r="U75" s="112"/>
      <c r="V75" s="136"/>
      <c r="W75" s="136"/>
      <c r="X75" s="180"/>
      <c r="Y75" s="180"/>
      <c r="Z75" s="180"/>
      <c r="AA75" s="180"/>
      <c r="AB75" s="180"/>
      <c r="AC75" s="180"/>
      <c r="AD75" s="180"/>
      <c r="AE75" s="180"/>
      <c r="AF75" s="180"/>
      <c r="AG75" s="180"/>
      <c r="AH75" s="180">
        <f t="shared" si="69"/>
        <v>0</v>
      </c>
      <c r="AI75" s="97"/>
      <c r="AJ75" s="238"/>
      <c r="AK75" s="238"/>
      <c r="AL75" s="238"/>
      <c r="AM75" s="239"/>
      <c r="AN75" s="239"/>
      <c r="AO75" s="239"/>
      <c r="AP75" s="239"/>
      <c r="AQ75" s="239"/>
      <c r="AR75" s="239"/>
      <c r="AS75" s="239"/>
      <c r="AT75" s="239"/>
      <c r="AU75" s="239"/>
      <c r="AV75" s="239"/>
      <c r="AW75" s="239"/>
      <c r="AX75" s="239"/>
      <c r="AY75" s="239"/>
      <c r="AZ75" s="239"/>
      <c r="BA75" s="239"/>
      <c r="BB75" s="239"/>
      <c r="BC75" s="239"/>
      <c r="BD75" s="239"/>
      <c r="BE75" s="239"/>
      <c r="BF75" s="239"/>
      <c r="BG75" s="239"/>
      <c r="BH75" s="239"/>
      <c r="BI75" s="239"/>
      <c r="BJ75" s="240"/>
      <c r="BK75" s="240"/>
      <c r="BL75" s="418"/>
    </row>
    <row r="76" spans="2:64" s="183" customFormat="1" ht="34.5" customHeight="1">
      <c r="B76" s="182"/>
      <c r="C76" s="849" t="str">
        <f>IF(Indice_index!$Z$1=1,C138,C139)</f>
        <v>Transferências correntes - compensação faseada às autarquias relativamente às transferências efetivadas em 2018 ao abrigo da Lei de Finanças Locais - art. 5.º da Lei n.º 73/2013, de 3 de setembro, na redação pela Lei n.º 51/2018, 16 de agosto.</v>
      </c>
      <c r="D76" s="685" t="str">
        <f>IF(Indice_index!$Z$1=1,"Despesa","Expenditure")</f>
        <v>Despesa</v>
      </c>
      <c r="E76" s="136" t="s">
        <v>86</v>
      </c>
      <c r="F76" s="97"/>
      <c r="G76" s="136">
        <v>5.8756139999999997</v>
      </c>
      <c r="H76" s="136"/>
      <c r="I76" s="136"/>
      <c r="J76" s="136">
        <v>5.8756139999999988</v>
      </c>
      <c r="K76" s="136"/>
      <c r="L76" s="136"/>
      <c r="M76" s="136">
        <v>5.8753380000000011</v>
      </c>
      <c r="N76" s="136">
        <v>0</v>
      </c>
      <c r="O76" s="136">
        <v>0</v>
      </c>
      <c r="P76" s="136">
        <v>5.8782579999999989</v>
      </c>
      <c r="Q76" s="136"/>
      <c r="R76" s="136"/>
      <c r="S76" s="180">
        <f t="shared" si="64"/>
        <v>17.626565999999997</v>
      </c>
      <c r="T76" s="180">
        <f t="shared" si="75"/>
        <v>23.504823999999996</v>
      </c>
      <c r="U76" s="97"/>
      <c r="V76" s="136">
        <v>1.9571480000000001</v>
      </c>
      <c r="W76" s="136">
        <v>1.9571480000000001</v>
      </c>
      <c r="X76" s="180">
        <v>1.9571480000000001</v>
      </c>
      <c r="Y76" s="180">
        <v>1.9571480000000001</v>
      </c>
      <c r="Z76" s="180">
        <v>1.9571480000000001</v>
      </c>
      <c r="AA76" s="180">
        <v>1.9571480000000001</v>
      </c>
      <c r="AB76" s="180">
        <v>30.518876999999996</v>
      </c>
      <c r="AC76" s="180"/>
      <c r="AD76" s="180"/>
      <c r="AE76" s="180"/>
      <c r="AF76" s="850"/>
      <c r="AG76" s="850"/>
      <c r="AH76" s="180">
        <f t="shared" si="69"/>
        <v>42.261764999999997</v>
      </c>
      <c r="AI76" s="97"/>
      <c r="AJ76" s="238"/>
      <c r="AK76" s="238"/>
      <c r="AL76" s="238"/>
      <c r="AM76" s="239"/>
      <c r="AN76" s="239"/>
      <c r="AO76" s="239"/>
      <c r="AP76" s="239"/>
      <c r="AQ76" s="239"/>
      <c r="AR76" s="239"/>
      <c r="AS76" s="239"/>
      <c r="AT76" s="239"/>
      <c r="AU76" s="239"/>
      <c r="AV76" s="239"/>
      <c r="AW76" s="239"/>
      <c r="AX76" s="239"/>
      <c r="AY76" s="239"/>
      <c r="AZ76" s="239"/>
      <c r="BA76" s="239"/>
      <c r="BB76" s="239"/>
      <c r="BC76" s="239"/>
      <c r="BD76" s="239"/>
      <c r="BE76" s="239"/>
      <c r="BF76" s="239"/>
      <c r="BG76" s="239"/>
      <c r="BH76" s="239"/>
      <c r="BI76" s="239"/>
      <c r="BJ76" s="240"/>
      <c r="BK76" s="240"/>
      <c r="BL76" s="418"/>
    </row>
    <row r="77" spans="2:64" s="183" customFormat="1" ht="33.75">
      <c r="B77" s="182"/>
      <c r="C77" s="849" t="str">
        <f>IF(Indice_index!$Z$1=1,"Transferência para a Grécia, através do Mecanismo Europeu de Estabilidade (MEE), dos montantes equivalentes aos rendimentos obtidos no Programa para os Mercados de Valores Mobiliários (SMP) / Acordo sobre Ativos Financeiros Líquidos (ANFA).","Transfer to Greece, through the European Stability Mechanism (ESM), regarding the amounts equivalent to the income earned on Securities Market Program (SMP)/ Agreement on Net Financial Assets (ANFA) holdings.")</f>
        <v>Transferência para a Grécia, através do Mecanismo Europeu de Estabilidade (MEE), dos montantes equivalentes aos rendimentos obtidos no Programa para os Mercados de Valores Mobiliários (SMP) / Acordo sobre Ativos Financeiros Líquidos (ANFA).</v>
      </c>
      <c r="D77" s="685" t="str">
        <f>IF(Indice_index!$Z$1=1,"Despesa","Expenditure")</f>
        <v>Despesa</v>
      </c>
      <c r="E77" s="136" t="s">
        <v>31</v>
      </c>
      <c r="F77" s="97"/>
      <c r="G77" s="136"/>
      <c r="H77" s="136"/>
      <c r="I77" s="136"/>
      <c r="J77" s="136"/>
      <c r="K77" s="136"/>
      <c r="L77" s="136"/>
      <c r="M77" s="136">
        <v>10.34</v>
      </c>
      <c r="N77" s="136"/>
      <c r="O77" s="136"/>
      <c r="P77" s="136"/>
      <c r="Q77" s="136"/>
      <c r="R77" s="136"/>
      <c r="S77" s="180">
        <f t="shared" si="64"/>
        <v>10.34</v>
      </c>
      <c r="T77" s="180">
        <f t="shared" si="75"/>
        <v>10.34</v>
      </c>
      <c r="U77" s="97"/>
      <c r="V77" s="136"/>
      <c r="W77" s="136">
        <v>4.16</v>
      </c>
      <c r="X77" s="180"/>
      <c r="Y77" s="180"/>
      <c r="Z77" s="180"/>
      <c r="AA77" s="180"/>
      <c r="AB77" s="180"/>
      <c r="AC77" s="180"/>
      <c r="AD77" s="180"/>
      <c r="AE77" s="180"/>
      <c r="AF77" s="180"/>
      <c r="AG77" s="851"/>
      <c r="AH77" s="180">
        <f t="shared" ref="AH77:AH81" si="78">SUM(V77:AG77)</f>
        <v>4.16</v>
      </c>
      <c r="AI77" s="97"/>
      <c r="AJ77" s="238"/>
      <c r="AK77" s="238"/>
      <c r="AL77" s="238"/>
      <c r="AM77" s="239"/>
      <c r="AN77" s="239"/>
      <c r="AO77" s="239"/>
      <c r="AP77" s="239"/>
      <c r="AQ77" s="239"/>
      <c r="AR77" s="239"/>
      <c r="AS77" s="239"/>
      <c r="AT77" s="239"/>
      <c r="AU77" s="239"/>
      <c r="AV77" s="239"/>
      <c r="AW77" s="239"/>
      <c r="AX77" s="239"/>
      <c r="AY77" s="239"/>
      <c r="AZ77" s="239"/>
      <c r="BA77" s="239"/>
      <c r="BB77" s="239"/>
      <c r="BC77" s="239"/>
      <c r="BD77" s="239"/>
      <c r="BE77" s="239"/>
      <c r="BF77" s="239"/>
      <c r="BG77" s="239"/>
      <c r="BH77" s="239"/>
      <c r="BI77" s="239"/>
      <c r="BJ77" s="240"/>
      <c r="BK77" s="240"/>
      <c r="BL77" s="418"/>
    </row>
    <row r="78" spans="2:64" s="183" customFormat="1" ht="33.75">
      <c r="B78" s="182"/>
      <c r="C78" s="849" t="str">
        <f>IF(Indice_index!$Z$1=1,C141,C142)</f>
        <v>Atualização do valor de referência anual da prestação social de inclusão pela Portaria n.º 5/2021, de 6 de janeiro, com efeitos retroativos a partir de 1 de outubro de 2020. Esta operação contabilística gerou um movimento em sentido contrário na receita de Reposições não abatidas nos pagamentos.</v>
      </c>
      <c r="D78" s="685" t="str">
        <f>IF(Indice_index!$Z$1=1,"Despesa","Expenditure")</f>
        <v>Despesa</v>
      </c>
      <c r="E78" s="136" t="s">
        <v>31</v>
      </c>
      <c r="F78" s="97"/>
      <c r="G78" s="136"/>
      <c r="H78" s="136"/>
      <c r="I78" s="136">
        <v>87.3</v>
      </c>
      <c r="J78" s="136"/>
      <c r="K78" s="136"/>
      <c r="L78" s="136"/>
      <c r="M78" s="136"/>
      <c r="N78" s="136"/>
      <c r="O78" s="136"/>
      <c r="P78" s="136"/>
      <c r="Q78" s="136"/>
      <c r="R78" s="136"/>
      <c r="S78" s="180">
        <f t="shared" si="64"/>
        <v>87.3</v>
      </c>
      <c r="T78" s="180">
        <f t="shared" si="75"/>
        <v>87.3</v>
      </c>
      <c r="U78" s="97"/>
      <c r="V78" s="136"/>
      <c r="W78" s="136"/>
      <c r="X78" s="180"/>
      <c r="Y78" s="180"/>
      <c r="Z78" s="180"/>
      <c r="AA78" s="180"/>
      <c r="AB78" s="180"/>
      <c r="AC78" s="180"/>
      <c r="AD78" s="180"/>
      <c r="AE78" s="180"/>
      <c r="AF78" s="180"/>
      <c r="AG78" s="851"/>
      <c r="AH78" s="180">
        <f t="shared" ref="AH78" si="79">SUM(V78:AG78)</f>
        <v>0</v>
      </c>
      <c r="AI78" s="97"/>
      <c r="AJ78" s="238"/>
      <c r="AK78" s="238"/>
      <c r="AL78" s="238"/>
      <c r="AM78" s="239"/>
      <c r="AN78" s="239"/>
      <c r="AO78" s="239"/>
      <c r="AP78" s="239"/>
      <c r="AQ78" s="239"/>
      <c r="AR78" s="239"/>
      <c r="AS78" s="239"/>
      <c r="AT78" s="239"/>
      <c r="AU78" s="239"/>
      <c r="AV78" s="239"/>
      <c r="AW78" s="239"/>
      <c r="AX78" s="239"/>
      <c r="AY78" s="239"/>
      <c r="AZ78" s="239"/>
      <c r="BA78" s="239"/>
      <c r="BB78" s="239"/>
      <c r="BC78" s="239"/>
      <c r="BD78" s="239"/>
      <c r="BE78" s="239"/>
      <c r="BF78" s="239"/>
      <c r="BG78" s="239"/>
      <c r="BH78" s="239"/>
      <c r="BI78" s="239"/>
      <c r="BJ78" s="240"/>
      <c r="BK78" s="240"/>
      <c r="BL78" s="418"/>
    </row>
    <row r="79" spans="2:64" s="183" customFormat="1" ht="25.5" hidden="1" customHeight="1">
      <c r="B79" s="182"/>
      <c r="C79" s="849" t="str">
        <f>IF(Indice_index!$Z$1=1,C145,C146)</f>
        <v>Alteração da contabilização da despesa suportada pela Direção-Geral do Tesouro e Finanças no âmbito do programa “IVAucher”, de "Outras despesas correntes" para "Subsídios".</v>
      </c>
      <c r="D79" s="685" t="str">
        <f>IF(Indice_index!$Z$1=1,"Despesa","Expenditure")</f>
        <v>Despesa</v>
      </c>
      <c r="E79" s="136" t="s">
        <v>32</v>
      </c>
      <c r="F79" s="97"/>
      <c r="G79" s="136"/>
      <c r="H79" s="136"/>
      <c r="I79" s="136"/>
      <c r="J79" s="136"/>
      <c r="K79" s="136"/>
      <c r="L79" s="136"/>
      <c r="M79" s="136"/>
      <c r="N79" s="136"/>
      <c r="O79" s="136">
        <v>47.518923000000001</v>
      </c>
      <c r="P79" s="136"/>
      <c r="Q79" s="136">
        <v>-47.518923000000001</v>
      </c>
      <c r="R79" s="136"/>
      <c r="S79" s="180">
        <f t="shared" si="64"/>
        <v>0</v>
      </c>
      <c r="T79" s="180">
        <f t="shared" si="75"/>
        <v>0</v>
      </c>
      <c r="U79" s="97"/>
      <c r="V79" s="136"/>
      <c r="W79" s="136"/>
      <c r="X79" s="180"/>
      <c r="Y79" s="180"/>
      <c r="Z79" s="180"/>
      <c r="AA79" s="180"/>
      <c r="AB79" s="180"/>
      <c r="AC79" s="180"/>
      <c r="AD79" s="180"/>
      <c r="AE79" s="180"/>
      <c r="AF79" s="180"/>
      <c r="AG79" s="180"/>
      <c r="AH79" s="180">
        <f t="shared" si="78"/>
        <v>0</v>
      </c>
      <c r="AI79" s="97"/>
      <c r="AJ79" s="238"/>
      <c r="AK79" s="238"/>
      <c r="AL79" s="238"/>
      <c r="AM79" s="239"/>
      <c r="AN79" s="239"/>
      <c r="AO79" s="239"/>
      <c r="AP79" s="239"/>
      <c r="AQ79" s="239"/>
      <c r="AR79" s="239"/>
      <c r="AS79" s="239"/>
      <c r="AT79" s="239"/>
      <c r="AU79" s="239"/>
      <c r="AV79" s="239"/>
      <c r="AW79" s="239"/>
      <c r="AX79" s="239"/>
      <c r="AY79" s="239"/>
      <c r="AZ79" s="239"/>
      <c r="BA79" s="239"/>
      <c r="BB79" s="239"/>
      <c r="BC79" s="239"/>
      <c r="BD79" s="239"/>
      <c r="BE79" s="239"/>
      <c r="BF79" s="239"/>
      <c r="BG79" s="239"/>
      <c r="BH79" s="239"/>
      <c r="BI79" s="239"/>
      <c r="BJ79" s="240"/>
      <c r="BK79" s="240"/>
      <c r="BL79" s="418"/>
    </row>
    <row r="80" spans="2:64" s="183" customFormat="1" ht="22.5" hidden="1">
      <c r="B80" s="182"/>
      <c r="C80" s="849" t="str">
        <f>IF(Indice_index!$Z$1=1,C145,C146)</f>
        <v>Alteração da contabilização da despesa suportada pela Direção-Geral do Tesouro e Finanças no âmbito do programa “IVAucher”, de "Outras despesas correntes" para "Subsídios".</v>
      </c>
      <c r="D80" s="685" t="str">
        <f>IF(Indice_index!$Z$1=1,"Despesa","Expenditure")</f>
        <v>Despesa</v>
      </c>
      <c r="E80" s="136" t="s">
        <v>33</v>
      </c>
      <c r="F80" s="97"/>
      <c r="G80" s="136"/>
      <c r="H80" s="136"/>
      <c r="I80" s="136"/>
      <c r="J80" s="136"/>
      <c r="K80" s="136"/>
      <c r="L80" s="136"/>
      <c r="M80" s="136"/>
      <c r="N80" s="136"/>
      <c r="O80" s="136">
        <v>-47.518923000000001</v>
      </c>
      <c r="P80" s="136"/>
      <c r="Q80" s="136">
        <v>47.518923000000001</v>
      </c>
      <c r="R80" s="136"/>
      <c r="S80" s="180">
        <f t="shared" si="64"/>
        <v>0</v>
      </c>
      <c r="T80" s="180">
        <f t="shared" si="75"/>
        <v>0</v>
      </c>
      <c r="U80" s="97"/>
      <c r="V80" s="136"/>
      <c r="W80" s="136"/>
      <c r="X80" s="180"/>
      <c r="Y80" s="180"/>
      <c r="Z80" s="180"/>
      <c r="AA80" s="180"/>
      <c r="AB80" s="180"/>
      <c r="AC80" s="180"/>
      <c r="AD80" s="180"/>
      <c r="AE80" s="180"/>
      <c r="AF80" s="180"/>
      <c r="AG80" s="180"/>
      <c r="AH80" s="180">
        <f t="shared" ref="AH80" si="80">SUM(V80:AG80)</f>
        <v>0</v>
      </c>
      <c r="AI80" s="97"/>
      <c r="AJ80" s="238"/>
      <c r="AK80" s="238"/>
      <c r="AL80" s="238"/>
      <c r="AM80" s="239"/>
      <c r="AN80" s="239"/>
      <c r="AO80" s="239"/>
      <c r="AP80" s="239"/>
      <c r="AQ80" s="239"/>
      <c r="AR80" s="239"/>
      <c r="AS80" s="239"/>
      <c r="AT80" s="239"/>
      <c r="AU80" s="239"/>
      <c r="AV80" s="239"/>
      <c r="AW80" s="239"/>
      <c r="AX80" s="239"/>
      <c r="AY80" s="239"/>
      <c r="AZ80" s="239"/>
      <c r="BA80" s="239"/>
      <c r="BB80" s="239"/>
      <c r="BC80" s="239"/>
      <c r="BD80" s="239"/>
      <c r="BE80" s="239"/>
      <c r="BF80" s="239"/>
      <c r="BG80" s="239"/>
      <c r="BH80" s="239"/>
      <c r="BI80" s="239"/>
      <c r="BJ80" s="240"/>
      <c r="BK80" s="240"/>
      <c r="BL80" s="418"/>
    </row>
    <row r="81" spans="2:64" s="183" customFormat="1" ht="15.75">
      <c r="B81" s="182"/>
      <c r="C81" s="849" t="str">
        <f>IF(Indice_index!$Z$1=1,"Metropolitano de Lisboa, E.P.E. – pagamento final respeitante à aquisição de material circulante.","Metropolitano de Lisboa, E.P.E. - final payment related to the acquisition of a rolling stock.")</f>
        <v>Metropolitano de Lisboa, E.P.E. – pagamento final respeitante à aquisição de material circulante.</v>
      </c>
      <c r="D81" s="685" t="str">
        <f>IF(Indice_index!$Z$1=1,"Despesa","Expenditure")</f>
        <v>Despesa</v>
      </c>
      <c r="E81" s="136" t="s">
        <v>34</v>
      </c>
      <c r="F81" s="97"/>
      <c r="G81" s="136"/>
      <c r="H81" s="136"/>
      <c r="I81" s="136"/>
      <c r="J81" s="136"/>
      <c r="K81" s="136"/>
      <c r="L81" s="136"/>
      <c r="M81" s="136"/>
      <c r="N81" s="136"/>
      <c r="O81" s="136">
        <v>52.777777999999998</v>
      </c>
      <c r="P81" s="136"/>
      <c r="Q81" s="136"/>
      <c r="R81" s="136"/>
      <c r="S81" s="180">
        <f t="shared" si="64"/>
        <v>0</v>
      </c>
      <c r="T81" s="180">
        <f t="shared" si="75"/>
        <v>52.777777999999998</v>
      </c>
      <c r="U81" s="97"/>
      <c r="V81" s="136"/>
      <c r="W81" s="136"/>
      <c r="X81" s="180"/>
      <c r="Y81" s="180"/>
      <c r="Z81" s="180"/>
      <c r="AA81" s="180"/>
      <c r="AB81" s="180"/>
      <c r="AC81" s="180"/>
      <c r="AD81" s="180"/>
      <c r="AE81" s="180"/>
      <c r="AF81" s="180"/>
      <c r="AG81" s="180"/>
      <c r="AH81" s="180">
        <f t="shared" si="78"/>
        <v>0</v>
      </c>
      <c r="AI81" s="97"/>
      <c r="AJ81" s="238"/>
      <c r="AK81" s="238"/>
      <c r="AL81" s="238"/>
      <c r="AM81" s="239"/>
      <c r="AN81" s="239"/>
      <c r="AO81" s="239"/>
      <c r="AP81" s="239"/>
      <c r="AQ81" s="239"/>
      <c r="AR81" s="239"/>
      <c r="AS81" s="239"/>
      <c r="AT81" s="239"/>
      <c r="AU81" s="239"/>
      <c r="AV81" s="239"/>
      <c r="AW81" s="239"/>
      <c r="AX81" s="239"/>
      <c r="AY81" s="239"/>
      <c r="AZ81" s="239"/>
      <c r="BA81" s="239"/>
      <c r="BB81" s="239"/>
      <c r="BC81" s="239"/>
      <c r="BD81" s="239"/>
      <c r="BE81" s="239"/>
      <c r="BF81" s="239"/>
      <c r="BG81" s="239"/>
      <c r="BH81" s="239"/>
      <c r="BI81" s="239"/>
      <c r="BJ81" s="240"/>
      <c r="BK81" s="240"/>
      <c r="BL81" s="418"/>
    </row>
    <row r="82" spans="2:64" s="183" customFormat="1" ht="15.75">
      <c r="B82" s="182"/>
      <c r="C82" s="849" t="str">
        <f>IF(Indice_index!$Z$1=1,"Pagamento de decisão judicial à concessionária RAL.","Payment of court decision to the RAL concessionaire.")</f>
        <v>Pagamento de decisão judicial à concessionária RAL.</v>
      </c>
      <c r="D82" s="685" t="str">
        <f>IF(Indice_index!$Z$1=1,"Despesa","Expenditure")</f>
        <v>Despesa</v>
      </c>
      <c r="E82" s="136" t="s">
        <v>34</v>
      </c>
      <c r="F82" s="97"/>
      <c r="G82" s="136"/>
      <c r="H82" s="136"/>
      <c r="I82" s="136"/>
      <c r="J82" s="136">
        <v>38.340000000000003</v>
      </c>
      <c r="K82" s="136">
        <v>1.4299999999999997</v>
      </c>
      <c r="L82" s="136">
        <v>1.4339999999999975</v>
      </c>
      <c r="M82" s="136"/>
      <c r="N82" s="136">
        <v>1.4699999999999989</v>
      </c>
      <c r="O82" s="136">
        <v>1.5529999999999973</v>
      </c>
      <c r="P82" s="136">
        <v>1.5530000000000044</v>
      </c>
      <c r="Q82" s="136">
        <v>1.5529999999999973</v>
      </c>
      <c r="R82" s="136">
        <v>1.5530000000000044</v>
      </c>
      <c r="S82" s="180">
        <f t="shared" si="64"/>
        <v>41.204000000000001</v>
      </c>
      <c r="T82" s="180">
        <f>SUM(G82:R82)</f>
        <v>48.886000000000003</v>
      </c>
      <c r="U82" s="97"/>
      <c r="V82" s="136">
        <v>1.5529999999999999</v>
      </c>
      <c r="W82" s="136"/>
      <c r="X82" s="180">
        <v>3.1065026400000004</v>
      </c>
      <c r="Y82" s="180">
        <v>1.5532513199999993</v>
      </c>
      <c r="Z82" s="180">
        <v>1.5532513200000002</v>
      </c>
      <c r="AA82" s="180">
        <v>1.5532513199999993</v>
      </c>
      <c r="AB82" s="180">
        <v>1.5532513200000011</v>
      </c>
      <c r="AC82" s="180"/>
      <c r="AD82" s="180"/>
      <c r="AE82" s="180"/>
      <c r="AF82" s="180"/>
      <c r="AG82" s="180"/>
      <c r="AH82" s="180">
        <f>SUM(V82:AG82)</f>
        <v>10.87250792</v>
      </c>
      <c r="AI82" s="97"/>
      <c r="AJ82" s="238"/>
      <c r="AK82" s="238"/>
      <c r="AL82" s="238"/>
      <c r="AM82" s="239"/>
      <c r="AN82" s="239"/>
      <c r="AO82" s="239"/>
      <c r="AP82" s="239"/>
      <c r="AQ82" s="239"/>
      <c r="AR82" s="239"/>
      <c r="AS82" s="239"/>
      <c r="AT82" s="239"/>
      <c r="AU82" s="239"/>
      <c r="AV82" s="239"/>
      <c r="AW82" s="239"/>
      <c r="AX82" s="239"/>
      <c r="AY82" s="239"/>
      <c r="AZ82" s="239"/>
      <c r="BA82" s="239"/>
      <c r="BB82" s="239"/>
      <c r="BC82" s="239"/>
      <c r="BD82" s="239"/>
      <c r="BE82" s="239"/>
      <c r="BF82" s="239"/>
      <c r="BG82" s="239"/>
      <c r="BH82" s="239"/>
      <c r="BI82" s="239"/>
      <c r="BJ82" s="240"/>
      <c r="BK82" s="240"/>
      <c r="BL82" s="418"/>
    </row>
    <row r="83" spans="2:64" s="183" customFormat="1" ht="34.5" customHeight="1">
      <c r="B83" s="182"/>
      <c r="C83" s="849" t="str">
        <f>IF(Indice_index!$Z$1=1,C148,C149)</f>
        <v>Transferências de capital - compensação faseada às autarquias relativamente às transferências efetivadas em 2018 ao abrigo da Lei de Finanças Locais - art.º 5.º da Lei n.º 73/2013, de 3 de setembro, na redação pela Lei n.º 51/2018, 16 de agosto.</v>
      </c>
      <c r="D83" s="685" t="str">
        <f>IF(Indice_index!$Z$1=1,"Despesa","Expenditure")</f>
        <v>Despesa</v>
      </c>
      <c r="E83" s="136" t="s">
        <v>36</v>
      </c>
      <c r="F83" s="97"/>
      <c r="G83" s="136">
        <v>13.88124</v>
      </c>
      <c r="H83" s="136">
        <v>14.138688</v>
      </c>
      <c r="I83" s="136">
        <v>13.929066999999996</v>
      </c>
      <c r="J83" s="136">
        <v>13.865551000000004</v>
      </c>
      <c r="K83" s="136">
        <v>13.901340999999995</v>
      </c>
      <c r="L83" s="136">
        <v>13.865551000000011</v>
      </c>
      <c r="M83" s="136">
        <v>13.865550999999996</v>
      </c>
      <c r="N83" s="136">
        <v>13.865550999999996</v>
      </c>
      <c r="O83" s="136">
        <v>13.865550999999996</v>
      </c>
      <c r="P83" s="136">
        <v>13.865551000000011</v>
      </c>
      <c r="Q83" s="136">
        <v>13.865550999999982</v>
      </c>
      <c r="R83" s="136">
        <v>13.667325999999974</v>
      </c>
      <c r="S83" s="180">
        <f t="shared" si="64"/>
        <v>97.446989000000002</v>
      </c>
      <c r="T83" s="180">
        <f t="shared" si="75"/>
        <v>166.57651899999996</v>
      </c>
      <c r="U83" s="97"/>
      <c r="V83" s="136">
        <v>13.88124</v>
      </c>
      <c r="W83" s="136">
        <v>13.88124</v>
      </c>
      <c r="X83" s="180">
        <v>13.881240000000002</v>
      </c>
      <c r="Y83" s="180">
        <v>13.881239999999998</v>
      </c>
      <c r="Z83" s="180">
        <v>13.836239999999997</v>
      </c>
      <c r="AA83" s="180">
        <v>13.881240000000005</v>
      </c>
      <c r="AB83" s="180"/>
      <c r="AC83" s="180"/>
      <c r="AD83" s="180"/>
      <c r="AE83" s="180"/>
      <c r="AF83" s="180"/>
      <c r="AG83" s="180"/>
      <c r="AH83" s="180">
        <f t="shared" ref="AH83:AH84" si="81">SUM(V83:AG83)</f>
        <v>83.242440000000002</v>
      </c>
      <c r="AI83" s="97"/>
      <c r="AJ83" s="238"/>
      <c r="AK83" s="238"/>
      <c r="AL83" s="238"/>
      <c r="AM83" s="239"/>
      <c r="AN83" s="239"/>
      <c r="AO83" s="239"/>
      <c r="AP83" s="239"/>
      <c r="AQ83" s="239"/>
      <c r="AR83" s="239"/>
      <c r="AS83" s="239"/>
      <c r="AT83" s="239"/>
      <c r="AU83" s="239"/>
      <c r="AV83" s="239"/>
      <c r="AW83" s="239"/>
      <c r="AX83" s="239"/>
      <c r="AY83" s="239"/>
      <c r="AZ83" s="239"/>
      <c r="BA83" s="239"/>
      <c r="BB83" s="239"/>
      <c r="BC83" s="239"/>
      <c r="BD83" s="239"/>
      <c r="BE83" s="239"/>
      <c r="BF83" s="239"/>
      <c r="BG83" s="239"/>
      <c r="BH83" s="239"/>
      <c r="BI83" s="239"/>
      <c r="BJ83" s="240"/>
      <c r="BK83" s="240"/>
      <c r="BL83" s="418"/>
    </row>
    <row r="84" spans="2:64" s="183" customFormat="1" ht="25.5" customHeight="1">
      <c r="B84" s="182"/>
      <c r="C84" s="849" t="str">
        <f>IF(Indice_index!$Z$1=1,C151,C152)</f>
        <v>Pagamentos realizados pelo Fundo de Resolução ao Novo Banco, ao abrigo do Acordo de Capitalização Contingente, celebrado entre as duas entidades em outubro de 2017.</v>
      </c>
      <c r="D84" s="685" t="str">
        <f>IF(Indice_index!$Z$1=1,"Despesa","Expenditure")</f>
        <v>Despesa</v>
      </c>
      <c r="E84" s="136" t="s">
        <v>37</v>
      </c>
      <c r="F84" s="97"/>
      <c r="G84" s="136"/>
      <c r="H84" s="136"/>
      <c r="I84" s="136"/>
      <c r="J84" s="136"/>
      <c r="K84" s="136"/>
      <c r="L84" s="136">
        <v>317.012629</v>
      </c>
      <c r="M84" s="136"/>
      <c r="N84" s="136"/>
      <c r="O84" s="136"/>
      <c r="P84" s="136"/>
      <c r="Q84" s="136"/>
      <c r="R84" s="136">
        <v>112</v>
      </c>
      <c r="S84" s="180">
        <f t="shared" si="64"/>
        <v>317.012629</v>
      </c>
      <c r="T84" s="180">
        <f t="shared" si="75"/>
        <v>429.012629</v>
      </c>
      <c r="U84" s="97"/>
      <c r="V84" s="136"/>
      <c r="W84" s="136"/>
      <c r="X84" s="180"/>
      <c r="Y84" s="180"/>
      <c r="Z84" s="180"/>
      <c r="AA84" s="180"/>
      <c r="AB84" s="180"/>
      <c r="AC84" s="180"/>
      <c r="AD84" s="180"/>
      <c r="AE84" s="180"/>
      <c r="AF84" s="180"/>
      <c r="AG84" s="180"/>
      <c r="AH84" s="180">
        <f t="shared" si="81"/>
        <v>0</v>
      </c>
      <c r="AI84" s="97"/>
      <c r="AJ84" s="238"/>
      <c r="AK84" s="238"/>
      <c r="AL84" s="238"/>
      <c r="AM84" s="239"/>
      <c r="AN84" s="239"/>
      <c r="AO84" s="239"/>
      <c r="AP84" s="239"/>
      <c r="AQ84" s="239"/>
      <c r="AR84" s="239"/>
      <c r="AS84" s="239"/>
      <c r="AT84" s="239"/>
      <c r="AU84" s="239"/>
      <c r="AV84" s="239"/>
      <c r="AW84" s="239"/>
      <c r="AX84" s="239"/>
      <c r="AY84" s="239"/>
      <c r="AZ84" s="239"/>
      <c r="BA84" s="239"/>
      <c r="BB84" s="239"/>
      <c r="BC84" s="239"/>
      <c r="BD84" s="239"/>
      <c r="BE84" s="239"/>
      <c r="BF84" s="239"/>
      <c r="BG84" s="239"/>
      <c r="BH84" s="239"/>
      <c r="BI84" s="239"/>
      <c r="BJ84" s="240"/>
      <c r="BK84" s="240"/>
      <c r="BL84" s="418"/>
    </row>
    <row r="85" spans="2:64" s="183" customFormat="1" ht="21.75" customHeight="1">
      <c r="B85" s="182"/>
      <c r="C85" s="852" t="str">
        <f>IF(Indice_index!$Z$1=1,"Fundo Sustentabilidade Sistémica do Setor Energético - Redução dívida tarifária do Sistema Elétrico Nacional","Fund for the Systemic Sustainability of the Energetic Sector - Reduction in the National Electricity System’s tariffs debt")</f>
        <v>Fundo Sustentabilidade Sistémica do Setor Energético - Redução dívida tarifária do Sistema Elétrico Nacional</v>
      </c>
      <c r="D85" s="853" t="str">
        <f>IF(Indice_index!$Z$1=1,"Despesa","Expenditure")</f>
        <v>Despesa</v>
      </c>
      <c r="E85" s="759" t="s">
        <v>37</v>
      </c>
      <c r="F85" s="854"/>
      <c r="G85" s="759"/>
      <c r="H85" s="759"/>
      <c r="I85" s="759"/>
      <c r="J85" s="759"/>
      <c r="K85" s="759"/>
      <c r="L85" s="759"/>
      <c r="M85" s="759"/>
      <c r="N85" s="759"/>
      <c r="O85" s="759"/>
      <c r="P85" s="759"/>
      <c r="Q85" s="759">
        <v>21.777260999999999</v>
      </c>
      <c r="R85" s="759">
        <v>112.65037024</v>
      </c>
      <c r="S85" s="855">
        <f t="shared" si="64"/>
        <v>0</v>
      </c>
      <c r="T85" s="855">
        <f>SUM(G85:R85)</f>
        <v>134.42763124000001</v>
      </c>
      <c r="U85" s="854"/>
      <c r="V85" s="759"/>
      <c r="W85" s="759"/>
      <c r="X85" s="855"/>
      <c r="Y85" s="855"/>
      <c r="Z85" s="855"/>
      <c r="AA85" s="855"/>
      <c r="AB85" s="855"/>
      <c r="AC85" s="855"/>
      <c r="AD85" s="855"/>
      <c r="AE85" s="855"/>
      <c r="AF85" s="855"/>
      <c r="AG85" s="855"/>
      <c r="AH85" s="855">
        <f t="shared" si="69"/>
        <v>0</v>
      </c>
      <c r="AI85" s="97"/>
      <c r="AJ85" s="238"/>
      <c r="AK85" s="238"/>
      <c r="AL85" s="238"/>
      <c r="AM85" s="239"/>
      <c r="AN85" s="239"/>
      <c r="AO85" s="239"/>
      <c r="AP85" s="239"/>
      <c r="AQ85" s="239"/>
      <c r="AR85" s="239"/>
      <c r="AS85" s="239"/>
      <c r="AT85" s="239"/>
      <c r="AU85" s="239"/>
      <c r="AV85" s="239"/>
      <c r="AW85" s="239"/>
      <c r="AX85" s="239"/>
      <c r="AY85" s="239"/>
      <c r="AZ85" s="239"/>
      <c r="BA85" s="239"/>
      <c r="BB85" s="239"/>
      <c r="BC85" s="239"/>
      <c r="BD85" s="239"/>
      <c r="BE85" s="239"/>
      <c r="BF85" s="239"/>
      <c r="BG85" s="239"/>
      <c r="BH85" s="239"/>
      <c r="BI85" s="239"/>
      <c r="BJ85" s="240"/>
      <c r="BK85" s="240"/>
      <c r="BL85" s="418"/>
    </row>
    <row r="86" spans="2:64" s="183" customFormat="1" ht="4.5" customHeight="1">
      <c r="B86" s="182"/>
      <c r="C86" s="849"/>
      <c r="D86" s="685"/>
      <c r="E86" s="136"/>
      <c r="F86" s="112"/>
      <c r="G86" s="136"/>
      <c r="H86" s="136"/>
      <c r="I86" s="136"/>
      <c r="J86" s="136"/>
      <c r="K86" s="136"/>
      <c r="L86" s="136"/>
      <c r="M86" s="136"/>
      <c r="N86" s="136"/>
      <c r="O86" s="136"/>
      <c r="P86" s="136"/>
      <c r="Q86" s="136"/>
      <c r="R86" s="136"/>
      <c r="S86" s="180"/>
      <c r="T86" s="180"/>
      <c r="U86" s="112"/>
      <c r="V86" s="136"/>
      <c r="W86" s="136"/>
      <c r="X86" s="180"/>
      <c r="Y86" s="180"/>
      <c r="Z86" s="180"/>
      <c r="AA86" s="180"/>
      <c r="AB86" s="180"/>
      <c r="AC86" s="180"/>
      <c r="AD86" s="180"/>
      <c r="AE86" s="180"/>
      <c r="AF86" s="180"/>
      <c r="AG86" s="180"/>
      <c r="AH86" s="180"/>
      <c r="AI86" s="97"/>
      <c r="AJ86" s="238"/>
      <c r="AK86" s="238"/>
      <c r="AL86" s="238"/>
      <c r="AM86" s="239"/>
      <c r="AN86" s="239"/>
      <c r="AO86" s="239"/>
      <c r="AP86" s="239"/>
      <c r="AQ86" s="239"/>
      <c r="AR86" s="239"/>
      <c r="AS86" s="239"/>
      <c r="AT86" s="239"/>
      <c r="AU86" s="239"/>
      <c r="AV86" s="239"/>
      <c r="AW86" s="239"/>
      <c r="AX86" s="239"/>
      <c r="AY86" s="239"/>
      <c r="AZ86" s="239"/>
      <c r="BA86" s="239"/>
      <c r="BB86" s="239"/>
      <c r="BC86" s="239"/>
      <c r="BD86" s="239"/>
      <c r="BE86" s="239"/>
      <c r="BF86" s="239"/>
      <c r="BG86" s="239"/>
      <c r="BH86" s="239"/>
      <c r="BI86" s="239"/>
      <c r="BJ86" s="240"/>
      <c r="BK86" s="240"/>
      <c r="BL86" s="418"/>
    </row>
    <row r="87" spans="2:64" s="181" customFormat="1" ht="22.5" customHeight="1">
      <c r="B87" s="178"/>
      <c r="C87" s="1784" t="str">
        <f>IF(Indice_index!$Z$1=1,C154,C155)</f>
        <v>(a) Os valores identificados neste item correspondem aos que foram registados pelas entidades nos sistemas de informação de suporte ao acompanhamento da execução orçamental. Valores mensais negativos resultam do registo, pelas entidades, de valores acumulados inferiores aos do mês precedente.</v>
      </c>
      <c r="D87" s="1784"/>
      <c r="E87" s="1784"/>
      <c r="F87" s="1784"/>
      <c r="G87" s="1784"/>
      <c r="H87" s="1784"/>
      <c r="I87" s="1784"/>
      <c r="J87" s="1784"/>
      <c r="K87" s="1784"/>
      <c r="L87" s="1784"/>
      <c r="M87" s="1784"/>
      <c r="N87" s="1784"/>
      <c r="O87" s="1784"/>
      <c r="P87" s="1784"/>
      <c r="Q87" s="1784"/>
      <c r="R87" s="1784"/>
      <c r="S87" s="1784"/>
      <c r="T87" s="1784"/>
      <c r="U87" s="1784"/>
      <c r="V87" s="1784"/>
      <c r="W87" s="1784"/>
      <c r="X87" s="1784"/>
      <c r="Y87" s="1784"/>
      <c r="Z87" s="1784"/>
      <c r="AA87" s="1784"/>
      <c r="AB87" s="1784"/>
      <c r="AC87" s="1784"/>
      <c r="AD87" s="1784"/>
      <c r="AE87" s="1784"/>
      <c r="AF87" s="1784"/>
      <c r="AG87" s="1784"/>
      <c r="AH87" s="1784"/>
      <c r="AI87" s="97"/>
      <c r="AJ87" s="238"/>
      <c r="AK87" s="238"/>
      <c r="AL87" s="238"/>
      <c r="AM87" s="237"/>
      <c r="AN87" s="237"/>
      <c r="AO87" s="237"/>
      <c r="AP87" s="237"/>
      <c r="AQ87" s="237"/>
      <c r="AR87" s="237"/>
      <c r="AS87" s="237"/>
      <c r="AT87" s="237"/>
      <c r="AU87" s="237"/>
      <c r="AV87" s="237"/>
      <c r="AW87" s="237"/>
      <c r="AX87" s="237"/>
      <c r="AY87" s="237"/>
      <c r="AZ87" s="237"/>
      <c r="BA87" s="237"/>
      <c r="BB87" s="237"/>
      <c r="BC87" s="237"/>
      <c r="BD87" s="237"/>
      <c r="BE87" s="237"/>
      <c r="BF87" s="237"/>
      <c r="BG87" s="237"/>
      <c r="BH87" s="237"/>
      <c r="BI87" s="237"/>
      <c r="BJ87" s="234"/>
      <c r="BK87" s="234"/>
      <c r="BL87" s="418"/>
    </row>
    <row r="88" spans="2:64" s="181" customFormat="1" ht="4.5" customHeight="1">
      <c r="B88" s="178"/>
      <c r="C88" s="856"/>
      <c r="D88" s="856"/>
      <c r="E88" s="856"/>
      <c r="F88" s="856"/>
      <c r="G88" s="856"/>
      <c r="H88" s="856"/>
      <c r="I88" s="856"/>
      <c r="J88" s="856"/>
      <c r="K88" s="856"/>
      <c r="L88" s="856"/>
      <c r="M88" s="856"/>
      <c r="N88" s="856"/>
      <c r="O88" s="856"/>
      <c r="P88" s="856"/>
      <c r="Q88" s="856"/>
      <c r="R88" s="856"/>
      <c r="S88" s="856"/>
      <c r="T88" s="856"/>
      <c r="U88" s="856"/>
      <c r="V88" s="856"/>
      <c r="W88" s="856"/>
      <c r="X88" s="856"/>
      <c r="Y88" s="856"/>
      <c r="Z88" s="856"/>
      <c r="AA88" s="856"/>
      <c r="AB88" s="856"/>
      <c r="AC88" s="856"/>
      <c r="AD88" s="856"/>
      <c r="AE88" s="856"/>
      <c r="AF88" s="856"/>
      <c r="AG88" s="856"/>
      <c r="AH88" s="856"/>
      <c r="AI88" s="97"/>
      <c r="AJ88" s="238"/>
      <c r="AK88" s="238"/>
      <c r="AL88" s="238"/>
      <c r="AM88" s="237"/>
      <c r="AN88" s="237"/>
      <c r="AO88" s="237"/>
      <c r="AP88" s="237"/>
      <c r="AQ88" s="237"/>
      <c r="AR88" s="237"/>
      <c r="AS88" s="237"/>
      <c r="AT88" s="237"/>
      <c r="AU88" s="237"/>
      <c r="AV88" s="237"/>
      <c r="AW88" s="237"/>
      <c r="AX88" s="237"/>
      <c r="AY88" s="237"/>
      <c r="AZ88" s="237"/>
      <c r="BA88" s="237"/>
      <c r="BB88" s="237"/>
      <c r="BC88" s="237"/>
      <c r="BD88" s="237"/>
      <c r="BE88" s="237"/>
      <c r="BF88" s="237"/>
      <c r="BG88" s="237"/>
      <c r="BH88" s="237"/>
      <c r="BI88" s="237"/>
      <c r="BJ88" s="234"/>
      <c r="BK88" s="234"/>
      <c r="BL88" s="418"/>
    </row>
    <row r="89" spans="2:64" s="181" customFormat="1" ht="15" customHeight="1">
      <c r="C89" s="857" t="str">
        <f>IF(Indice_index!$Z$1=1,"Notas:","Notes:")</f>
        <v>Notas:</v>
      </c>
      <c r="D89" s="858"/>
      <c r="E89" s="859"/>
      <c r="F89" s="97"/>
      <c r="G89" s="858"/>
      <c r="H89" s="858"/>
      <c r="U89" s="97"/>
      <c r="V89" s="858"/>
      <c r="W89" s="858"/>
      <c r="AI89" s="97"/>
      <c r="AJ89" s="238"/>
      <c r="AK89" s="238"/>
      <c r="AL89" s="238"/>
      <c r="AM89" s="237"/>
      <c r="AN89" s="237"/>
      <c r="AO89" s="237"/>
      <c r="AP89" s="237"/>
      <c r="AQ89" s="237"/>
      <c r="AR89" s="237"/>
      <c r="AS89" s="237"/>
      <c r="AT89" s="237"/>
      <c r="AU89" s="237"/>
      <c r="AV89" s="237"/>
      <c r="AW89" s="237"/>
      <c r="AX89" s="237"/>
      <c r="AY89" s="237"/>
      <c r="AZ89" s="237"/>
      <c r="BA89" s="237"/>
      <c r="BB89" s="237"/>
      <c r="BC89" s="237"/>
      <c r="BD89" s="237"/>
      <c r="BE89" s="237"/>
      <c r="BF89" s="237"/>
      <c r="BG89" s="237"/>
      <c r="BH89" s="237"/>
      <c r="BI89" s="237"/>
      <c r="BJ89" s="234"/>
      <c r="BK89" s="234"/>
      <c r="BL89" s="418"/>
    </row>
    <row r="90" spans="2:64" s="181" customFormat="1" ht="15" customHeight="1">
      <c r="C90" s="858" t="str">
        <f>IF(Indice_index!$Z$1=1,"O sinal evidencia o efeito que cada facto teve na receita ou na despesa, no âmbito da Conta da Administração Central e Segurança Social. Assim:","The signal shows the effect that each fact had in revenue or in expenditure, within the Central Government and Social Security Account. Therefore:")</f>
        <v>O sinal evidencia o efeito que cada facto teve na receita ou na despesa, no âmbito da Conta da Administração Central e Segurança Social. Assim:</v>
      </c>
      <c r="E90" s="860"/>
      <c r="F90" s="97"/>
      <c r="J90" s="176"/>
      <c r="S90" s="176"/>
      <c r="U90" s="97"/>
      <c r="Y90" s="176"/>
      <c r="AI90" s="97"/>
      <c r="AJ90" s="238"/>
      <c r="AK90" s="238"/>
      <c r="AL90" s="238"/>
      <c r="AM90" s="237"/>
      <c r="AN90" s="237"/>
      <c r="AO90" s="237"/>
      <c r="AP90" s="237"/>
      <c r="AQ90" s="237"/>
      <c r="AR90" s="237"/>
      <c r="AS90" s="237"/>
      <c r="AT90" s="237"/>
      <c r="AU90" s="237"/>
      <c r="AV90" s="237"/>
      <c r="AW90" s="237"/>
      <c r="AX90" s="237"/>
      <c r="AY90" s="237"/>
      <c r="AZ90" s="237"/>
      <c r="BA90" s="237"/>
      <c r="BB90" s="237"/>
      <c r="BC90" s="237"/>
      <c r="BD90" s="237"/>
      <c r="BE90" s="237"/>
      <c r="BF90" s="237"/>
      <c r="BG90" s="237"/>
      <c r="BH90" s="237"/>
      <c r="BI90" s="237"/>
      <c r="BJ90" s="234"/>
      <c r="BK90" s="234"/>
      <c r="BL90" s="418"/>
    </row>
    <row r="91" spans="2:64" s="181" customFormat="1" ht="15" customHeight="1">
      <c r="C91" s="861" t="str">
        <f>IF(Indice_index!$Z$1=1,"- Aumentos excecionais de receita são evidenciados com sinal positivo (+) -  têm efeito positivo no saldo;","- Exceptional revenue increases are shown with a positive signal (+) -  they have a positive effect in balance;")</f>
        <v>- Aumentos excecionais de receita são evidenciados com sinal positivo (+) -  têm efeito positivo no saldo;</v>
      </c>
      <c r="E91" s="860"/>
      <c r="F91" s="97"/>
      <c r="P91" s="176"/>
      <c r="S91" s="176"/>
      <c r="T91" s="862"/>
      <c r="U91" s="97"/>
      <c r="AH91" s="862"/>
      <c r="AI91" s="97"/>
      <c r="AJ91" s="238"/>
      <c r="AK91" s="238"/>
      <c r="AL91" s="238"/>
      <c r="AM91" s="237"/>
      <c r="AN91" s="237"/>
      <c r="AO91" s="237"/>
      <c r="AP91" s="237"/>
      <c r="AQ91" s="237"/>
      <c r="AR91" s="237"/>
      <c r="AS91" s="237"/>
      <c r="AT91" s="237"/>
      <c r="AU91" s="237"/>
      <c r="AV91" s="237"/>
      <c r="AW91" s="237"/>
      <c r="AX91" s="237"/>
      <c r="AY91" s="237"/>
      <c r="AZ91" s="237"/>
      <c r="BA91" s="237"/>
      <c r="BB91" s="237"/>
      <c r="BC91" s="237"/>
      <c r="BD91" s="237"/>
      <c r="BE91" s="237"/>
      <c r="BF91" s="237"/>
      <c r="BG91" s="237"/>
      <c r="BH91" s="237"/>
      <c r="BI91" s="237"/>
      <c r="BJ91" s="234"/>
      <c r="BK91" s="234"/>
      <c r="BL91" s="418"/>
    </row>
    <row r="92" spans="2:64" s="181" customFormat="1" ht="15" customHeight="1">
      <c r="C92" s="861" t="str">
        <f>IF(Indice_index!$Z$1=1,"- Aumentos excecionais de despesa, são evidenciados com sinal positivo (+) - têm efeito negativo no saldo pela fórmula de apuramento do saldo.","- Exceptional expenditure increases are shown with a positive signal (+) -  they have a negative effect in balance due to the calculation of balance itself.")</f>
        <v>- Aumentos excecionais de despesa, são evidenciados com sinal positivo (+) - têm efeito negativo no saldo pela fórmula de apuramento do saldo.</v>
      </c>
      <c r="E92" s="860"/>
      <c r="F92" s="97"/>
      <c r="U92" s="97"/>
      <c r="AI92" s="97"/>
      <c r="AJ92" s="238"/>
      <c r="AK92" s="238"/>
      <c r="AL92" s="238"/>
      <c r="AM92" s="237"/>
      <c r="AN92" s="237"/>
      <c r="AO92" s="237"/>
      <c r="AP92" s="237"/>
      <c r="AQ92" s="237"/>
      <c r="AR92" s="237"/>
      <c r="AS92" s="237"/>
      <c r="AT92" s="237"/>
      <c r="AU92" s="237"/>
      <c r="AV92" s="237"/>
      <c r="AW92" s="237"/>
      <c r="AX92" s="237"/>
      <c r="AY92" s="237"/>
      <c r="AZ92" s="237"/>
      <c r="BA92" s="237"/>
      <c r="BB92" s="237"/>
      <c r="BC92" s="237"/>
      <c r="BD92" s="237"/>
      <c r="BE92" s="237"/>
      <c r="BF92" s="237"/>
      <c r="BG92" s="237"/>
      <c r="BH92" s="237"/>
      <c r="BI92" s="237"/>
      <c r="BJ92" s="234"/>
      <c r="BK92" s="234"/>
      <c r="BL92" s="418"/>
    </row>
    <row r="93" spans="2:64" s="181" customFormat="1" ht="4.5" customHeight="1">
      <c r="C93" s="861"/>
      <c r="E93" s="860"/>
      <c r="F93" s="97"/>
      <c r="U93" s="97"/>
      <c r="AI93" s="97"/>
      <c r="AJ93" s="238"/>
      <c r="AK93" s="238"/>
      <c r="AL93" s="238"/>
      <c r="AM93" s="237"/>
      <c r="AN93" s="237"/>
      <c r="AO93" s="237"/>
      <c r="AP93" s="237"/>
      <c r="AQ93" s="237"/>
      <c r="AR93" s="237"/>
      <c r="AS93" s="237"/>
      <c r="AT93" s="237"/>
      <c r="AU93" s="237"/>
      <c r="AV93" s="237"/>
      <c r="AW93" s="237"/>
      <c r="AX93" s="237"/>
      <c r="AY93" s="237"/>
      <c r="AZ93" s="237"/>
      <c r="BA93" s="237"/>
      <c r="BB93" s="237"/>
      <c r="BC93" s="237"/>
      <c r="BD93" s="237"/>
      <c r="BE93" s="237"/>
      <c r="BF93" s="237"/>
      <c r="BG93" s="237"/>
      <c r="BH93" s="237"/>
      <c r="BI93" s="237"/>
      <c r="BJ93" s="234"/>
      <c r="BK93" s="234"/>
      <c r="BL93" s="418"/>
    </row>
    <row r="94" spans="2:64" s="181" customFormat="1" ht="15" customHeight="1">
      <c r="C94" s="687" t="str">
        <f>IF(Indice_index!$Z$1=1,"Fonte: Direção-Geral do Orçamento","Source: Budget General Directorate")</f>
        <v>Fonte: Direção-Geral do Orçamento</v>
      </c>
      <c r="E94" s="860"/>
      <c r="F94" s="97"/>
      <c r="J94" s="176"/>
      <c r="U94" s="97"/>
      <c r="AI94" s="97"/>
      <c r="AJ94" s="238"/>
      <c r="AK94" s="238"/>
      <c r="AL94" s="238"/>
      <c r="AM94" s="237"/>
      <c r="AN94" s="237"/>
      <c r="AO94" s="237"/>
      <c r="AP94" s="237"/>
      <c r="AQ94" s="237"/>
      <c r="AR94" s="237"/>
      <c r="AS94" s="237"/>
      <c r="AT94" s="237"/>
      <c r="AU94" s="237"/>
      <c r="AV94" s="237"/>
      <c r="AW94" s="237"/>
      <c r="AX94" s="237"/>
      <c r="AY94" s="237"/>
      <c r="AZ94" s="237"/>
      <c r="BA94" s="237"/>
      <c r="BB94" s="237"/>
      <c r="BC94" s="237"/>
      <c r="BD94" s="237"/>
      <c r="BE94" s="237"/>
      <c r="BF94" s="237"/>
      <c r="BG94" s="237"/>
      <c r="BH94" s="237"/>
      <c r="BI94" s="237"/>
      <c r="BJ94" s="234"/>
      <c r="BK94" s="234"/>
      <c r="BL94" s="418"/>
    </row>
    <row r="95" spans="2:64" s="181" customFormat="1">
      <c r="C95" s="687"/>
      <c r="D95" s="688"/>
      <c r="E95" s="689"/>
      <c r="F95" s="97"/>
      <c r="G95" s="136"/>
      <c r="H95" s="136"/>
      <c r="I95" s="136"/>
      <c r="J95" s="136"/>
      <c r="K95" s="136"/>
      <c r="L95" s="136"/>
      <c r="M95" s="136"/>
      <c r="N95" s="136"/>
      <c r="O95" s="136"/>
      <c r="P95" s="136"/>
      <c r="Q95" s="136"/>
      <c r="R95" s="136"/>
      <c r="S95" s="136"/>
      <c r="T95" s="136"/>
      <c r="U95" s="97"/>
      <c r="V95" s="136"/>
      <c r="W95" s="136"/>
      <c r="X95" s="136"/>
      <c r="Y95" s="136"/>
      <c r="Z95" s="136"/>
      <c r="AA95" s="136"/>
      <c r="AB95" s="136"/>
      <c r="AC95" s="136"/>
      <c r="AD95" s="136"/>
      <c r="AE95" s="136"/>
      <c r="AF95" s="136"/>
      <c r="AG95" s="136"/>
      <c r="AH95" s="136"/>
      <c r="AI95" s="97"/>
      <c r="AJ95" s="238"/>
      <c r="AK95" s="238"/>
      <c r="AL95" s="238"/>
      <c r="AM95" s="237"/>
      <c r="AN95" s="237"/>
      <c r="AO95" s="237"/>
      <c r="AP95" s="237"/>
      <c r="AQ95" s="237"/>
      <c r="AR95" s="237"/>
      <c r="AS95" s="237"/>
      <c r="AT95" s="237"/>
      <c r="AU95" s="237"/>
      <c r="AV95" s="237"/>
      <c r="AW95" s="237"/>
      <c r="AX95" s="237"/>
      <c r="AY95" s="237"/>
      <c r="AZ95" s="237"/>
      <c r="BA95" s="237"/>
      <c r="BB95" s="237"/>
      <c r="BC95" s="237"/>
      <c r="BD95" s="237"/>
      <c r="BE95" s="237"/>
      <c r="BF95" s="237"/>
      <c r="BG95" s="237"/>
      <c r="BH95" s="237"/>
      <c r="BI95" s="237"/>
      <c r="BJ95" s="234"/>
      <c r="BK95" s="234"/>
      <c r="BL95" s="418"/>
    </row>
    <row r="96" spans="2:64" s="601" customFormat="1">
      <c r="D96" s="630"/>
      <c r="E96" s="631"/>
      <c r="F96" s="602"/>
      <c r="G96" s="632">
        <f t="shared" ref="G96:T96" si="82">+G43-G55</f>
        <v>0</v>
      </c>
      <c r="H96" s="632">
        <f t="shared" si="82"/>
        <v>0</v>
      </c>
      <c r="I96" s="632">
        <f t="shared" si="82"/>
        <v>0</v>
      </c>
      <c r="J96" s="632">
        <f t="shared" si="82"/>
        <v>0</v>
      </c>
      <c r="K96" s="632">
        <f t="shared" si="82"/>
        <v>0</v>
      </c>
      <c r="L96" s="632">
        <f t="shared" si="82"/>
        <v>0</v>
      </c>
      <c r="M96" s="632">
        <f t="shared" si="82"/>
        <v>0</v>
      </c>
      <c r="N96" s="632">
        <f t="shared" si="82"/>
        <v>0</v>
      </c>
      <c r="O96" s="632">
        <f t="shared" si="82"/>
        <v>0</v>
      </c>
      <c r="P96" s="632">
        <f t="shared" si="82"/>
        <v>0</v>
      </c>
      <c r="Q96" s="632">
        <f t="shared" si="82"/>
        <v>0</v>
      </c>
      <c r="R96" s="632">
        <f t="shared" si="82"/>
        <v>0</v>
      </c>
      <c r="S96" s="632">
        <f t="shared" si="82"/>
        <v>0</v>
      </c>
      <c r="T96" s="632">
        <f t="shared" si="82"/>
        <v>0</v>
      </c>
      <c r="U96" s="632"/>
      <c r="V96" s="632">
        <f t="shared" ref="V96:AH96" si="83">+V43-V55</f>
        <v>0</v>
      </c>
      <c r="W96" s="632">
        <f t="shared" si="83"/>
        <v>0</v>
      </c>
      <c r="X96" s="632">
        <f t="shared" si="83"/>
        <v>0</v>
      </c>
      <c r="Y96" s="632">
        <f t="shared" si="83"/>
        <v>0</v>
      </c>
      <c r="Z96" s="632">
        <f t="shared" si="83"/>
        <v>0</v>
      </c>
      <c r="AA96" s="632">
        <f t="shared" si="83"/>
        <v>0</v>
      </c>
      <c r="AB96" s="632">
        <f t="shared" si="83"/>
        <v>0</v>
      </c>
      <c r="AC96" s="632">
        <f t="shared" si="83"/>
        <v>0</v>
      </c>
      <c r="AD96" s="632">
        <f t="shared" si="83"/>
        <v>0</v>
      </c>
      <c r="AE96" s="632">
        <f t="shared" si="83"/>
        <v>0</v>
      </c>
      <c r="AF96" s="632">
        <f t="shared" si="83"/>
        <v>0</v>
      </c>
      <c r="AG96" s="632">
        <f t="shared" si="83"/>
        <v>0</v>
      </c>
      <c r="AH96" s="632">
        <f t="shared" si="83"/>
        <v>0</v>
      </c>
      <c r="AI96" s="602"/>
      <c r="AJ96" s="602"/>
      <c r="BL96" s="603"/>
    </row>
    <row r="97" spans="3:64" s="601" customFormat="1">
      <c r="E97" s="604"/>
      <c r="F97" s="602"/>
      <c r="G97" s="601">
        <f t="shared" ref="G97:T97" si="84">SUM(G56:G70)-SUM(G71:G85)-G43</f>
        <v>0</v>
      </c>
      <c r="H97" s="601">
        <f t="shared" si="84"/>
        <v>0</v>
      </c>
      <c r="I97" s="601">
        <f t="shared" si="84"/>
        <v>0</v>
      </c>
      <c r="J97" s="601">
        <f t="shared" si="84"/>
        <v>0</v>
      </c>
      <c r="K97" s="601">
        <f t="shared" si="84"/>
        <v>0</v>
      </c>
      <c r="L97" s="601">
        <f t="shared" si="84"/>
        <v>0</v>
      </c>
      <c r="M97" s="601">
        <f t="shared" si="84"/>
        <v>0</v>
      </c>
      <c r="N97" s="601">
        <f t="shared" si="84"/>
        <v>0</v>
      </c>
      <c r="O97" s="601">
        <f t="shared" si="84"/>
        <v>0</v>
      </c>
      <c r="P97" s="601">
        <f t="shared" si="84"/>
        <v>0</v>
      </c>
      <c r="Q97" s="601">
        <f t="shared" si="84"/>
        <v>0</v>
      </c>
      <c r="R97" s="601">
        <f t="shared" si="84"/>
        <v>0</v>
      </c>
      <c r="S97" s="601">
        <f t="shared" si="84"/>
        <v>0</v>
      </c>
      <c r="T97" s="601">
        <f t="shared" si="84"/>
        <v>0</v>
      </c>
      <c r="V97" s="601">
        <f t="shared" ref="V97:AH97" si="85">SUM(V56:V70)-SUM(V71:V85)-V43</f>
        <v>0</v>
      </c>
      <c r="W97" s="601">
        <f t="shared" si="85"/>
        <v>0</v>
      </c>
      <c r="X97" s="601">
        <f t="shared" si="85"/>
        <v>0</v>
      </c>
      <c r="Y97" s="601">
        <f t="shared" si="85"/>
        <v>0</v>
      </c>
      <c r="Z97" s="601">
        <f t="shared" si="85"/>
        <v>0</v>
      </c>
      <c r="AA97" s="601">
        <f t="shared" si="85"/>
        <v>0</v>
      </c>
      <c r="AB97" s="601">
        <f t="shared" si="85"/>
        <v>0</v>
      </c>
      <c r="AC97" s="601">
        <f t="shared" si="85"/>
        <v>0</v>
      </c>
      <c r="AD97" s="601">
        <f t="shared" si="85"/>
        <v>0</v>
      </c>
      <c r="AE97" s="601">
        <f t="shared" si="85"/>
        <v>0</v>
      </c>
      <c r="AF97" s="601">
        <f t="shared" si="85"/>
        <v>0</v>
      </c>
      <c r="AG97" s="601">
        <f t="shared" si="85"/>
        <v>0</v>
      </c>
      <c r="AH97" s="601">
        <f t="shared" si="85"/>
        <v>0</v>
      </c>
      <c r="AI97" s="602"/>
      <c r="AJ97" s="602"/>
      <c r="BL97" s="603"/>
    </row>
    <row r="98" spans="3:64" s="605" customFormat="1">
      <c r="E98" s="606"/>
      <c r="F98" s="607"/>
      <c r="G98" s="601">
        <f t="shared" ref="G98:T98" si="86">SUM(G56:G70)-G23</f>
        <v>0</v>
      </c>
      <c r="H98" s="601">
        <f t="shared" si="86"/>
        <v>0</v>
      </c>
      <c r="I98" s="601">
        <f t="shared" si="86"/>
        <v>0</v>
      </c>
      <c r="J98" s="601">
        <f t="shared" si="86"/>
        <v>0</v>
      </c>
      <c r="K98" s="601">
        <f t="shared" si="86"/>
        <v>0</v>
      </c>
      <c r="L98" s="601">
        <f t="shared" si="86"/>
        <v>0</v>
      </c>
      <c r="M98" s="601">
        <f t="shared" si="86"/>
        <v>0</v>
      </c>
      <c r="N98" s="601">
        <f t="shared" si="86"/>
        <v>0</v>
      </c>
      <c r="O98" s="601">
        <f t="shared" si="86"/>
        <v>0</v>
      </c>
      <c r="P98" s="601">
        <f t="shared" si="86"/>
        <v>0</v>
      </c>
      <c r="Q98" s="601">
        <f t="shared" si="86"/>
        <v>0</v>
      </c>
      <c r="R98" s="601">
        <f t="shared" si="86"/>
        <v>0</v>
      </c>
      <c r="S98" s="601">
        <f t="shared" si="86"/>
        <v>0</v>
      </c>
      <c r="T98" s="601">
        <f t="shared" si="86"/>
        <v>0</v>
      </c>
      <c r="U98" s="601"/>
      <c r="V98" s="601">
        <f t="shared" ref="V98:AH98" si="87">SUM(V56:V70)-V23</f>
        <v>0</v>
      </c>
      <c r="W98" s="601">
        <f t="shared" si="87"/>
        <v>0</v>
      </c>
      <c r="X98" s="601">
        <f t="shared" si="87"/>
        <v>0</v>
      </c>
      <c r="Y98" s="601">
        <f t="shared" si="87"/>
        <v>0</v>
      </c>
      <c r="Z98" s="601">
        <f t="shared" si="87"/>
        <v>0</v>
      </c>
      <c r="AA98" s="601">
        <f t="shared" si="87"/>
        <v>0</v>
      </c>
      <c r="AB98" s="601">
        <f t="shared" si="87"/>
        <v>0</v>
      </c>
      <c r="AC98" s="601">
        <f t="shared" si="87"/>
        <v>0</v>
      </c>
      <c r="AD98" s="601">
        <f t="shared" si="87"/>
        <v>0</v>
      </c>
      <c r="AE98" s="601">
        <f t="shared" si="87"/>
        <v>0</v>
      </c>
      <c r="AF98" s="601">
        <f t="shared" si="87"/>
        <v>0</v>
      </c>
      <c r="AG98" s="601">
        <f t="shared" si="87"/>
        <v>0</v>
      </c>
      <c r="AH98" s="601">
        <f t="shared" si="87"/>
        <v>0</v>
      </c>
      <c r="AI98" s="607"/>
      <c r="AJ98" s="602"/>
      <c r="AK98" s="601"/>
      <c r="AL98" s="601"/>
      <c r="AM98" s="601"/>
      <c r="AN98" s="601"/>
      <c r="AO98" s="601"/>
      <c r="AP98" s="601"/>
      <c r="AQ98" s="601"/>
      <c r="AR98" s="601"/>
      <c r="AS98" s="601"/>
      <c r="AT98" s="601"/>
      <c r="AU98" s="601"/>
      <c r="AV98" s="601"/>
      <c r="AW98" s="601"/>
      <c r="AX98" s="601"/>
      <c r="AY98" s="601"/>
      <c r="AZ98" s="601"/>
      <c r="BA98" s="601"/>
      <c r="BB98" s="601"/>
      <c r="BC98" s="601"/>
      <c r="BD98" s="601"/>
      <c r="BE98" s="601"/>
      <c r="BF98" s="601"/>
      <c r="BG98" s="601"/>
      <c r="BH98" s="601"/>
      <c r="BI98" s="601"/>
      <c r="BJ98" s="601"/>
      <c r="BK98" s="601"/>
      <c r="BL98" s="603"/>
    </row>
    <row r="99" spans="3:64" s="605" customFormat="1">
      <c r="E99" s="606"/>
      <c r="F99" s="607"/>
      <c r="G99" s="601">
        <f t="shared" ref="G99:T99" si="88">SUM(G71:G85)-G41</f>
        <v>0</v>
      </c>
      <c r="H99" s="601">
        <f t="shared" si="88"/>
        <v>0</v>
      </c>
      <c r="I99" s="601">
        <f t="shared" si="88"/>
        <v>0</v>
      </c>
      <c r="J99" s="601">
        <f t="shared" si="88"/>
        <v>0</v>
      </c>
      <c r="K99" s="601">
        <f t="shared" si="88"/>
        <v>0</v>
      </c>
      <c r="L99" s="601">
        <f t="shared" si="88"/>
        <v>0</v>
      </c>
      <c r="M99" s="601">
        <f t="shared" si="88"/>
        <v>0</v>
      </c>
      <c r="N99" s="601">
        <f t="shared" si="88"/>
        <v>0</v>
      </c>
      <c r="O99" s="601">
        <f t="shared" si="88"/>
        <v>0</v>
      </c>
      <c r="P99" s="601">
        <f t="shared" si="88"/>
        <v>0</v>
      </c>
      <c r="Q99" s="601">
        <f t="shared" si="88"/>
        <v>0</v>
      </c>
      <c r="R99" s="601">
        <f t="shared" si="88"/>
        <v>0</v>
      </c>
      <c r="S99" s="601">
        <f t="shared" si="88"/>
        <v>0</v>
      </c>
      <c r="T99" s="601">
        <f t="shared" si="88"/>
        <v>0</v>
      </c>
      <c r="U99" s="601"/>
      <c r="V99" s="601">
        <f t="shared" ref="V99:AH99" si="89">SUM(V71:V85)-V41</f>
        <v>0</v>
      </c>
      <c r="W99" s="601">
        <f t="shared" si="89"/>
        <v>0</v>
      </c>
      <c r="X99" s="601">
        <f t="shared" si="89"/>
        <v>0</v>
      </c>
      <c r="Y99" s="601">
        <f t="shared" si="89"/>
        <v>0</v>
      </c>
      <c r="Z99" s="601">
        <f t="shared" si="89"/>
        <v>0</v>
      </c>
      <c r="AA99" s="601">
        <f t="shared" si="89"/>
        <v>0</v>
      </c>
      <c r="AB99" s="601">
        <f t="shared" si="89"/>
        <v>0</v>
      </c>
      <c r="AC99" s="601">
        <f t="shared" si="89"/>
        <v>0</v>
      </c>
      <c r="AD99" s="601">
        <f t="shared" si="89"/>
        <v>0</v>
      </c>
      <c r="AE99" s="601">
        <f t="shared" si="89"/>
        <v>0</v>
      </c>
      <c r="AF99" s="601">
        <f t="shared" si="89"/>
        <v>0</v>
      </c>
      <c r="AG99" s="601">
        <f t="shared" si="89"/>
        <v>0</v>
      </c>
      <c r="AH99" s="601">
        <f t="shared" si="89"/>
        <v>0</v>
      </c>
      <c r="AI99" s="607"/>
      <c r="AJ99" s="602"/>
      <c r="AK99" s="601"/>
      <c r="AL99" s="601"/>
      <c r="AM99" s="601"/>
      <c r="AN99" s="601"/>
      <c r="AO99" s="601"/>
      <c r="AP99" s="601"/>
      <c r="AQ99" s="601"/>
      <c r="AR99" s="601"/>
      <c r="AS99" s="601"/>
      <c r="AT99" s="601"/>
      <c r="AU99" s="601"/>
      <c r="AV99" s="601"/>
      <c r="AW99" s="601"/>
      <c r="AX99" s="601"/>
      <c r="AY99" s="601"/>
      <c r="AZ99" s="601"/>
      <c r="BA99" s="601"/>
      <c r="BB99" s="601"/>
      <c r="BC99" s="601"/>
      <c r="BD99" s="601"/>
      <c r="BE99" s="601"/>
      <c r="BF99" s="601"/>
      <c r="BG99" s="601"/>
      <c r="BH99" s="601"/>
      <c r="BI99" s="601"/>
      <c r="BJ99" s="601"/>
      <c r="BK99" s="601"/>
      <c r="BL99" s="603"/>
    </row>
    <row r="100" spans="3:64" s="608" customFormat="1">
      <c r="D100" s="609"/>
      <c r="E100" s="606"/>
      <c r="F100" s="607"/>
      <c r="G100" s="610"/>
      <c r="H100" s="610"/>
      <c r="I100" s="610"/>
      <c r="J100" s="610"/>
      <c r="K100" s="610"/>
      <c r="L100" s="610"/>
      <c r="M100" s="610"/>
      <c r="N100" s="610"/>
      <c r="O100" s="610"/>
      <c r="P100" s="610"/>
      <c r="Q100" s="610"/>
      <c r="R100" s="610"/>
      <c r="S100" s="610"/>
      <c r="T100" s="610"/>
      <c r="U100" s="607"/>
      <c r="V100" s="610"/>
      <c r="W100" s="610"/>
      <c r="X100" s="610"/>
      <c r="Y100" s="610"/>
      <c r="Z100" s="610"/>
      <c r="AA100" s="610"/>
      <c r="AB100" s="610"/>
      <c r="AC100" s="610"/>
      <c r="AD100" s="610"/>
      <c r="AE100" s="610"/>
      <c r="AF100" s="610"/>
      <c r="AG100" s="610"/>
      <c r="AH100" s="610"/>
      <c r="AI100" s="607"/>
      <c r="AJ100" s="602"/>
      <c r="AK100" s="601"/>
      <c r="AL100" s="601"/>
      <c r="AM100" s="601"/>
      <c r="AN100" s="601"/>
      <c r="AO100" s="601"/>
      <c r="AP100" s="601"/>
      <c r="AR100" s="601"/>
      <c r="AS100" s="601"/>
      <c r="AT100" s="601"/>
      <c r="AU100" s="601"/>
      <c r="AV100" s="601"/>
      <c r="AW100" s="601"/>
      <c r="AX100" s="601"/>
      <c r="AY100" s="601"/>
      <c r="AZ100" s="601"/>
      <c r="BA100" s="601"/>
      <c r="BB100" s="601"/>
      <c r="BC100" s="601"/>
      <c r="BD100" s="601"/>
      <c r="BE100" s="601"/>
      <c r="BF100" s="601"/>
      <c r="BG100" s="601"/>
      <c r="BH100" s="601"/>
      <c r="BI100" s="601"/>
      <c r="BJ100" s="601"/>
      <c r="BK100" s="601"/>
      <c r="BL100" s="603"/>
    </row>
    <row r="101" spans="3:64" s="608" customFormat="1" ht="6" customHeight="1">
      <c r="C101" s="611"/>
      <c r="D101" s="609"/>
      <c r="E101" s="610"/>
      <c r="F101" s="610"/>
      <c r="G101" s="610"/>
      <c r="H101" s="610"/>
      <c r="I101" s="610"/>
      <c r="J101" s="610"/>
      <c r="K101" s="610"/>
      <c r="L101" s="610"/>
      <c r="M101" s="610"/>
      <c r="N101" s="610"/>
      <c r="O101" s="610"/>
      <c r="P101" s="610"/>
      <c r="Q101" s="610"/>
      <c r="R101" s="610"/>
      <c r="S101" s="610"/>
      <c r="T101" s="610"/>
      <c r="U101" s="610"/>
      <c r="V101" s="610"/>
      <c r="W101" s="610"/>
      <c r="X101" s="610"/>
      <c r="Y101" s="610"/>
      <c r="Z101" s="610"/>
      <c r="AA101" s="610"/>
      <c r="AB101" s="610"/>
      <c r="AC101" s="610"/>
      <c r="AD101" s="610"/>
      <c r="AE101" s="610"/>
      <c r="AF101" s="610"/>
      <c r="AG101" s="610"/>
      <c r="AH101" s="610"/>
      <c r="AI101" s="607"/>
      <c r="AJ101" s="602"/>
      <c r="AK101" s="601"/>
      <c r="AL101" s="601"/>
      <c r="AM101" s="601"/>
      <c r="AN101" s="601"/>
      <c r="AO101" s="601"/>
      <c r="AP101" s="601"/>
      <c r="AR101" s="601"/>
      <c r="AS101" s="601"/>
      <c r="AT101" s="601"/>
      <c r="AU101" s="601"/>
      <c r="AV101" s="601"/>
      <c r="AW101" s="601"/>
      <c r="AX101" s="601"/>
      <c r="AY101" s="601"/>
      <c r="AZ101" s="601"/>
      <c r="BA101" s="601"/>
      <c r="BB101" s="601"/>
      <c r="BC101" s="601"/>
      <c r="BD101" s="601"/>
      <c r="BE101" s="601"/>
      <c r="BF101" s="601"/>
      <c r="BG101" s="601"/>
      <c r="BH101" s="601"/>
      <c r="BI101" s="601"/>
      <c r="BJ101" s="601"/>
      <c r="BK101" s="601"/>
      <c r="BL101" s="603"/>
    </row>
    <row r="102" spans="3:64" s="608" customFormat="1">
      <c r="C102" s="608" t="s">
        <v>16</v>
      </c>
      <c r="D102" s="609"/>
      <c r="E102" s="610"/>
      <c r="F102" s="610"/>
      <c r="G102" s="610"/>
      <c r="H102" s="610"/>
      <c r="I102" s="610"/>
      <c r="J102" s="610"/>
      <c r="K102" s="610"/>
      <c r="L102" s="610"/>
      <c r="M102" s="610"/>
      <c r="N102" s="610"/>
      <c r="O102" s="610"/>
      <c r="P102" s="610"/>
      <c r="Q102" s="610"/>
      <c r="R102" s="610"/>
      <c r="S102" s="610"/>
      <c r="T102" s="610"/>
      <c r="U102" s="610"/>
      <c r="V102" s="610"/>
      <c r="W102" s="610"/>
      <c r="X102" s="610"/>
      <c r="Y102" s="610"/>
      <c r="Z102" s="610"/>
      <c r="AA102" s="610"/>
      <c r="AB102" s="610"/>
      <c r="AC102" s="610"/>
      <c r="AD102" s="610"/>
      <c r="AE102" s="610"/>
      <c r="AF102" s="610"/>
      <c r="AG102" s="610"/>
      <c r="AH102" s="610"/>
      <c r="AI102" s="607"/>
      <c r="AJ102" s="602"/>
      <c r="AK102" s="601"/>
      <c r="AL102" s="601"/>
      <c r="AM102" s="601"/>
      <c r="AN102" s="601"/>
      <c r="AO102" s="601"/>
      <c r="AP102" s="601"/>
      <c r="AR102" s="601"/>
      <c r="AS102" s="601"/>
      <c r="AT102" s="601"/>
      <c r="AU102" s="601"/>
      <c r="AV102" s="601"/>
      <c r="AW102" s="601"/>
      <c r="AX102" s="601"/>
      <c r="AY102" s="601"/>
      <c r="AZ102" s="601"/>
      <c r="BA102" s="601"/>
      <c r="BB102" s="601"/>
      <c r="BC102" s="601"/>
      <c r="BD102" s="601"/>
      <c r="BE102" s="601"/>
      <c r="BF102" s="601"/>
      <c r="BG102" s="601"/>
      <c r="BH102" s="601"/>
      <c r="BI102" s="601"/>
      <c r="BJ102" s="601"/>
      <c r="BK102" s="601"/>
      <c r="BL102" s="603"/>
    </row>
    <row r="103" spans="3:64" s="608" customFormat="1">
      <c r="C103" s="608" t="s">
        <v>17</v>
      </c>
      <c r="D103" s="609"/>
      <c r="E103" s="610"/>
      <c r="F103" s="610"/>
      <c r="G103" s="610"/>
      <c r="H103" s="610"/>
      <c r="I103" s="610"/>
      <c r="J103" s="610"/>
      <c r="K103" s="610"/>
      <c r="L103" s="610"/>
      <c r="M103" s="610"/>
      <c r="N103" s="610"/>
      <c r="O103" s="610"/>
      <c r="P103" s="610"/>
      <c r="Q103" s="610"/>
      <c r="R103" s="610"/>
      <c r="S103" s="610"/>
      <c r="T103" s="610"/>
      <c r="U103" s="610"/>
      <c r="V103" s="610"/>
      <c r="W103" s="610"/>
      <c r="X103" s="610"/>
      <c r="Y103" s="610"/>
      <c r="Z103" s="610"/>
      <c r="AA103" s="610"/>
      <c r="AB103" s="610"/>
      <c r="AC103" s="610"/>
      <c r="AD103" s="610"/>
      <c r="AE103" s="610"/>
      <c r="AF103" s="610"/>
      <c r="AG103" s="610"/>
      <c r="AH103" s="610"/>
      <c r="AI103" s="607"/>
      <c r="AJ103" s="602"/>
      <c r="AK103" s="601"/>
      <c r="AL103" s="601"/>
      <c r="AM103" s="601"/>
      <c r="AN103" s="601"/>
      <c r="AO103" s="601"/>
      <c r="AP103" s="601"/>
      <c r="AR103" s="601"/>
      <c r="AS103" s="601"/>
      <c r="AT103" s="601"/>
      <c r="AU103" s="601"/>
      <c r="AV103" s="601"/>
      <c r="AW103" s="601"/>
      <c r="AX103" s="601"/>
      <c r="AY103" s="601"/>
      <c r="AZ103" s="601"/>
      <c r="BA103" s="601"/>
      <c r="BB103" s="601"/>
      <c r="BC103" s="601"/>
      <c r="BD103" s="601"/>
      <c r="BE103" s="601"/>
      <c r="BF103" s="601"/>
      <c r="BG103" s="601"/>
      <c r="BH103" s="601"/>
      <c r="BI103" s="601"/>
      <c r="BJ103" s="601"/>
      <c r="BK103" s="601"/>
      <c r="BL103" s="603"/>
    </row>
    <row r="104" spans="3:64" s="608" customFormat="1">
      <c r="C104" s="608" t="s">
        <v>18</v>
      </c>
      <c r="D104" s="609"/>
      <c r="E104" s="610"/>
      <c r="F104" s="610"/>
      <c r="G104" s="610"/>
      <c r="H104" s="610"/>
      <c r="I104" s="610"/>
      <c r="J104" s="610"/>
      <c r="K104" s="610"/>
      <c r="L104" s="610"/>
      <c r="M104" s="610"/>
      <c r="N104" s="610"/>
      <c r="O104" s="610"/>
      <c r="P104" s="610"/>
      <c r="Q104" s="610"/>
      <c r="R104" s="610"/>
      <c r="S104" s="610"/>
      <c r="T104" s="610"/>
      <c r="U104" s="610"/>
      <c r="V104" s="610"/>
      <c r="W104" s="610"/>
      <c r="X104" s="610"/>
      <c r="Y104" s="610"/>
      <c r="Z104" s="610"/>
      <c r="AA104" s="610"/>
      <c r="AB104" s="610"/>
      <c r="AC104" s="610"/>
      <c r="AD104" s="610"/>
      <c r="AE104" s="610"/>
      <c r="AF104" s="610"/>
      <c r="AG104" s="610"/>
      <c r="AH104" s="610"/>
      <c r="AI104" s="607"/>
      <c r="AJ104" s="602"/>
      <c r="AK104" s="601"/>
      <c r="AL104" s="601"/>
      <c r="AM104" s="601"/>
      <c r="AN104" s="601"/>
      <c r="AO104" s="601"/>
      <c r="AP104" s="601"/>
      <c r="AR104" s="601"/>
      <c r="AS104" s="601"/>
      <c r="AT104" s="601"/>
      <c r="AU104" s="601"/>
      <c r="AV104" s="601"/>
      <c r="AW104" s="601"/>
      <c r="AX104" s="601"/>
      <c r="AY104" s="601"/>
      <c r="AZ104" s="601"/>
      <c r="BA104" s="601"/>
      <c r="BB104" s="601"/>
      <c r="BC104" s="601"/>
      <c r="BD104" s="601"/>
      <c r="BE104" s="601"/>
      <c r="BF104" s="601"/>
      <c r="BG104" s="601"/>
      <c r="BH104" s="601"/>
      <c r="BI104" s="601"/>
      <c r="BJ104" s="601"/>
      <c r="BK104" s="601"/>
      <c r="BL104" s="603"/>
    </row>
    <row r="105" spans="3:64" s="608" customFormat="1">
      <c r="C105" s="608" t="s">
        <v>19</v>
      </c>
      <c r="D105" s="609"/>
      <c r="E105" s="610"/>
      <c r="F105" s="610"/>
      <c r="G105" s="610"/>
      <c r="H105" s="610"/>
      <c r="I105" s="610"/>
      <c r="J105" s="610"/>
      <c r="K105" s="610"/>
      <c r="L105" s="610"/>
      <c r="M105" s="610"/>
      <c r="N105" s="610"/>
      <c r="O105" s="610"/>
      <c r="P105" s="610"/>
      <c r="Q105" s="610"/>
      <c r="R105" s="610"/>
      <c r="S105" s="610"/>
      <c r="T105" s="610"/>
      <c r="U105" s="610"/>
      <c r="V105" s="610"/>
      <c r="W105" s="610"/>
      <c r="X105" s="610"/>
      <c r="Y105" s="610"/>
      <c r="Z105" s="610"/>
      <c r="AA105" s="610"/>
      <c r="AB105" s="610"/>
      <c r="AC105" s="610"/>
      <c r="AD105" s="610"/>
      <c r="AE105" s="610"/>
      <c r="AF105" s="610"/>
      <c r="AG105" s="610"/>
      <c r="AH105" s="610"/>
      <c r="AI105" s="607"/>
      <c r="AJ105" s="602"/>
      <c r="AK105" s="601"/>
      <c r="AL105" s="601"/>
      <c r="AM105" s="601"/>
      <c r="AN105" s="601"/>
      <c r="AO105" s="601"/>
      <c r="AP105" s="601"/>
      <c r="AR105" s="601"/>
      <c r="AS105" s="601"/>
      <c r="AT105" s="601"/>
      <c r="AU105" s="601"/>
      <c r="AV105" s="601"/>
      <c r="AW105" s="601"/>
      <c r="AX105" s="601"/>
      <c r="AY105" s="601"/>
      <c r="AZ105" s="601"/>
      <c r="BA105" s="601"/>
      <c r="BB105" s="601"/>
      <c r="BC105" s="601"/>
      <c r="BD105" s="601"/>
      <c r="BE105" s="601"/>
      <c r="BF105" s="601"/>
      <c r="BG105" s="601"/>
      <c r="BH105" s="601"/>
      <c r="BI105" s="601"/>
      <c r="BJ105" s="601"/>
      <c r="BK105" s="601"/>
      <c r="BL105" s="603"/>
    </row>
    <row r="106" spans="3:64" s="608" customFormat="1">
      <c r="C106" s="608" t="s">
        <v>20</v>
      </c>
      <c r="D106" s="609"/>
      <c r="E106" s="610"/>
      <c r="F106" s="610"/>
      <c r="G106" s="610"/>
      <c r="H106" s="610"/>
      <c r="I106" s="610"/>
      <c r="J106" s="610"/>
      <c r="K106" s="610"/>
      <c r="L106" s="610"/>
      <c r="M106" s="610"/>
      <c r="N106" s="610"/>
      <c r="O106" s="610"/>
      <c r="P106" s="610"/>
      <c r="Q106" s="610"/>
      <c r="R106" s="610"/>
      <c r="S106" s="610"/>
      <c r="T106" s="610"/>
      <c r="U106" s="610"/>
      <c r="V106" s="610"/>
      <c r="W106" s="610"/>
      <c r="X106" s="610"/>
      <c r="Y106" s="610"/>
      <c r="Z106" s="610"/>
      <c r="AA106" s="610"/>
      <c r="AB106" s="610"/>
      <c r="AC106" s="610"/>
      <c r="AD106" s="610"/>
      <c r="AE106" s="610"/>
      <c r="AF106" s="610"/>
      <c r="AG106" s="610"/>
      <c r="AH106" s="610"/>
      <c r="AI106" s="607"/>
      <c r="AJ106" s="602"/>
      <c r="AK106" s="601"/>
      <c r="AL106" s="601"/>
      <c r="AM106" s="601"/>
      <c r="AN106" s="601"/>
      <c r="AO106" s="601"/>
      <c r="AP106" s="601"/>
      <c r="AR106" s="601"/>
      <c r="AS106" s="601"/>
      <c r="AT106" s="601"/>
      <c r="AU106" s="601"/>
      <c r="AV106" s="601"/>
      <c r="AW106" s="601"/>
      <c r="AX106" s="601"/>
      <c r="AY106" s="601"/>
      <c r="AZ106" s="601"/>
      <c r="BA106" s="601"/>
      <c r="BB106" s="601"/>
      <c r="BC106" s="601"/>
      <c r="BD106" s="601"/>
      <c r="BE106" s="601"/>
      <c r="BF106" s="601"/>
      <c r="BG106" s="601"/>
      <c r="BH106" s="601"/>
      <c r="BI106" s="601"/>
      <c r="BJ106" s="601"/>
      <c r="BK106" s="601"/>
      <c r="BL106" s="603"/>
    </row>
    <row r="107" spans="3:64" s="608" customFormat="1">
      <c r="C107" s="608" t="s">
        <v>21</v>
      </c>
      <c r="D107" s="609"/>
      <c r="E107" s="610"/>
      <c r="F107" s="610"/>
      <c r="G107" s="610"/>
      <c r="H107" s="610"/>
      <c r="I107" s="610"/>
      <c r="J107" s="610"/>
      <c r="K107" s="610"/>
      <c r="L107" s="610"/>
      <c r="M107" s="610"/>
      <c r="N107" s="610"/>
      <c r="O107" s="610"/>
      <c r="P107" s="610"/>
      <c r="Q107" s="610"/>
      <c r="R107" s="610"/>
      <c r="S107" s="610"/>
      <c r="T107" s="610"/>
      <c r="U107" s="610"/>
      <c r="V107" s="610"/>
      <c r="W107" s="610"/>
      <c r="X107" s="610"/>
      <c r="Y107" s="610"/>
      <c r="Z107" s="610"/>
      <c r="AA107" s="610"/>
      <c r="AB107" s="610"/>
      <c r="AC107" s="610"/>
      <c r="AD107" s="610"/>
      <c r="AE107" s="610"/>
      <c r="AF107" s="610"/>
      <c r="AG107" s="610"/>
      <c r="AH107" s="610"/>
      <c r="AI107" s="607"/>
      <c r="AJ107" s="602"/>
      <c r="AK107" s="601"/>
      <c r="AL107" s="601"/>
      <c r="AM107" s="601"/>
      <c r="AN107" s="601"/>
      <c r="AO107" s="601"/>
      <c r="AP107" s="601"/>
      <c r="AR107" s="601"/>
      <c r="AS107" s="601"/>
      <c r="AT107" s="601"/>
      <c r="AU107" s="601"/>
      <c r="AV107" s="601"/>
      <c r="AW107" s="601"/>
      <c r="AX107" s="601"/>
      <c r="AY107" s="601"/>
      <c r="AZ107" s="601"/>
      <c r="BA107" s="601"/>
      <c r="BB107" s="601"/>
      <c r="BC107" s="601"/>
      <c r="BD107" s="601"/>
      <c r="BE107" s="601"/>
      <c r="BF107" s="601"/>
      <c r="BG107" s="601"/>
      <c r="BH107" s="601"/>
      <c r="BI107" s="601"/>
      <c r="BJ107" s="601"/>
      <c r="BK107" s="601"/>
      <c r="BL107" s="603"/>
    </row>
    <row r="108" spans="3:64" s="608" customFormat="1">
      <c r="C108" s="608" t="s">
        <v>58</v>
      </c>
      <c r="D108" s="609"/>
      <c r="E108" s="610"/>
      <c r="F108" s="610"/>
      <c r="G108" s="610"/>
      <c r="H108" s="610"/>
      <c r="I108" s="610"/>
      <c r="J108" s="610"/>
      <c r="K108" s="610"/>
      <c r="L108" s="610"/>
      <c r="M108" s="610"/>
      <c r="N108" s="610"/>
      <c r="O108" s="610"/>
      <c r="P108" s="610"/>
      <c r="Q108" s="610"/>
      <c r="R108" s="610"/>
      <c r="S108" s="610"/>
      <c r="T108" s="610"/>
      <c r="U108" s="610"/>
      <c r="V108" s="610"/>
      <c r="W108" s="610"/>
      <c r="X108" s="610"/>
      <c r="Y108" s="610"/>
      <c r="Z108" s="610"/>
      <c r="AA108" s="610"/>
      <c r="AB108" s="610"/>
      <c r="AC108" s="610"/>
      <c r="AD108" s="610"/>
      <c r="AE108" s="610"/>
      <c r="AF108" s="610"/>
      <c r="AG108" s="610"/>
      <c r="AH108" s="610"/>
      <c r="AI108" s="607"/>
      <c r="AJ108" s="602"/>
      <c r="AK108" s="601"/>
      <c r="AL108" s="601"/>
      <c r="AM108" s="601"/>
      <c r="AN108" s="601"/>
      <c r="AO108" s="601"/>
      <c r="AP108" s="601"/>
      <c r="AR108" s="601"/>
      <c r="AS108" s="601"/>
      <c r="AT108" s="601"/>
      <c r="AU108" s="601"/>
      <c r="AV108" s="601"/>
      <c r="AW108" s="601"/>
      <c r="AX108" s="601"/>
      <c r="AY108" s="601"/>
      <c r="AZ108" s="601"/>
      <c r="BA108" s="601"/>
      <c r="BB108" s="601"/>
      <c r="BC108" s="601"/>
      <c r="BD108" s="601"/>
      <c r="BE108" s="601"/>
      <c r="BF108" s="601"/>
      <c r="BG108" s="601"/>
      <c r="BH108" s="601"/>
      <c r="BI108" s="601"/>
      <c r="BJ108" s="601"/>
      <c r="BK108" s="601"/>
      <c r="BL108" s="603"/>
    </row>
    <row r="109" spans="3:64" s="608" customFormat="1">
      <c r="C109" s="608" t="s">
        <v>22</v>
      </c>
      <c r="D109" s="609"/>
      <c r="E109" s="610"/>
      <c r="F109" s="610"/>
      <c r="G109" s="610"/>
      <c r="H109" s="610"/>
      <c r="I109" s="610"/>
      <c r="J109" s="610"/>
      <c r="K109" s="610"/>
      <c r="L109" s="610"/>
      <c r="M109" s="610"/>
      <c r="N109" s="610"/>
      <c r="O109" s="610"/>
      <c r="P109" s="610"/>
      <c r="Q109" s="610"/>
      <c r="R109" s="610"/>
      <c r="S109" s="610"/>
      <c r="T109" s="610"/>
      <c r="U109" s="610"/>
      <c r="V109" s="610"/>
      <c r="W109" s="610"/>
      <c r="X109" s="610"/>
      <c r="Y109" s="610"/>
      <c r="Z109" s="610"/>
      <c r="AA109" s="610"/>
      <c r="AB109" s="610"/>
      <c r="AC109" s="610"/>
      <c r="AD109" s="610"/>
      <c r="AE109" s="610"/>
      <c r="AF109" s="610"/>
      <c r="AG109" s="610"/>
      <c r="AH109" s="610"/>
      <c r="AI109" s="607"/>
      <c r="AJ109" s="602"/>
      <c r="AK109" s="601"/>
      <c r="AL109" s="601"/>
      <c r="AM109" s="601"/>
      <c r="AN109" s="601"/>
      <c r="AO109" s="601"/>
      <c r="AP109" s="601"/>
      <c r="AR109" s="601"/>
      <c r="AS109" s="601"/>
      <c r="AT109" s="601"/>
      <c r="AU109" s="601"/>
      <c r="AV109" s="601"/>
      <c r="AW109" s="601"/>
      <c r="AX109" s="601"/>
      <c r="AY109" s="601"/>
      <c r="AZ109" s="601"/>
      <c r="BA109" s="601"/>
      <c r="BB109" s="601"/>
      <c r="BC109" s="601"/>
      <c r="BD109" s="601"/>
      <c r="BE109" s="601"/>
      <c r="BF109" s="601"/>
      <c r="BG109" s="601"/>
      <c r="BH109" s="601"/>
      <c r="BI109" s="601"/>
      <c r="BJ109" s="601"/>
      <c r="BK109" s="601"/>
      <c r="BL109" s="603"/>
    </row>
    <row r="110" spans="3:64" s="608" customFormat="1">
      <c r="C110" s="608" t="s">
        <v>23</v>
      </c>
      <c r="D110" s="609"/>
      <c r="E110" s="610"/>
      <c r="F110" s="610"/>
      <c r="G110" s="610"/>
      <c r="H110" s="610"/>
      <c r="I110" s="610"/>
      <c r="J110" s="610"/>
      <c r="K110" s="610"/>
      <c r="L110" s="610"/>
      <c r="M110" s="610"/>
      <c r="N110" s="610"/>
      <c r="O110" s="610"/>
      <c r="P110" s="610"/>
      <c r="Q110" s="610"/>
      <c r="R110" s="610"/>
      <c r="S110" s="610"/>
      <c r="T110" s="610"/>
      <c r="U110" s="610"/>
      <c r="V110" s="610"/>
      <c r="W110" s="610"/>
      <c r="X110" s="610"/>
      <c r="Y110" s="610"/>
      <c r="Z110" s="610"/>
      <c r="AA110" s="610"/>
      <c r="AB110" s="610"/>
      <c r="AC110" s="610"/>
      <c r="AD110" s="610"/>
      <c r="AE110" s="610"/>
      <c r="AF110" s="610"/>
      <c r="AG110" s="610"/>
      <c r="AH110" s="610"/>
      <c r="AI110" s="607"/>
      <c r="AJ110" s="602"/>
      <c r="AK110" s="601"/>
      <c r="AL110" s="601"/>
      <c r="AM110" s="601"/>
      <c r="AN110" s="601"/>
      <c r="AO110" s="601"/>
      <c r="AP110" s="601"/>
      <c r="AR110" s="601"/>
      <c r="AS110" s="601"/>
      <c r="AT110" s="601"/>
      <c r="AU110" s="601"/>
      <c r="AV110" s="601"/>
      <c r="AW110" s="601"/>
      <c r="AX110" s="601"/>
      <c r="AY110" s="601"/>
      <c r="AZ110" s="601"/>
      <c r="BA110" s="601"/>
      <c r="BB110" s="601"/>
      <c r="BC110" s="601"/>
      <c r="BD110" s="601"/>
      <c r="BE110" s="601"/>
      <c r="BF110" s="601"/>
      <c r="BG110" s="601"/>
      <c r="BH110" s="601"/>
      <c r="BI110" s="601"/>
      <c r="BJ110" s="601"/>
      <c r="BK110" s="601"/>
      <c r="BL110" s="603"/>
    </row>
    <row r="111" spans="3:64" s="608" customFormat="1">
      <c r="C111" s="608" t="s">
        <v>24</v>
      </c>
      <c r="D111" s="609"/>
      <c r="E111" s="610"/>
      <c r="F111" s="610"/>
      <c r="G111" s="610"/>
      <c r="H111" s="610"/>
      <c r="I111" s="610"/>
      <c r="J111" s="610"/>
      <c r="K111" s="610"/>
      <c r="L111" s="610"/>
      <c r="M111" s="610"/>
      <c r="N111" s="610"/>
      <c r="O111" s="610"/>
      <c r="P111" s="610"/>
      <c r="Q111" s="610"/>
      <c r="R111" s="610"/>
      <c r="S111" s="610"/>
      <c r="T111" s="610"/>
      <c r="U111" s="610"/>
      <c r="V111" s="610"/>
      <c r="W111" s="610"/>
      <c r="X111" s="610"/>
      <c r="Y111" s="610"/>
      <c r="Z111" s="610"/>
      <c r="AA111" s="610"/>
      <c r="AB111" s="610"/>
      <c r="AC111" s="610"/>
      <c r="AD111" s="610"/>
      <c r="AE111" s="610"/>
      <c r="AF111" s="610"/>
      <c r="AG111" s="610"/>
      <c r="AH111" s="610"/>
      <c r="AI111" s="607"/>
      <c r="AJ111" s="602"/>
      <c r="AK111" s="601"/>
      <c r="AL111" s="601"/>
      <c r="AM111" s="601"/>
      <c r="AN111" s="601"/>
      <c r="AO111" s="601"/>
      <c r="AP111" s="601"/>
      <c r="AR111" s="601"/>
      <c r="AS111" s="601"/>
      <c r="AT111" s="601"/>
      <c r="AU111" s="601"/>
      <c r="AV111" s="601"/>
      <c r="AW111" s="601"/>
      <c r="AX111" s="601"/>
      <c r="AY111" s="601"/>
      <c r="AZ111" s="601"/>
      <c r="BA111" s="601"/>
      <c r="BB111" s="601"/>
      <c r="BC111" s="601"/>
      <c r="BD111" s="601"/>
      <c r="BE111" s="601"/>
      <c r="BF111" s="601"/>
      <c r="BG111" s="601"/>
      <c r="BH111" s="601"/>
      <c r="BI111" s="601"/>
      <c r="BJ111" s="601"/>
      <c r="BK111" s="601"/>
      <c r="BL111" s="603"/>
    </row>
    <row r="112" spans="3:64" s="608" customFormat="1">
      <c r="C112" s="608" t="s">
        <v>25</v>
      </c>
      <c r="D112" s="609"/>
      <c r="E112" s="610"/>
      <c r="F112" s="610"/>
      <c r="G112" s="610"/>
      <c r="H112" s="610"/>
      <c r="I112" s="610"/>
      <c r="J112" s="610"/>
      <c r="K112" s="610"/>
      <c r="L112" s="610"/>
      <c r="M112" s="610"/>
      <c r="N112" s="610"/>
      <c r="O112" s="610"/>
      <c r="P112" s="610"/>
      <c r="Q112" s="610"/>
      <c r="R112" s="610"/>
      <c r="S112" s="610"/>
      <c r="T112" s="610"/>
      <c r="U112" s="610"/>
      <c r="V112" s="610"/>
      <c r="W112" s="610"/>
      <c r="X112" s="610"/>
      <c r="Y112" s="610"/>
      <c r="Z112" s="610"/>
      <c r="AA112" s="610"/>
      <c r="AB112" s="610"/>
      <c r="AC112" s="610"/>
      <c r="AD112" s="610"/>
      <c r="AE112" s="610"/>
      <c r="AF112" s="610"/>
      <c r="AG112" s="610"/>
      <c r="AH112" s="610"/>
      <c r="AI112" s="607"/>
      <c r="AJ112" s="602"/>
      <c r="AK112" s="601"/>
      <c r="AL112" s="601"/>
      <c r="AM112" s="601"/>
      <c r="AN112" s="601"/>
      <c r="AO112" s="601"/>
      <c r="AP112" s="601"/>
      <c r="AR112" s="601"/>
      <c r="AS112" s="601"/>
      <c r="AT112" s="601"/>
      <c r="AU112" s="601"/>
      <c r="AV112" s="601"/>
      <c r="AW112" s="601"/>
      <c r="AX112" s="601"/>
      <c r="AY112" s="601"/>
      <c r="AZ112" s="601"/>
      <c r="BA112" s="601"/>
      <c r="BB112" s="601"/>
      <c r="BC112" s="601"/>
      <c r="BD112" s="601"/>
      <c r="BE112" s="601"/>
      <c r="BF112" s="601"/>
      <c r="BG112" s="601"/>
      <c r="BH112" s="601"/>
      <c r="BI112" s="601"/>
      <c r="BJ112" s="601"/>
      <c r="BK112" s="601"/>
      <c r="BL112" s="603"/>
    </row>
    <row r="113" spans="3:64" s="608" customFormat="1">
      <c r="C113" s="608" t="s">
        <v>26</v>
      </c>
      <c r="D113" s="609"/>
      <c r="E113" s="610"/>
      <c r="F113" s="610"/>
      <c r="G113" s="610"/>
      <c r="H113" s="610"/>
      <c r="I113" s="610"/>
      <c r="J113" s="610"/>
      <c r="K113" s="610"/>
      <c r="L113" s="610"/>
      <c r="M113" s="610"/>
      <c r="N113" s="610"/>
      <c r="O113" s="610"/>
      <c r="P113" s="610"/>
      <c r="Q113" s="610"/>
      <c r="R113" s="610"/>
      <c r="S113" s="610"/>
      <c r="T113" s="610"/>
      <c r="U113" s="610"/>
      <c r="V113" s="610"/>
      <c r="W113" s="610"/>
      <c r="X113" s="610"/>
      <c r="Y113" s="610"/>
      <c r="Z113" s="610"/>
      <c r="AA113" s="610"/>
      <c r="AB113" s="610"/>
      <c r="AC113" s="610"/>
      <c r="AD113" s="610"/>
      <c r="AE113" s="610"/>
      <c r="AF113" s="610"/>
      <c r="AG113" s="610"/>
      <c r="AH113" s="610"/>
      <c r="AI113" s="607"/>
      <c r="AJ113" s="602"/>
      <c r="AK113" s="601"/>
      <c r="AL113" s="601"/>
      <c r="AM113" s="601"/>
      <c r="AN113" s="601"/>
      <c r="AO113" s="601"/>
      <c r="AP113" s="601"/>
      <c r="AR113" s="601"/>
      <c r="AS113" s="601"/>
      <c r="AT113" s="601"/>
      <c r="AU113" s="601"/>
      <c r="AV113" s="601"/>
      <c r="AW113" s="601"/>
      <c r="AX113" s="601"/>
      <c r="AY113" s="601"/>
      <c r="AZ113" s="601"/>
      <c r="BA113" s="601"/>
      <c r="BB113" s="601"/>
      <c r="BC113" s="601"/>
      <c r="BD113" s="601"/>
      <c r="BE113" s="601"/>
      <c r="BF113" s="601"/>
      <c r="BG113" s="601"/>
      <c r="BH113" s="601"/>
      <c r="BI113" s="601"/>
      <c r="BJ113" s="601"/>
      <c r="BK113" s="601"/>
      <c r="BL113" s="603"/>
    </row>
    <row r="114" spans="3:64" s="608" customFormat="1">
      <c r="C114" s="608" t="s">
        <v>27</v>
      </c>
      <c r="D114" s="609"/>
      <c r="E114" s="610"/>
      <c r="F114" s="610"/>
      <c r="G114" s="610"/>
      <c r="H114" s="610"/>
      <c r="I114" s="610"/>
      <c r="J114" s="610"/>
      <c r="K114" s="610"/>
      <c r="L114" s="610"/>
      <c r="M114" s="610"/>
      <c r="N114" s="610"/>
      <c r="O114" s="610"/>
      <c r="P114" s="610"/>
      <c r="Q114" s="610"/>
      <c r="R114" s="610"/>
      <c r="S114" s="610"/>
      <c r="T114" s="610"/>
      <c r="U114" s="610"/>
      <c r="V114" s="610"/>
      <c r="W114" s="610"/>
      <c r="X114" s="610"/>
      <c r="Y114" s="610"/>
      <c r="Z114" s="610"/>
      <c r="AA114" s="610"/>
      <c r="AB114" s="610"/>
      <c r="AC114" s="610"/>
      <c r="AD114" s="610"/>
      <c r="AE114" s="610"/>
      <c r="AF114" s="610"/>
      <c r="AG114" s="610"/>
      <c r="AH114" s="610"/>
      <c r="AI114" s="607"/>
      <c r="AJ114" s="602"/>
      <c r="AK114" s="601"/>
      <c r="AL114" s="601"/>
      <c r="AM114" s="601"/>
      <c r="AN114" s="601"/>
      <c r="AO114" s="601"/>
      <c r="AP114" s="601"/>
      <c r="AR114" s="601"/>
      <c r="AS114" s="601"/>
      <c r="AT114" s="601"/>
      <c r="AU114" s="601"/>
      <c r="AV114" s="601"/>
      <c r="AW114" s="601"/>
      <c r="AX114" s="601"/>
      <c r="AY114" s="601"/>
      <c r="AZ114" s="601"/>
      <c r="BA114" s="601"/>
      <c r="BB114" s="601"/>
      <c r="BC114" s="601"/>
      <c r="BD114" s="601"/>
      <c r="BE114" s="601"/>
      <c r="BF114" s="601"/>
      <c r="BG114" s="601"/>
      <c r="BH114" s="601"/>
      <c r="BI114" s="601"/>
      <c r="BJ114" s="601"/>
      <c r="BK114" s="601"/>
      <c r="BL114" s="603"/>
    </row>
    <row r="115" spans="3:64" s="608" customFormat="1">
      <c r="C115" s="608" t="s">
        <v>28</v>
      </c>
      <c r="D115" s="609"/>
      <c r="E115" s="610"/>
      <c r="F115" s="610"/>
      <c r="G115" s="610"/>
      <c r="H115" s="610"/>
      <c r="I115" s="610"/>
      <c r="J115" s="610"/>
      <c r="K115" s="610"/>
      <c r="L115" s="610"/>
      <c r="M115" s="610"/>
      <c r="N115" s="610"/>
      <c r="O115" s="610"/>
      <c r="P115" s="610"/>
      <c r="Q115" s="610"/>
      <c r="R115" s="610"/>
      <c r="S115" s="610"/>
      <c r="T115" s="610"/>
      <c r="U115" s="610"/>
      <c r="V115" s="610"/>
      <c r="W115" s="610"/>
      <c r="X115" s="610"/>
      <c r="Y115" s="610"/>
      <c r="Z115" s="610"/>
      <c r="AA115" s="610"/>
      <c r="AB115" s="610"/>
      <c r="AC115" s="610"/>
      <c r="AD115" s="610"/>
      <c r="AE115" s="610"/>
      <c r="AF115" s="610"/>
      <c r="AG115" s="610"/>
      <c r="AH115" s="610"/>
      <c r="AI115" s="607"/>
      <c r="AJ115" s="602"/>
      <c r="AK115" s="601"/>
      <c r="AL115" s="601"/>
      <c r="AM115" s="601"/>
      <c r="AN115" s="601"/>
      <c r="AO115" s="601"/>
      <c r="AP115" s="601"/>
      <c r="AR115" s="601"/>
      <c r="AS115" s="601"/>
      <c r="AT115" s="601"/>
      <c r="AU115" s="601"/>
      <c r="AV115" s="601"/>
      <c r="AW115" s="601"/>
      <c r="AX115" s="601"/>
      <c r="AY115" s="601"/>
      <c r="AZ115" s="601"/>
      <c r="BA115" s="601"/>
      <c r="BB115" s="601"/>
      <c r="BC115" s="601"/>
      <c r="BD115" s="601"/>
      <c r="BE115" s="601"/>
      <c r="BF115" s="601"/>
      <c r="BG115" s="601"/>
      <c r="BH115" s="601"/>
      <c r="BI115" s="601"/>
      <c r="BJ115" s="601"/>
      <c r="BK115" s="601"/>
      <c r="BL115" s="603"/>
    </row>
    <row r="116" spans="3:64" s="608" customFormat="1">
      <c r="C116" s="608" t="s">
        <v>29</v>
      </c>
      <c r="D116" s="609"/>
      <c r="E116" s="610"/>
      <c r="F116" s="610"/>
      <c r="G116" s="610"/>
      <c r="H116" s="610"/>
      <c r="I116" s="610"/>
      <c r="J116" s="610"/>
      <c r="K116" s="610"/>
      <c r="L116" s="610"/>
      <c r="M116" s="610"/>
      <c r="N116" s="610"/>
      <c r="O116" s="610"/>
      <c r="P116" s="610"/>
      <c r="Q116" s="610"/>
      <c r="R116" s="610"/>
      <c r="S116" s="610"/>
      <c r="T116" s="610"/>
      <c r="U116" s="610"/>
      <c r="V116" s="610"/>
      <c r="W116" s="610"/>
      <c r="X116" s="610"/>
      <c r="Y116" s="610"/>
      <c r="Z116" s="610"/>
      <c r="AA116" s="610"/>
      <c r="AB116" s="610"/>
      <c r="AC116" s="610"/>
      <c r="AD116" s="610"/>
      <c r="AE116" s="610"/>
      <c r="AF116" s="610"/>
      <c r="AG116" s="610"/>
      <c r="AH116" s="610"/>
      <c r="AI116" s="607"/>
      <c r="AJ116" s="602"/>
      <c r="AK116" s="601"/>
      <c r="AL116" s="601"/>
      <c r="AM116" s="601"/>
      <c r="AN116" s="601"/>
      <c r="AO116" s="601"/>
      <c r="AP116" s="601"/>
      <c r="AR116" s="601"/>
      <c r="AS116" s="601"/>
      <c r="AT116" s="601"/>
      <c r="AU116" s="601"/>
      <c r="AV116" s="601"/>
      <c r="AW116" s="601"/>
      <c r="AX116" s="601"/>
      <c r="AY116" s="601"/>
      <c r="AZ116" s="601"/>
      <c r="BA116" s="601"/>
      <c r="BB116" s="601"/>
      <c r="BC116" s="601"/>
      <c r="BD116" s="601"/>
      <c r="BE116" s="601"/>
      <c r="BF116" s="601"/>
      <c r="BG116" s="601"/>
      <c r="BH116" s="601"/>
      <c r="BI116" s="601"/>
      <c r="BJ116" s="601"/>
      <c r="BK116" s="601"/>
      <c r="BL116" s="603"/>
    </row>
    <row r="117" spans="3:64" s="608" customFormat="1">
      <c r="C117" s="608" t="s">
        <v>30</v>
      </c>
      <c r="D117" s="609"/>
      <c r="E117" s="610"/>
      <c r="F117" s="610"/>
      <c r="G117" s="610"/>
      <c r="H117" s="610"/>
      <c r="I117" s="610"/>
      <c r="J117" s="610"/>
      <c r="K117" s="610"/>
      <c r="L117" s="610"/>
      <c r="M117" s="610"/>
      <c r="N117" s="610"/>
      <c r="O117" s="610"/>
      <c r="P117" s="610"/>
      <c r="Q117" s="610"/>
      <c r="R117" s="610"/>
      <c r="S117" s="610"/>
      <c r="T117" s="610"/>
      <c r="U117" s="610"/>
      <c r="V117" s="610"/>
      <c r="W117" s="610"/>
      <c r="X117" s="610"/>
      <c r="Y117" s="610"/>
      <c r="Z117" s="610"/>
      <c r="AA117" s="610"/>
      <c r="AB117" s="610"/>
      <c r="AC117" s="610"/>
      <c r="AD117" s="610"/>
      <c r="AE117" s="610"/>
      <c r="AF117" s="610"/>
      <c r="AG117" s="610"/>
      <c r="AH117" s="610"/>
      <c r="AI117" s="607"/>
      <c r="AJ117" s="602"/>
      <c r="AK117" s="601"/>
      <c r="AL117" s="601"/>
      <c r="AM117" s="601"/>
      <c r="AN117" s="601"/>
      <c r="AO117" s="601"/>
      <c r="AP117" s="601"/>
      <c r="AR117" s="601"/>
      <c r="AS117" s="601"/>
      <c r="AT117" s="601"/>
      <c r="AU117" s="601"/>
      <c r="AV117" s="601"/>
      <c r="AW117" s="601"/>
      <c r="AX117" s="601"/>
      <c r="AY117" s="601"/>
      <c r="AZ117" s="601"/>
      <c r="BA117" s="601"/>
      <c r="BB117" s="601"/>
      <c r="BC117" s="601"/>
      <c r="BD117" s="601"/>
      <c r="BE117" s="601"/>
      <c r="BF117" s="601"/>
      <c r="BG117" s="601"/>
      <c r="BH117" s="601"/>
      <c r="BI117" s="601"/>
      <c r="BJ117" s="601"/>
      <c r="BK117" s="601"/>
      <c r="BL117" s="603"/>
    </row>
    <row r="118" spans="3:64" s="608" customFormat="1">
      <c r="C118" s="608" t="s">
        <v>86</v>
      </c>
      <c r="D118" s="609"/>
      <c r="E118" s="610"/>
      <c r="F118" s="610"/>
      <c r="G118" s="610"/>
      <c r="H118" s="610"/>
      <c r="I118" s="610"/>
      <c r="J118" s="610"/>
      <c r="K118" s="610"/>
      <c r="L118" s="610"/>
      <c r="M118" s="610"/>
      <c r="N118" s="610"/>
      <c r="O118" s="610"/>
      <c r="P118" s="610"/>
      <c r="Q118" s="610"/>
      <c r="R118" s="610"/>
      <c r="S118" s="610"/>
      <c r="T118" s="610"/>
      <c r="U118" s="610"/>
      <c r="V118" s="610"/>
      <c r="W118" s="610"/>
      <c r="X118" s="610"/>
      <c r="Y118" s="610"/>
      <c r="Z118" s="610"/>
      <c r="AA118" s="610"/>
      <c r="AB118" s="610"/>
      <c r="AC118" s="610"/>
      <c r="AD118" s="610"/>
      <c r="AE118" s="610"/>
      <c r="AF118" s="610"/>
      <c r="AG118" s="610"/>
      <c r="AH118" s="610"/>
      <c r="AI118" s="607"/>
      <c r="AJ118" s="602"/>
      <c r="AK118" s="601"/>
      <c r="AL118" s="601"/>
      <c r="AM118" s="601"/>
      <c r="AN118" s="601"/>
      <c r="AO118" s="601"/>
      <c r="AP118" s="601"/>
      <c r="AR118" s="601"/>
      <c r="AS118" s="601"/>
      <c r="AT118" s="601"/>
      <c r="AU118" s="601"/>
      <c r="AV118" s="601"/>
      <c r="AW118" s="601"/>
      <c r="AX118" s="601"/>
      <c r="AY118" s="601"/>
      <c r="AZ118" s="601"/>
      <c r="BA118" s="601"/>
      <c r="BB118" s="601"/>
      <c r="BC118" s="601"/>
      <c r="BD118" s="601"/>
      <c r="BE118" s="601"/>
      <c r="BF118" s="601"/>
      <c r="BG118" s="601"/>
      <c r="BH118" s="601"/>
      <c r="BI118" s="601"/>
      <c r="BJ118" s="601"/>
      <c r="BK118" s="601"/>
      <c r="BL118" s="603"/>
    </row>
    <row r="119" spans="3:64" s="608" customFormat="1">
      <c r="C119" s="608" t="s">
        <v>31</v>
      </c>
      <c r="D119" s="609"/>
      <c r="E119" s="610"/>
      <c r="F119" s="610"/>
      <c r="G119" s="610"/>
      <c r="H119" s="610"/>
      <c r="I119" s="610"/>
      <c r="J119" s="610"/>
      <c r="K119" s="610"/>
      <c r="L119" s="610"/>
      <c r="M119" s="610"/>
      <c r="N119" s="610"/>
      <c r="O119" s="610"/>
      <c r="P119" s="610"/>
      <c r="Q119" s="610"/>
      <c r="R119" s="610"/>
      <c r="S119" s="610"/>
      <c r="T119" s="610"/>
      <c r="U119" s="610"/>
      <c r="V119" s="610"/>
      <c r="W119" s="610"/>
      <c r="X119" s="610"/>
      <c r="Y119" s="610"/>
      <c r="Z119" s="610"/>
      <c r="AA119" s="610"/>
      <c r="AB119" s="610"/>
      <c r="AC119" s="610"/>
      <c r="AD119" s="610"/>
      <c r="AE119" s="610"/>
      <c r="AF119" s="610"/>
      <c r="AG119" s="610"/>
      <c r="AH119" s="610"/>
      <c r="AI119" s="607"/>
      <c r="AJ119" s="602"/>
      <c r="AK119" s="601"/>
      <c r="AL119" s="601"/>
      <c r="AM119" s="601"/>
      <c r="AN119" s="601"/>
      <c r="AO119" s="601"/>
      <c r="AP119" s="601"/>
      <c r="AR119" s="601"/>
      <c r="AS119" s="601"/>
      <c r="AT119" s="601"/>
      <c r="AU119" s="601"/>
      <c r="AV119" s="601"/>
      <c r="AW119" s="601"/>
      <c r="AX119" s="601"/>
      <c r="AY119" s="601"/>
      <c r="AZ119" s="601"/>
      <c r="BA119" s="601"/>
      <c r="BB119" s="601"/>
      <c r="BC119" s="601"/>
      <c r="BD119" s="601"/>
      <c r="BE119" s="601"/>
      <c r="BF119" s="601"/>
      <c r="BG119" s="601"/>
      <c r="BH119" s="601"/>
      <c r="BI119" s="601"/>
      <c r="BJ119" s="601"/>
      <c r="BK119" s="601"/>
      <c r="BL119" s="603"/>
    </row>
    <row r="120" spans="3:64" s="608" customFormat="1">
      <c r="C120" s="608" t="s">
        <v>32</v>
      </c>
      <c r="D120" s="609"/>
      <c r="E120" s="610"/>
      <c r="F120" s="610"/>
      <c r="G120" s="610"/>
      <c r="H120" s="610"/>
      <c r="I120" s="610"/>
      <c r="J120" s="610"/>
      <c r="K120" s="610"/>
      <c r="L120" s="610"/>
      <c r="M120" s="610"/>
      <c r="N120" s="610"/>
      <c r="O120" s="610"/>
      <c r="P120" s="610"/>
      <c r="Q120" s="610"/>
      <c r="R120" s="610"/>
      <c r="S120" s="610"/>
      <c r="T120" s="610"/>
      <c r="U120" s="610"/>
      <c r="V120" s="610"/>
      <c r="W120" s="610"/>
      <c r="X120" s="610"/>
      <c r="Y120" s="610"/>
      <c r="Z120" s="610"/>
      <c r="AA120" s="610"/>
      <c r="AB120" s="610"/>
      <c r="AC120" s="610"/>
      <c r="AD120" s="610"/>
      <c r="AE120" s="610"/>
      <c r="AF120" s="610"/>
      <c r="AG120" s="610"/>
      <c r="AH120" s="610"/>
      <c r="AI120" s="607"/>
      <c r="AJ120" s="602"/>
      <c r="AK120" s="601"/>
      <c r="AL120" s="601"/>
      <c r="AM120" s="601"/>
      <c r="AN120" s="601"/>
      <c r="AO120" s="601"/>
      <c r="AP120" s="601"/>
      <c r="AR120" s="601"/>
      <c r="AS120" s="601"/>
      <c r="AT120" s="601"/>
      <c r="AU120" s="601"/>
      <c r="AV120" s="601"/>
      <c r="AW120" s="601"/>
      <c r="AX120" s="601"/>
      <c r="AY120" s="601"/>
      <c r="AZ120" s="601"/>
      <c r="BA120" s="601"/>
      <c r="BB120" s="601"/>
      <c r="BC120" s="601"/>
      <c r="BD120" s="601"/>
      <c r="BE120" s="601"/>
      <c r="BF120" s="601"/>
      <c r="BG120" s="601"/>
      <c r="BH120" s="601"/>
      <c r="BI120" s="601"/>
      <c r="BJ120" s="601"/>
      <c r="BK120" s="601"/>
      <c r="BL120" s="603"/>
    </row>
    <row r="121" spans="3:64" s="608" customFormat="1">
      <c r="C121" s="608" t="s">
        <v>33</v>
      </c>
      <c r="D121" s="609"/>
      <c r="E121" s="610"/>
      <c r="F121" s="610"/>
      <c r="G121" s="610"/>
      <c r="H121" s="610"/>
      <c r="I121" s="610"/>
      <c r="J121" s="610"/>
      <c r="K121" s="610"/>
      <c r="L121" s="610"/>
      <c r="M121" s="610"/>
      <c r="N121" s="610"/>
      <c r="O121" s="610"/>
      <c r="P121" s="610"/>
      <c r="Q121" s="610"/>
      <c r="R121" s="610"/>
      <c r="S121" s="610"/>
      <c r="T121" s="610"/>
      <c r="U121" s="610"/>
      <c r="V121" s="610"/>
      <c r="W121" s="610"/>
      <c r="X121" s="610"/>
      <c r="Y121" s="610"/>
      <c r="Z121" s="610"/>
      <c r="AA121" s="610"/>
      <c r="AB121" s="610"/>
      <c r="AC121" s="610"/>
      <c r="AD121" s="610"/>
      <c r="AE121" s="610"/>
      <c r="AF121" s="610"/>
      <c r="AG121" s="610"/>
      <c r="AH121" s="610"/>
      <c r="AI121" s="607"/>
      <c r="AJ121" s="602"/>
      <c r="AK121" s="601"/>
      <c r="AL121" s="601"/>
      <c r="AM121" s="601"/>
      <c r="AN121" s="601"/>
      <c r="AO121" s="601"/>
      <c r="AP121" s="601"/>
      <c r="AR121" s="601"/>
      <c r="AS121" s="601"/>
      <c r="AT121" s="601"/>
      <c r="AU121" s="601"/>
      <c r="AV121" s="601"/>
      <c r="AW121" s="601"/>
      <c r="AX121" s="601"/>
      <c r="AY121" s="601"/>
      <c r="AZ121" s="601"/>
      <c r="BA121" s="601"/>
      <c r="BB121" s="601"/>
      <c r="BC121" s="601"/>
      <c r="BD121" s="601"/>
      <c r="BE121" s="601"/>
      <c r="BF121" s="601"/>
      <c r="BG121" s="601"/>
      <c r="BH121" s="601"/>
      <c r="BI121" s="601"/>
      <c r="BJ121" s="601"/>
      <c r="BK121" s="601"/>
      <c r="BL121" s="603"/>
    </row>
    <row r="122" spans="3:64" s="608" customFormat="1">
      <c r="C122" s="608" t="s">
        <v>34</v>
      </c>
      <c r="D122" s="609"/>
      <c r="E122" s="610"/>
      <c r="F122" s="610"/>
      <c r="G122" s="610"/>
      <c r="H122" s="610"/>
      <c r="I122" s="610"/>
      <c r="J122" s="610"/>
      <c r="K122" s="610"/>
      <c r="L122" s="610"/>
      <c r="M122" s="610"/>
      <c r="N122" s="610"/>
      <c r="O122" s="610"/>
      <c r="P122" s="610"/>
      <c r="Q122" s="610"/>
      <c r="R122" s="610"/>
      <c r="S122" s="610"/>
      <c r="T122" s="610"/>
      <c r="U122" s="610"/>
      <c r="V122" s="610"/>
      <c r="W122" s="610"/>
      <c r="X122" s="610"/>
      <c r="Y122" s="610"/>
      <c r="Z122" s="610"/>
      <c r="AA122" s="610"/>
      <c r="AB122" s="610"/>
      <c r="AC122" s="610"/>
      <c r="AD122" s="610"/>
      <c r="AE122" s="610"/>
      <c r="AF122" s="610"/>
      <c r="AG122" s="610"/>
      <c r="AH122" s="610"/>
      <c r="AI122" s="607"/>
      <c r="AJ122" s="602"/>
      <c r="AK122" s="601"/>
      <c r="AL122" s="601"/>
      <c r="AM122" s="601"/>
      <c r="AN122" s="601"/>
      <c r="AO122" s="601"/>
      <c r="AP122" s="601"/>
      <c r="AR122" s="601"/>
      <c r="AS122" s="601"/>
      <c r="AT122" s="601"/>
      <c r="AU122" s="601"/>
      <c r="AV122" s="601"/>
      <c r="AW122" s="601"/>
      <c r="AX122" s="601"/>
      <c r="AY122" s="601"/>
      <c r="AZ122" s="601"/>
      <c r="BA122" s="601"/>
      <c r="BB122" s="601"/>
      <c r="BC122" s="601"/>
      <c r="BD122" s="601"/>
      <c r="BE122" s="601"/>
      <c r="BF122" s="601"/>
      <c r="BG122" s="601"/>
      <c r="BH122" s="601"/>
      <c r="BI122" s="601"/>
      <c r="BJ122" s="601"/>
      <c r="BK122" s="601"/>
      <c r="BL122" s="603"/>
    </row>
    <row r="123" spans="3:64" s="608" customFormat="1">
      <c r="C123" s="608" t="s">
        <v>35</v>
      </c>
      <c r="D123" s="609"/>
      <c r="E123" s="610"/>
      <c r="F123" s="610"/>
      <c r="G123" s="610"/>
      <c r="H123" s="610"/>
      <c r="I123" s="610"/>
      <c r="J123" s="610"/>
      <c r="K123" s="610"/>
      <c r="L123" s="610"/>
      <c r="M123" s="610"/>
      <c r="N123" s="610"/>
      <c r="O123" s="610"/>
      <c r="P123" s="610"/>
      <c r="Q123" s="610"/>
      <c r="R123" s="610"/>
      <c r="S123" s="610"/>
      <c r="T123" s="610"/>
      <c r="U123" s="610"/>
      <c r="V123" s="610"/>
      <c r="W123" s="610"/>
      <c r="X123" s="610"/>
      <c r="Y123" s="610"/>
      <c r="Z123" s="610"/>
      <c r="AA123" s="610"/>
      <c r="AB123" s="610"/>
      <c r="AC123" s="610"/>
      <c r="AD123" s="610"/>
      <c r="AE123" s="610"/>
      <c r="AF123" s="610"/>
      <c r="AG123" s="610"/>
      <c r="AH123" s="610"/>
      <c r="AI123" s="607"/>
      <c r="AJ123" s="602"/>
      <c r="AK123" s="601"/>
      <c r="AL123" s="601"/>
      <c r="AM123" s="601"/>
      <c r="AN123" s="601"/>
      <c r="AO123" s="601"/>
      <c r="AP123" s="601"/>
      <c r="AR123" s="601"/>
      <c r="AS123" s="601"/>
      <c r="AT123" s="601"/>
      <c r="AU123" s="601"/>
      <c r="AV123" s="601"/>
      <c r="AW123" s="601"/>
      <c r="AX123" s="601"/>
      <c r="AY123" s="601"/>
      <c r="AZ123" s="601"/>
      <c r="BA123" s="601"/>
      <c r="BB123" s="601"/>
      <c r="BC123" s="601"/>
      <c r="BD123" s="601"/>
      <c r="BE123" s="601"/>
      <c r="BF123" s="601"/>
      <c r="BG123" s="601"/>
      <c r="BH123" s="601"/>
      <c r="BI123" s="601"/>
      <c r="BJ123" s="601"/>
      <c r="BK123" s="601"/>
      <c r="BL123" s="603"/>
    </row>
    <row r="124" spans="3:64" s="608" customFormat="1">
      <c r="C124" s="608" t="s">
        <v>36</v>
      </c>
      <c r="D124" s="609"/>
      <c r="E124" s="610"/>
      <c r="F124" s="610"/>
      <c r="G124" s="610"/>
      <c r="H124" s="610"/>
      <c r="I124" s="610"/>
      <c r="J124" s="610"/>
      <c r="K124" s="610"/>
      <c r="L124" s="610"/>
      <c r="M124" s="610"/>
      <c r="N124" s="610"/>
      <c r="O124" s="610"/>
      <c r="P124" s="610"/>
      <c r="Q124" s="610"/>
      <c r="R124" s="610"/>
      <c r="S124" s="610"/>
      <c r="T124" s="610"/>
      <c r="U124" s="610"/>
      <c r="V124" s="610"/>
      <c r="W124" s="610"/>
      <c r="X124" s="610"/>
      <c r="Y124" s="610"/>
      <c r="Z124" s="610"/>
      <c r="AA124" s="610"/>
      <c r="AB124" s="610"/>
      <c r="AC124" s="610"/>
      <c r="AD124" s="610"/>
      <c r="AE124" s="610"/>
      <c r="AF124" s="610"/>
      <c r="AG124" s="610"/>
      <c r="AH124" s="610"/>
      <c r="AI124" s="607"/>
      <c r="AJ124" s="602"/>
      <c r="AK124" s="601"/>
      <c r="AL124" s="601"/>
      <c r="AM124" s="601"/>
      <c r="AN124" s="601"/>
      <c r="AO124" s="601"/>
      <c r="AP124" s="601"/>
      <c r="AR124" s="601"/>
      <c r="AS124" s="601"/>
      <c r="AT124" s="601"/>
      <c r="AU124" s="601"/>
      <c r="AV124" s="601"/>
      <c r="AW124" s="601"/>
      <c r="AX124" s="601"/>
      <c r="AY124" s="601"/>
      <c r="AZ124" s="601"/>
      <c r="BA124" s="601"/>
      <c r="BB124" s="601"/>
      <c r="BC124" s="601"/>
      <c r="BD124" s="601"/>
      <c r="BE124" s="601"/>
      <c r="BF124" s="601"/>
      <c r="BG124" s="601"/>
      <c r="BH124" s="601"/>
      <c r="BI124" s="601"/>
      <c r="BJ124" s="601"/>
      <c r="BK124" s="601"/>
      <c r="BL124" s="603"/>
    </row>
    <row r="125" spans="3:64" s="608" customFormat="1">
      <c r="C125" s="608" t="s">
        <v>37</v>
      </c>
      <c r="D125" s="609"/>
      <c r="E125" s="610"/>
      <c r="F125" s="610"/>
      <c r="G125" s="610"/>
      <c r="H125" s="610"/>
      <c r="I125" s="610"/>
      <c r="J125" s="610"/>
      <c r="K125" s="610"/>
      <c r="L125" s="610"/>
      <c r="M125" s="610"/>
      <c r="N125" s="610"/>
      <c r="O125" s="610"/>
      <c r="P125" s="610"/>
      <c r="Q125" s="610"/>
      <c r="R125" s="610"/>
      <c r="S125" s="610"/>
      <c r="T125" s="610"/>
      <c r="U125" s="610"/>
      <c r="V125" s="610"/>
      <c r="W125" s="610"/>
      <c r="X125" s="610"/>
      <c r="Y125" s="610"/>
      <c r="Z125" s="610"/>
      <c r="AA125" s="610"/>
      <c r="AB125" s="610"/>
      <c r="AC125" s="610"/>
      <c r="AD125" s="610"/>
      <c r="AE125" s="610"/>
      <c r="AF125" s="610"/>
      <c r="AG125" s="610"/>
      <c r="AH125" s="610"/>
      <c r="AI125" s="607"/>
      <c r="AJ125" s="602"/>
      <c r="AK125" s="601"/>
      <c r="AL125" s="601"/>
      <c r="AM125" s="601"/>
      <c r="AN125" s="601"/>
      <c r="AO125" s="601"/>
      <c r="AP125" s="601"/>
      <c r="AR125" s="601"/>
      <c r="AS125" s="601"/>
      <c r="AT125" s="601"/>
      <c r="AU125" s="601"/>
      <c r="AV125" s="601"/>
      <c r="AW125" s="601"/>
      <c r="AX125" s="601"/>
      <c r="AY125" s="601"/>
      <c r="AZ125" s="601"/>
      <c r="BA125" s="601"/>
      <c r="BB125" s="601"/>
      <c r="BC125" s="601"/>
      <c r="BD125" s="601"/>
      <c r="BE125" s="601"/>
      <c r="BF125" s="601"/>
      <c r="BG125" s="601"/>
      <c r="BH125" s="601"/>
      <c r="BI125" s="601"/>
      <c r="BJ125" s="601"/>
      <c r="BK125" s="601"/>
      <c r="BL125" s="603"/>
    </row>
    <row r="126" spans="3:64" s="608" customFormat="1">
      <c r="C126" s="608" t="s">
        <v>38</v>
      </c>
      <c r="D126" s="609"/>
      <c r="E126" s="610"/>
      <c r="F126" s="610"/>
      <c r="G126" s="610"/>
      <c r="H126" s="610"/>
      <c r="I126" s="610"/>
      <c r="J126" s="610"/>
      <c r="K126" s="610"/>
      <c r="L126" s="610"/>
      <c r="M126" s="610"/>
      <c r="N126" s="610"/>
      <c r="O126" s="610"/>
      <c r="P126" s="610"/>
      <c r="Q126" s="610"/>
      <c r="R126" s="610"/>
      <c r="S126" s="610"/>
      <c r="T126" s="610"/>
      <c r="U126" s="610"/>
      <c r="V126" s="610"/>
      <c r="W126" s="610"/>
      <c r="X126" s="610"/>
      <c r="Y126" s="610"/>
      <c r="Z126" s="610"/>
      <c r="AA126" s="610"/>
      <c r="AB126" s="610"/>
      <c r="AC126" s="610"/>
      <c r="AD126" s="610"/>
      <c r="AE126" s="610"/>
      <c r="AF126" s="610"/>
      <c r="AG126" s="610"/>
      <c r="AH126" s="610"/>
      <c r="AI126" s="607"/>
      <c r="AJ126" s="602"/>
      <c r="AK126" s="601"/>
      <c r="AL126" s="601"/>
      <c r="AM126" s="601"/>
      <c r="AN126" s="601"/>
      <c r="AO126" s="601"/>
      <c r="AP126" s="601"/>
      <c r="AR126" s="601"/>
      <c r="AS126" s="601"/>
      <c r="AT126" s="601"/>
      <c r="AU126" s="601"/>
      <c r="AV126" s="601"/>
      <c r="AW126" s="601"/>
      <c r="AX126" s="601"/>
      <c r="AY126" s="601"/>
      <c r="AZ126" s="601"/>
      <c r="BA126" s="601"/>
      <c r="BB126" s="601"/>
      <c r="BC126" s="601"/>
      <c r="BD126" s="601"/>
      <c r="BE126" s="601"/>
      <c r="BF126" s="601"/>
      <c r="BG126" s="601"/>
      <c r="BH126" s="601"/>
      <c r="BI126" s="601"/>
      <c r="BJ126" s="601"/>
      <c r="BK126" s="601"/>
      <c r="BL126" s="603"/>
    </row>
    <row r="127" spans="3:64" s="591" customFormat="1" ht="6" customHeight="1">
      <c r="C127" s="597"/>
      <c r="D127" s="595"/>
      <c r="E127" s="596"/>
      <c r="F127" s="596"/>
      <c r="G127" s="596"/>
      <c r="H127" s="596"/>
      <c r="I127" s="596"/>
      <c r="J127" s="596"/>
      <c r="K127" s="596"/>
      <c r="L127" s="596"/>
      <c r="M127" s="596"/>
      <c r="N127" s="596"/>
      <c r="O127" s="596"/>
      <c r="P127" s="596"/>
      <c r="Q127" s="596"/>
      <c r="R127" s="596"/>
      <c r="S127" s="596"/>
      <c r="T127" s="596"/>
      <c r="U127" s="596"/>
      <c r="V127" s="596"/>
      <c r="W127" s="596"/>
      <c r="X127" s="596"/>
      <c r="Y127" s="596"/>
      <c r="Z127" s="596"/>
      <c r="AA127" s="596"/>
      <c r="AB127" s="596"/>
      <c r="AC127" s="596"/>
      <c r="AD127" s="596"/>
      <c r="AE127" s="596"/>
      <c r="AF127" s="596"/>
      <c r="AG127" s="596"/>
      <c r="AH127" s="596"/>
      <c r="AI127" s="594"/>
      <c r="AJ127" s="592"/>
      <c r="AK127" s="237"/>
      <c r="AL127" s="237"/>
      <c r="AM127" s="237"/>
      <c r="AN127" s="237"/>
      <c r="AO127" s="237"/>
      <c r="AP127" s="237"/>
      <c r="AR127" s="237"/>
      <c r="AS127" s="237"/>
      <c r="AT127" s="237"/>
      <c r="AU127" s="237"/>
      <c r="AV127" s="237"/>
      <c r="AW127" s="237"/>
      <c r="AX127" s="237"/>
      <c r="AY127" s="237"/>
      <c r="AZ127" s="237"/>
      <c r="BA127" s="237"/>
      <c r="BB127" s="237"/>
      <c r="BC127" s="237"/>
      <c r="BD127" s="237"/>
      <c r="BE127" s="237"/>
      <c r="BF127" s="237"/>
      <c r="BG127" s="237"/>
      <c r="BH127" s="237"/>
      <c r="BI127" s="237"/>
      <c r="BJ127" s="237"/>
      <c r="BK127" s="237"/>
      <c r="BL127" s="593"/>
    </row>
    <row r="128" spans="3:64" s="591" customFormat="1" ht="6" customHeight="1">
      <c r="C128" s="597"/>
      <c r="D128" s="595"/>
      <c r="E128" s="596"/>
      <c r="F128" s="596"/>
      <c r="G128" s="596"/>
      <c r="H128" s="596"/>
      <c r="I128" s="596"/>
      <c r="J128" s="596"/>
      <c r="K128" s="596"/>
      <c r="L128" s="596"/>
      <c r="M128" s="596"/>
      <c r="N128" s="596"/>
      <c r="O128" s="596"/>
      <c r="P128" s="596"/>
      <c r="Q128" s="596"/>
      <c r="R128" s="596"/>
      <c r="S128" s="596"/>
      <c r="T128" s="596"/>
      <c r="U128" s="596"/>
      <c r="V128" s="596"/>
      <c r="W128" s="596"/>
      <c r="X128" s="596"/>
      <c r="Y128" s="596"/>
      <c r="Z128" s="596"/>
      <c r="AA128" s="596"/>
      <c r="AB128" s="596"/>
      <c r="AC128" s="596"/>
      <c r="AD128" s="596"/>
      <c r="AE128" s="596"/>
      <c r="AF128" s="596"/>
      <c r="AG128" s="596"/>
      <c r="AH128" s="596"/>
      <c r="AI128" s="594"/>
      <c r="AJ128" s="592"/>
      <c r="AK128" s="237"/>
      <c r="AL128" s="237"/>
      <c r="AM128" s="237"/>
      <c r="AN128" s="237"/>
      <c r="AO128" s="237"/>
      <c r="AP128" s="237"/>
      <c r="AR128" s="237"/>
      <c r="AS128" s="237"/>
      <c r="AT128" s="237"/>
      <c r="AU128" s="237"/>
      <c r="AV128" s="237"/>
      <c r="AW128" s="237"/>
      <c r="AX128" s="237"/>
      <c r="AY128" s="237"/>
      <c r="AZ128" s="237"/>
      <c r="BA128" s="237"/>
      <c r="BB128" s="237"/>
      <c r="BC128" s="237"/>
      <c r="BD128" s="237"/>
      <c r="BE128" s="237"/>
      <c r="BF128" s="237"/>
      <c r="BG128" s="237"/>
      <c r="BH128" s="237"/>
      <c r="BI128" s="237"/>
      <c r="BJ128" s="237"/>
      <c r="BK128" s="237"/>
      <c r="BL128" s="593"/>
    </row>
    <row r="129" spans="3:64" s="608" customFormat="1">
      <c r="C129" s="608" t="s">
        <v>87</v>
      </c>
      <c r="D129" s="609"/>
      <c r="E129" s="610"/>
      <c r="F129" s="610"/>
      <c r="G129" s="610"/>
      <c r="H129" s="610"/>
      <c r="I129" s="610"/>
      <c r="J129" s="610"/>
      <c r="K129" s="610"/>
      <c r="L129" s="610"/>
      <c r="M129" s="610"/>
      <c r="N129" s="610"/>
      <c r="O129" s="610"/>
      <c r="P129" s="610"/>
      <c r="Q129" s="610"/>
      <c r="R129" s="610"/>
      <c r="S129" s="610"/>
      <c r="T129" s="610"/>
      <c r="U129" s="610"/>
      <c r="V129" s="610"/>
      <c r="W129" s="610"/>
      <c r="X129" s="610"/>
      <c r="Y129" s="610"/>
      <c r="Z129" s="610"/>
      <c r="AA129" s="610"/>
      <c r="AB129" s="610"/>
      <c r="AC129" s="610"/>
      <c r="AD129" s="610"/>
      <c r="AE129" s="610"/>
      <c r="AF129" s="610"/>
      <c r="AG129" s="610"/>
      <c r="AH129" s="610"/>
      <c r="AI129" s="607"/>
      <c r="AJ129" s="602"/>
      <c r="AK129" s="601"/>
      <c r="AL129" s="601"/>
      <c r="AM129" s="601"/>
      <c r="AN129" s="601"/>
      <c r="AO129" s="601"/>
      <c r="AP129" s="601"/>
      <c r="AR129" s="601"/>
      <c r="AS129" s="601"/>
      <c r="AT129" s="601"/>
      <c r="AU129" s="601"/>
      <c r="AV129" s="601"/>
      <c r="AW129" s="601"/>
      <c r="AX129" s="601"/>
      <c r="AY129" s="601"/>
      <c r="AZ129" s="601"/>
      <c r="BA129" s="601"/>
      <c r="BB129" s="601"/>
      <c r="BC129" s="601"/>
      <c r="BD129" s="601"/>
      <c r="BE129" s="601"/>
      <c r="BF129" s="601"/>
      <c r="BG129" s="601"/>
      <c r="BH129" s="601"/>
      <c r="BI129" s="601"/>
      <c r="BJ129" s="601"/>
      <c r="BK129" s="601"/>
      <c r="BL129" s="603"/>
    </row>
    <row r="130" spans="3:64" s="608" customFormat="1">
      <c r="C130" s="608" t="s">
        <v>91</v>
      </c>
      <c r="D130" s="609"/>
      <c r="E130" s="610"/>
      <c r="F130" s="610"/>
      <c r="G130" s="610"/>
      <c r="H130" s="610"/>
      <c r="I130" s="610"/>
      <c r="J130" s="610"/>
      <c r="K130" s="610"/>
      <c r="L130" s="610"/>
      <c r="M130" s="610"/>
      <c r="N130" s="610"/>
      <c r="O130" s="610"/>
      <c r="P130" s="610"/>
      <c r="Q130" s="610"/>
      <c r="R130" s="610"/>
      <c r="S130" s="610"/>
      <c r="T130" s="610"/>
      <c r="U130" s="610"/>
      <c r="V130" s="610"/>
      <c r="W130" s="610"/>
      <c r="X130" s="610"/>
      <c r="Y130" s="610"/>
      <c r="Z130" s="610"/>
      <c r="AA130" s="610"/>
      <c r="AB130" s="610"/>
      <c r="AC130" s="610"/>
      <c r="AD130" s="610"/>
      <c r="AE130" s="610"/>
      <c r="AF130" s="610"/>
      <c r="AG130" s="610"/>
      <c r="AH130" s="610"/>
      <c r="AI130" s="607"/>
      <c r="AJ130" s="602"/>
      <c r="AK130" s="601"/>
      <c r="AL130" s="601"/>
      <c r="AM130" s="601"/>
      <c r="AN130" s="601"/>
      <c r="AO130" s="601"/>
      <c r="AP130" s="601"/>
      <c r="AR130" s="601"/>
      <c r="AS130" s="601"/>
      <c r="AT130" s="601"/>
      <c r="AU130" s="601"/>
      <c r="AV130" s="601"/>
      <c r="AW130" s="601"/>
      <c r="AX130" s="601"/>
      <c r="AY130" s="601"/>
      <c r="AZ130" s="601"/>
      <c r="BA130" s="601"/>
      <c r="BB130" s="601"/>
      <c r="BC130" s="601"/>
      <c r="BD130" s="601"/>
      <c r="BE130" s="601"/>
      <c r="BF130" s="601"/>
      <c r="BG130" s="601"/>
      <c r="BH130" s="601"/>
      <c r="BI130" s="601"/>
      <c r="BJ130" s="601"/>
      <c r="BK130" s="601"/>
      <c r="BL130" s="603"/>
    </row>
    <row r="131" spans="3:64" s="608" customFormat="1" ht="6" customHeight="1">
      <c r="C131" s="611"/>
      <c r="D131" s="609"/>
      <c r="E131" s="610"/>
      <c r="F131" s="610"/>
      <c r="G131" s="610"/>
      <c r="H131" s="610"/>
      <c r="I131" s="610"/>
      <c r="J131" s="610"/>
      <c r="K131" s="610"/>
      <c r="L131" s="610"/>
      <c r="M131" s="610"/>
      <c r="N131" s="610"/>
      <c r="O131" s="610"/>
      <c r="P131" s="610"/>
      <c r="Q131" s="610"/>
      <c r="R131" s="610"/>
      <c r="S131" s="610"/>
      <c r="T131" s="610"/>
      <c r="U131" s="610"/>
      <c r="V131" s="610"/>
      <c r="W131" s="610"/>
      <c r="X131" s="610"/>
      <c r="Y131" s="610"/>
      <c r="Z131" s="610"/>
      <c r="AA131" s="610"/>
      <c r="AB131" s="610"/>
      <c r="AC131" s="610"/>
      <c r="AD131" s="610"/>
      <c r="AE131" s="610"/>
      <c r="AF131" s="610"/>
      <c r="AG131" s="610"/>
      <c r="AH131" s="610"/>
      <c r="AI131" s="607"/>
      <c r="AJ131" s="602"/>
      <c r="AK131" s="601"/>
      <c r="AL131" s="601"/>
      <c r="AM131" s="601"/>
      <c r="AN131" s="601"/>
      <c r="AO131" s="601"/>
      <c r="AP131" s="601"/>
      <c r="AR131" s="601"/>
      <c r="AS131" s="601"/>
      <c r="AT131" s="601"/>
      <c r="AU131" s="601"/>
      <c r="AV131" s="601"/>
      <c r="AW131" s="601"/>
      <c r="AX131" s="601"/>
      <c r="AY131" s="601"/>
      <c r="AZ131" s="601"/>
      <c r="BA131" s="601"/>
      <c r="BB131" s="601"/>
      <c r="BC131" s="601"/>
      <c r="BD131" s="601"/>
      <c r="BE131" s="601"/>
      <c r="BF131" s="601"/>
      <c r="BG131" s="601"/>
      <c r="BH131" s="601"/>
      <c r="BI131" s="601"/>
      <c r="BJ131" s="601"/>
      <c r="BK131" s="601"/>
      <c r="BL131" s="603"/>
    </row>
    <row r="132" spans="3:64" s="608" customFormat="1">
      <c r="C132" s="608" t="s">
        <v>72</v>
      </c>
      <c r="D132" s="609"/>
      <c r="E132" s="610"/>
      <c r="F132" s="610"/>
      <c r="G132" s="610"/>
      <c r="H132" s="610"/>
      <c r="I132" s="610"/>
      <c r="J132" s="610"/>
      <c r="K132" s="610"/>
      <c r="L132" s="610"/>
      <c r="M132" s="610"/>
      <c r="N132" s="610"/>
      <c r="O132" s="610"/>
      <c r="P132" s="610"/>
      <c r="Q132" s="610"/>
      <c r="R132" s="610"/>
      <c r="S132" s="610"/>
      <c r="T132" s="610"/>
      <c r="U132" s="610"/>
      <c r="V132" s="610"/>
      <c r="W132" s="610"/>
      <c r="X132" s="610"/>
      <c r="Y132" s="610"/>
      <c r="Z132" s="610"/>
      <c r="AA132" s="610"/>
      <c r="AB132" s="610"/>
      <c r="AC132" s="610"/>
      <c r="AD132" s="610"/>
      <c r="AE132" s="610"/>
      <c r="AF132" s="610"/>
      <c r="AG132" s="610"/>
      <c r="AH132" s="610"/>
      <c r="AI132" s="607"/>
      <c r="AJ132" s="602"/>
      <c r="AK132" s="601"/>
      <c r="AL132" s="601"/>
      <c r="AM132" s="601"/>
      <c r="AN132" s="601"/>
      <c r="AO132" s="601"/>
      <c r="AP132" s="601"/>
      <c r="AR132" s="601"/>
      <c r="AS132" s="601"/>
      <c r="AT132" s="601"/>
      <c r="AU132" s="601"/>
      <c r="AV132" s="601"/>
      <c r="AW132" s="601"/>
      <c r="AX132" s="601"/>
      <c r="AY132" s="601"/>
      <c r="AZ132" s="601"/>
      <c r="BA132" s="601"/>
      <c r="BB132" s="601"/>
      <c r="BC132" s="601"/>
      <c r="BD132" s="601"/>
      <c r="BE132" s="601"/>
      <c r="BF132" s="601"/>
      <c r="BG132" s="601"/>
      <c r="BH132" s="601"/>
      <c r="BI132" s="601"/>
      <c r="BJ132" s="601"/>
      <c r="BK132" s="601"/>
      <c r="BL132" s="603"/>
    </row>
    <row r="133" spans="3:64" s="608" customFormat="1">
      <c r="C133" s="608" t="s">
        <v>73</v>
      </c>
      <c r="D133" s="609"/>
      <c r="E133" s="610"/>
      <c r="F133" s="610"/>
      <c r="G133" s="610"/>
      <c r="H133" s="610"/>
      <c r="I133" s="610"/>
      <c r="J133" s="610"/>
      <c r="K133" s="610"/>
      <c r="L133" s="610"/>
      <c r="M133" s="610"/>
      <c r="N133" s="610"/>
      <c r="O133" s="610"/>
      <c r="P133" s="610"/>
      <c r="Q133" s="610"/>
      <c r="R133" s="610"/>
      <c r="S133" s="610"/>
      <c r="T133" s="610"/>
      <c r="U133" s="610"/>
      <c r="V133" s="610"/>
      <c r="W133" s="610"/>
      <c r="X133" s="610"/>
      <c r="Y133" s="610"/>
      <c r="Z133" s="610"/>
      <c r="AA133" s="610"/>
      <c r="AB133" s="610"/>
      <c r="AC133" s="610"/>
      <c r="AD133" s="610"/>
      <c r="AE133" s="610"/>
      <c r="AF133" s="610"/>
      <c r="AG133" s="610"/>
      <c r="AH133" s="610"/>
      <c r="AI133" s="607"/>
      <c r="AJ133" s="602"/>
      <c r="AK133" s="601"/>
      <c r="AL133" s="601"/>
      <c r="AM133" s="601"/>
      <c r="AN133" s="601"/>
      <c r="AO133" s="601"/>
      <c r="AP133" s="601"/>
      <c r="AR133" s="601"/>
      <c r="AS133" s="601"/>
      <c r="AT133" s="601"/>
      <c r="AU133" s="601"/>
      <c r="AV133" s="601"/>
      <c r="AW133" s="601"/>
      <c r="AX133" s="601"/>
      <c r="AY133" s="601"/>
      <c r="AZ133" s="601"/>
      <c r="BA133" s="601"/>
      <c r="BB133" s="601"/>
      <c r="BC133" s="601"/>
      <c r="BD133" s="601"/>
      <c r="BE133" s="601"/>
      <c r="BF133" s="601"/>
      <c r="BG133" s="601"/>
      <c r="BH133" s="601"/>
      <c r="BI133" s="601"/>
      <c r="BJ133" s="601"/>
      <c r="BK133" s="601"/>
      <c r="BL133" s="603"/>
    </row>
    <row r="134" spans="3:64" s="608" customFormat="1" ht="6" customHeight="1">
      <c r="C134" s="611"/>
      <c r="D134" s="609"/>
      <c r="E134" s="610"/>
      <c r="F134" s="610"/>
      <c r="G134" s="610"/>
      <c r="H134" s="610"/>
      <c r="I134" s="610"/>
      <c r="J134" s="610"/>
      <c r="K134" s="610"/>
      <c r="L134" s="610"/>
      <c r="M134" s="610"/>
      <c r="N134" s="610"/>
      <c r="O134" s="610"/>
      <c r="P134" s="610"/>
      <c r="Q134" s="610"/>
      <c r="R134" s="610"/>
      <c r="S134" s="610"/>
      <c r="T134" s="610"/>
      <c r="U134" s="610"/>
      <c r="V134" s="610"/>
      <c r="W134" s="610"/>
      <c r="X134" s="610"/>
      <c r="Y134" s="610"/>
      <c r="Z134" s="610"/>
      <c r="AA134" s="610"/>
      <c r="AB134" s="610"/>
      <c r="AC134" s="610"/>
      <c r="AD134" s="610"/>
      <c r="AE134" s="610"/>
      <c r="AF134" s="610"/>
      <c r="AG134" s="610"/>
      <c r="AH134" s="610"/>
      <c r="AI134" s="607"/>
      <c r="AJ134" s="602"/>
      <c r="AK134" s="601"/>
      <c r="AL134" s="601"/>
      <c r="AM134" s="601"/>
      <c r="AN134" s="601"/>
      <c r="AO134" s="601"/>
      <c r="AP134" s="601"/>
      <c r="AR134" s="601"/>
      <c r="AS134" s="601"/>
      <c r="AT134" s="601"/>
      <c r="AU134" s="601"/>
      <c r="AV134" s="601"/>
      <c r="AW134" s="601"/>
      <c r="AX134" s="601"/>
      <c r="AY134" s="601"/>
      <c r="AZ134" s="601"/>
      <c r="BA134" s="601"/>
      <c r="BB134" s="601"/>
      <c r="BC134" s="601"/>
      <c r="BD134" s="601"/>
      <c r="BE134" s="601"/>
      <c r="BF134" s="601"/>
      <c r="BG134" s="601"/>
      <c r="BH134" s="601"/>
      <c r="BI134" s="601"/>
      <c r="BJ134" s="601"/>
      <c r="BK134" s="601"/>
      <c r="BL134" s="603"/>
    </row>
    <row r="135" spans="3:64" s="608" customFormat="1">
      <c r="C135" s="611" t="s">
        <v>80</v>
      </c>
      <c r="D135" s="609"/>
      <c r="E135" s="610"/>
      <c r="F135" s="610"/>
      <c r="G135" s="610"/>
      <c r="H135" s="610"/>
      <c r="I135" s="610"/>
      <c r="J135" s="610"/>
      <c r="K135" s="610"/>
      <c r="L135" s="610"/>
      <c r="M135" s="610"/>
      <c r="N135" s="610"/>
      <c r="O135" s="610"/>
      <c r="P135" s="610"/>
      <c r="Q135" s="610"/>
      <c r="R135" s="610"/>
      <c r="S135" s="610"/>
      <c r="T135" s="610"/>
      <c r="U135" s="610"/>
      <c r="V135" s="610"/>
      <c r="W135" s="610"/>
      <c r="X135" s="610"/>
      <c r="Y135" s="610"/>
      <c r="Z135" s="610"/>
      <c r="AA135" s="610"/>
      <c r="AB135" s="610"/>
      <c r="AC135" s="610"/>
      <c r="AD135" s="610"/>
      <c r="AE135" s="610"/>
      <c r="AF135" s="610"/>
      <c r="AG135" s="610"/>
      <c r="AH135" s="610"/>
      <c r="AI135" s="607"/>
      <c r="AJ135" s="602"/>
      <c r="AK135" s="601"/>
      <c r="AL135" s="601"/>
      <c r="AM135" s="601"/>
      <c r="AN135" s="601"/>
      <c r="AO135" s="601"/>
      <c r="AP135" s="601"/>
      <c r="AR135" s="601"/>
      <c r="AS135" s="601"/>
      <c r="AT135" s="601"/>
      <c r="AU135" s="601"/>
      <c r="AV135" s="601"/>
      <c r="AW135" s="601"/>
      <c r="AX135" s="601"/>
      <c r="AY135" s="601"/>
      <c r="AZ135" s="601"/>
      <c r="BA135" s="601"/>
      <c r="BB135" s="601"/>
      <c r="BC135" s="601"/>
      <c r="BD135" s="601"/>
      <c r="BE135" s="601"/>
      <c r="BF135" s="601"/>
      <c r="BG135" s="601"/>
      <c r="BH135" s="601"/>
      <c r="BI135" s="601"/>
      <c r="BJ135" s="601"/>
      <c r="BK135" s="601"/>
      <c r="BL135" s="603"/>
    </row>
    <row r="136" spans="3:64" s="608" customFormat="1">
      <c r="C136" s="608" t="s">
        <v>71</v>
      </c>
      <c r="D136" s="609"/>
      <c r="E136" s="610"/>
      <c r="F136" s="610"/>
      <c r="G136" s="610"/>
      <c r="H136" s="610"/>
      <c r="I136" s="610"/>
      <c r="J136" s="610"/>
      <c r="K136" s="610"/>
      <c r="L136" s="610"/>
      <c r="M136" s="610"/>
      <c r="N136" s="610"/>
      <c r="O136" s="610"/>
      <c r="P136" s="610"/>
      <c r="Q136" s="610"/>
      <c r="R136" s="610"/>
      <c r="S136" s="610"/>
      <c r="T136" s="610"/>
      <c r="U136" s="610"/>
      <c r="V136" s="610"/>
      <c r="W136" s="610"/>
      <c r="X136" s="610"/>
      <c r="Y136" s="610"/>
      <c r="Z136" s="610"/>
      <c r="AA136" s="610"/>
      <c r="AB136" s="610"/>
      <c r="AC136" s="610"/>
      <c r="AD136" s="610"/>
      <c r="AE136" s="610"/>
      <c r="AF136" s="610"/>
      <c r="AG136" s="610"/>
      <c r="AH136" s="610"/>
      <c r="AI136" s="607"/>
      <c r="AJ136" s="602"/>
      <c r="AK136" s="601"/>
      <c r="AL136" s="601"/>
      <c r="AM136" s="601"/>
      <c r="AN136" s="601"/>
      <c r="AO136" s="601"/>
      <c r="AP136" s="601"/>
      <c r="AR136" s="601"/>
      <c r="AS136" s="601"/>
      <c r="AT136" s="601"/>
      <c r="AU136" s="601"/>
      <c r="AV136" s="601"/>
      <c r="AW136" s="601"/>
      <c r="AX136" s="601"/>
      <c r="AY136" s="601"/>
      <c r="AZ136" s="601"/>
      <c r="BA136" s="601"/>
      <c r="BB136" s="601"/>
      <c r="BC136" s="601"/>
      <c r="BD136" s="601"/>
      <c r="BE136" s="601"/>
      <c r="BF136" s="601"/>
      <c r="BG136" s="601"/>
      <c r="BH136" s="601"/>
      <c r="BI136" s="601"/>
      <c r="BJ136" s="601"/>
      <c r="BK136" s="601"/>
      <c r="BL136" s="603"/>
    </row>
    <row r="137" spans="3:64" s="608" customFormat="1" ht="6" customHeight="1">
      <c r="C137" s="611"/>
      <c r="D137" s="609"/>
      <c r="E137" s="610"/>
      <c r="F137" s="610"/>
      <c r="G137" s="610"/>
      <c r="H137" s="610"/>
      <c r="I137" s="610"/>
      <c r="J137" s="610"/>
      <c r="K137" s="610"/>
      <c r="L137" s="610"/>
      <c r="M137" s="610"/>
      <c r="N137" s="610"/>
      <c r="O137" s="610"/>
      <c r="P137" s="610"/>
      <c r="Q137" s="610"/>
      <c r="R137" s="610"/>
      <c r="S137" s="610"/>
      <c r="T137" s="610"/>
      <c r="U137" s="610"/>
      <c r="V137" s="610"/>
      <c r="W137" s="610"/>
      <c r="X137" s="610"/>
      <c r="Y137" s="610"/>
      <c r="Z137" s="610"/>
      <c r="AA137" s="610"/>
      <c r="AB137" s="610"/>
      <c r="AC137" s="610"/>
      <c r="AD137" s="610"/>
      <c r="AE137" s="610"/>
      <c r="AF137" s="610"/>
      <c r="AG137" s="610"/>
      <c r="AH137" s="610"/>
      <c r="AI137" s="607"/>
      <c r="AJ137" s="602"/>
      <c r="AK137" s="601"/>
      <c r="AL137" s="601"/>
      <c r="AM137" s="601"/>
      <c r="AN137" s="601"/>
      <c r="AO137" s="601"/>
      <c r="AP137" s="601"/>
      <c r="AR137" s="601"/>
      <c r="AS137" s="601"/>
      <c r="AT137" s="601"/>
      <c r="AU137" s="601"/>
      <c r="AV137" s="601"/>
      <c r="AW137" s="601"/>
      <c r="AX137" s="601"/>
      <c r="AY137" s="601"/>
      <c r="AZ137" s="601"/>
      <c r="BA137" s="601"/>
      <c r="BB137" s="601"/>
      <c r="BC137" s="601"/>
      <c r="BD137" s="601"/>
      <c r="BE137" s="601"/>
      <c r="BF137" s="601"/>
      <c r="BG137" s="601"/>
      <c r="BH137" s="601"/>
      <c r="BI137" s="601"/>
      <c r="BJ137" s="601"/>
      <c r="BK137" s="601"/>
      <c r="BL137" s="603"/>
    </row>
    <row r="138" spans="3:64" s="608" customFormat="1">
      <c r="C138" s="608" t="s">
        <v>82</v>
      </c>
      <c r="D138" s="609"/>
      <c r="E138" s="610"/>
      <c r="F138" s="610"/>
      <c r="G138" s="610"/>
      <c r="H138" s="610"/>
      <c r="I138" s="610"/>
      <c r="J138" s="610"/>
      <c r="K138" s="610"/>
      <c r="L138" s="610"/>
      <c r="M138" s="610"/>
      <c r="N138" s="610"/>
      <c r="O138" s="610"/>
      <c r="P138" s="610"/>
      <c r="Q138" s="610"/>
      <c r="R138" s="610"/>
      <c r="S138" s="610"/>
      <c r="T138" s="610"/>
      <c r="U138" s="610"/>
      <c r="V138" s="610"/>
      <c r="W138" s="610"/>
      <c r="X138" s="610"/>
      <c r="Y138" s="610"/>
      <c r="Z138" s="610"/>
      <c r="AA138" s="610"/>
      <c r="AB138" s="610"/>
      <c r="AC138" s="610"/>
      <c r="AD138" s="610"/>
      <c r="AE138" s="610"/>
      <c r="AF138" s="610"/>
      <c r="AG138" s="610"/>
      <c r="AH138" s="610"/>
      <c r="AI138" s="607"/>
      <c r="AJ138" s="602"/>
      <c r="AK138" s="601"/>
      <c r="AL138" s="601"/>
      <c r="AM138" s="601"/>
      <c r="AN138" s="601"/>
      <c r="AO138" s="601"/>
      <c r="AP138" s="601"/>
      <c r="AR138" s="601"/>
      <c r="AS138" s="601"/>
      <c r="AT138" s="601"/>
      <c r="AU138" s="601"/>
      <c r="AV138" s="601"/>
      <c r="AW138" s="601"/>
      <c r="AX138" s="601"/>
      <c r="AY138" s="601"/>
      <c r="AZ138" s="601"/>
      <c r="BA138" s="601"/>
      <c r="BB138" s="601"/>
      <c r="BC138" s="601"/>
      <c r="BD138" s="601"/>
      <c r="BE138" s="601"/>
      <c r="BF138" s="601"/>
      <c r="BG138" s="601"/>
      <c r="BH138" s="601"/>
      <c r="BI138" s="601"/>
      <c r="BJ138" s="601"/>
      <c r="BK138" s="601"/>
      <c r="BL138" s="603"/>
    </row>
    <row r="139" spans="3:64" s="608" customFormat="1">
      <c r="C139" s="608" t="s">
        <v>83</v>
      </c>
      <c r="D139" s="609"/>
      <c r="E139" s="610"/>
      <c r="F139" s="610"/>
      <c r="G139" s="610"/>
      <c r="H139" s="610"/>
      <c r="I139" s="610"/>
      <c r="J139" s="610"/>
      <c r="K139" s="610"/>
      <c r="L139" s="610"/>
      <c r="M139" s="610"/>
      <c r="N139" s="610"/>
      <c r="O139" s="610"/>
      <c r="P139" s="610"/>
      <c r="Q139" s="610"/>
      <c r="R139" s="610"/>
      <c r="S139" s="610"/>
      <c r="T139" s="610"/>
      <c r="U139" s="610"/>
      <c r="V139" s="610"/>
      <c r="W139" s="610"/>
      <c r="X139" s="610"/>
      <c r="Y139" s="610"/>
      <c r="Z139" s="610"/>
      <c r="AA139" s="610"/>
      <c r="AB139" s="610"/>
      <c r="AC139" s="610"/>
      <c r="AD139" s="610"/>
      <c r="AE139" s="610"/>
      <c r="AF139" s="610"/>
      <c r="AG139" s="610"/>
      <c r="AH139" s="610"/>
      <c r="AI139" s="607"/>
      <c r="AJ139" s="602"/>
      <c r="AK139" s="601"/>
      <c r="AL139" s="601"/>
      <c r="AM139" s="601"/>
      <c r="AN139" s="601"/>
      <c r="AO139" s="601"/>
      <c r="AP139" s="601"/>
      <c r="AR139" s="601"/>
      <c r="AS139" s="601"/>
      <c r="AT139" s="601"/>
      <c r="AU139" s="601"/>
      <c r="AV139" s="601"/>
      <c r="AW139" s="601"/>
      <c r="AX139" s="601"/>
      <c r="AY139" s="601"/>
      <c r="AZ139" s="601"/>
      <c r="BA139" s="601"/>
      <c r="BB139" s="601"/>
      <c r="BC139" s="601"/>
      <c r="BD139" s="601"/>
      <c r="BE139" s="601"/>
      <c r="BF139" s="601"/>
      <c r="BG139" s="601"/>
      <c r="BH139" s="601"/>
      <c r="BI139" s="601"/>
      <c r="BJ139" s="601"/>
      <c r="BK139" s="601"/>
      <c r="BL139" s="603"/>
    </row>
    <row r="140" spans="3:64" s="591" customFormat="1" ht="6" customHeight="1">
      <c r="C140" s="597"/>
      <c r="D140" s="595"/>
      <c r="E140" s="596"/>
      <c r="F140" s="596"/>
      <c r="G140" s="596"/>
      <c r="H140" s="596"/>
      <c r="I140" s="596"/>
      <c r="J140" s="596"/>
      <c r="K140" s="596"/>
      <c r="L140" s="596"/>
      <c r="M140" s="596"/>
      <c r="N140" s="596"/>
      <c r="O140" s="596"/>
      <c r="P140" s="596"/>
      <c r="Q140" s="596"/>
      <c r="R140" s="596"/>
      <c r="S140" s="596"/>
      <c r="T140" s="596"/>
      <c r="U140" s="596"/>
      <c r="V140" s="596"/>
      <c r="W140" s="596"/>
      <c r="X140" s="596"/>
      <c r="Y140" s="596"/>
      <c r="Z140" s="596"/>
      <c r="AA140" s="596"/>
      <c r="AB140" s="596"/>
      <c r="AC140" s="596"/>
      <c r="AD140" s="596"/>
      <c r="AE140" s="596"/>
      <c r="AF140" s="596"/>
      <c r="AG140" s="596"/>
      <c r="AH140" s="596"/>
      <c r="AI140" s="594"/>
      <c r="AJ140" s="592"/>
      <c r="AK140" s="237"/>
      <c r="AL140" s="237"/>
      <c r="AM140" s="237"/>
      <c r="AN140" s="237"/>
      <c r="AO140" s="237"/>
      <c r="AP140" s="237"/>
      <c r="AR140" s="237"/>
      <c r="AS140" s="237"/>
      <c r="AT140" s="237"/>
      <c r="AU140" s="237"/>
      <c r="AV140" s="237"/>
      <c r="AW140" s="237"/>
      <c r="AX140" s="237"/>
      <c r="AY140" s="237"/>
      <c r="AZ140" s="237"/>
      <c r="BA140" s="237"/>
      <c r="BB140" s="237"/>
      <c r="BC140" s="237"/>
      <c r="BD140" s="237"/>
      <c r="BE140" s="237"/>
      <c r="BF140" s="237"/>
      <c r="BG140" s="237"/>
      <c r="BH140" s="237"/>
      <c r="BI140" s="237"/>
      <c r="BJ140" s="237"/>
      <c r="BK140" s="237"/>
      <c r="BL140" s="593"/>
    </row>
    <row r="141" spans="3:64" s="608" customFormat="1">
      <c r="C141" s="608" t="s">
        <v>509</v>
      </c>
      <c r="D141" s="609"/>
      <c r="E141" s="610"/>
      <c r="F141" s="610"/>
      <c r="G141" s="610"/>
      <c r="H141" s="610"/>
      <c r="I141" s="610"/>
      <c r="J141" s="610"/>
      <c r="K141" s="610"/>
      <c r="L141" s="610"/>
      <c r="M141" s="610"/>
      <c r="N141" s="610"/>
      <c r="O141" s="610"/>
      <c r="P141" s="610"/>
      <c r="Q141" s="610"/>
      <c r="R141" s="610"/>
      <c r="S141" s="610"/>
      <c r="T141" s="610"/>
      <c r="U141" s="610"/>
      <c r="V141" s="610"/>
      <c r="W141" s="610"/>
      <c r="X141" s="610"/>
      <c r="Y141" s="610"/>
      <c r="Z141" s="610"/>
      <c r="AA141" s="610"/>
      <c r="AB141" s="610"/>
      <c r="AC141" s="610"/>
      <c r="AD141" s="610"/>
      <c r="AE141" s="610"/>
      <c r="AF141" s="610"/>
      <c r="AG141" s="610"/>
      <c r="AH141" s="610"/>
      <c r="AI141" s="607"/>
      <c r="AJ141" s="602"/>
      <c r="AK141" s="601"/>
      <c r="AL141" s="601"/>
      <c r="AM141" s="601"/>
      <c r="AN141" s="601"/>
      <c r="AO141" s="601"/>
      <c r="AP141" s="601"/>
      <c r="AR141" s="601"/>
      <c r="AS141" s="601"/>
      <c r="AT141" s="601"/>
      <c r="AU141" s="601"/>
      <c r="AV141" s="601"/>
      <c r="AW141" s="601"/>
      <c r="AX141" s="601"/>
      <c r="AY141" s="601"/>
      <c r="AZ141" s="601"/>
      <c r="BA141" s="601"/>
      <c r="BB141" s="601"/>
      <c r="BC141" s="601"/>
      <c r="BD141" s="601"/>
      <c r="BE141" s="601"/>
      <c r="BF141" s="601"/>
      <c r="BG141" s="601"/>
      <c r="BH141" s="601"/>
      <c r="BI141" s="601"/>
      <c r="BJ141" s="601"/>
      <c r="BK141" s="601"/>
      <c r="BL141" s="603"/>
    </row>
    <row r="142" spans="3:64" s="591" customFormat="1">
      <c r="C142" s="608" t="s">
        <v>510</v>
      </c>
      <c r="D142" s="595"/>
      <c r="E142" s="596"/>
      <c r="F142" s="596"/>
      <c r="G142" s="596"/>
      <c r="H142" s="596"/>
      <c r="I142" s="596"/>
      <c r="J142" s="596"/>
      <c r="K142" s="596"/>
      <c r="L142" s="596"/>
      <c r="M142" s="596"/>
      <c r="N142" s="596"/>
      <c r="O142" s="596"/>
      <c r="P142" s="596"/>
      <c r="Q142" s="596"/>
      <c r="R142" s="596"/>
      <c r="S142" s="596"/>
      <c r="T142" s="596"/>
      <c r="U142" s="596"/>
      <c r="V142" s="596"/>
      <c r="W142" s="596"/>
      <c r="X142" s="596"/>
      <c r="Y142" s="596"/>
      <c r="Z142" s="596"/>
      <c r="AA142" s="596"/>
      <c r="AB142" s="596"/>
      <c r="AC142" s="596"/>
      <c r="AD142" s="596"/>
      <c r="AE142" s="596"/>
      <c r="AF142" s="596"/>
      <c r="AG142" s="596"/>
      <c r="AH142" s="596"/>
      <c r="AI142" s="594"/>
      <c r="AJ142" s="592"/>
      <c r="AK142" s="237"/>
      <c r="AL142" s="237"/>
      <c r="AM142" s="237"/>
      <c r="AN142" s="237"/>
      <c r="AO142" s="237"/>
      <c r="AP142" s="237"/>
      <c r="AR142" s="237"/>
      <c r="AS142" s="237"/>
      <c r="AT142" s="237"/>
      <c r="AU142" s="237"/>
      <c r="AV142" s="237"/>
      <c r="AW142" s="237"/>
      <c r="AX142" s="237"/>
      <c r="AY142" s="237"/>
      <c r="AZ142" s="237"/>
      <c r="BA142" s="237"/>
      <c r="BB142" s="237"/>
      <c r="BC142" s="237"/>
      <c r="BD142" s="237"/>
      <c r="BE142" s="237"/>
      <c r="BF142" s="237"/>
      <c r="BG142" s="237"/>
      <c r="BH142" s="237"/>
      <c r="BI142" s="237"/>
      <c r="BJ142" s="237"/>
      <c r="BK142" s="237"/>
      <c r="BL142" s="593"/>
    </row>
    <row r="143" spans="3:64" s="591" customFormat="1" ht="6" customHeight="1">
      <c r="C143" s="597"/>
      <c r="D143" s="595"/>
      <c r="E143" s="596"/>
      <c r="F143" s="596"/>
      <c r="G143" s="596"/>
      <c r="H143" s="596"/>
      <c r="I143" s="596"/>
      <c r="J143" s="596"/>
      <c r="K143" s="596"/>
      <c r="L143" s="596"/>
      <c r="M143" s="596"/>
      <c r="N143" s="596"/>
      <c r="O143" s="596"/>
      <c r="P143" s="596"/>
      <c r="Q143" s="596"/>
      <c r="R143" s="596"/>
      <c r="S143" s="596"/>
      <c r="T143" s="596"/>
      <c r="U143" s="596"/>
      <c r="V143" s="596"/>
      <c r="W143" s="596"/>
      <c r="X143" s="596"/>
      <c r="Y143" s="596"/>
      <c r="Z143" s="596"/>
      <c r="AA143" s="596"/>
      <c r="AB143" s="596"/>
      <c r="AC143" s="596"/>
      <c r="AD143" s="596"/>
      <c r="AE143" s="596"/>
      <c r="AF143" s="596"/>
      <c r="AG143" s="596"/>
      <c r="AH143" s="596"/>
      <c r="AI143" s="594"/>
      <c r="AJ143" s="592"/>
      <c r="AK143" s="237"/>
      <c r="AL143" s="237"/>
      <c r="AM143" s="237"/>
      <c r="AN143" s="237"/>
      <c r="AO143" s="237"/>
      <c r="AP143" s="237"/>
      <c r="AR143" s="237"/>
      <c r="AS143" s="237"/>
      <c r="AT143" s="237"/>
      <c r="AU143" s="237"/>
      <c r="AV143" s="237"/>
      <c r="AW143" s="237"/>
      <c r="AX143" s="237"/>
      <c r="AY143" s="237"/>
      <c r="AZ143" s="237"/>
      <c r="BA143" s="237"/>
      <c r="BB143" s="237"/>
      <c r="BC143" s="237"/>
      <c r="BD143" s="237"/>
      <c r="BE143" s="237"/>
      <c r="BF143" s="237"/>
      <c r="BG143" s="237"/>
      <c r="BH143" s="237"/>
      <c r="BI143" s="237"/>
      <c r="BJ143" s="237"/>
      <c r="BK143" s="237"/>
      <c r="BL143" s="593"/>
    </row>
    <row r="144" spans="3:64" s="608" customFormat="1" ht="6" customHeight="1">
      <c r="C144" s="611"/>
      <c r="D144" s="609"/>
      <c r="E144" s="610"/>
      <c r="F144" s="610"/>
      <c r="G144" s="610"/>
      <c r="H144" s="610"/>
      <c r="I144" s="610"/>
      <c r="J144" s="610"/>
      <c r="K144" s="610"/>
      <c r="L144" s="610"/>
      <c r="M144" s="610"/>
      <c r="N144" s="610"/>
      <c r="O144" s="610"/>
      <c r="P144" s="610"/>
      <c r="Q144" s="610"/>
      <c r="R144" s="610"/>
      <c r="S144" s="610"/>
      <c r="T144" s="610"/>
      <c r="U144" s="610"/>
      <c r="V144" s="610"/>
      <c r="W144" s="610"/>
      <c r="X144" s="610"/>
      <c r="Y144" s="610"/>
      <c r="Z144" s="610"/>
      <c r="AA144" s="610"/>
      <c r="AB144" s="610"/>
      <c r="AC144" s="610"/>
      <c r="AD144" s="610"/>
      <c r="AE144" s="610"/>
      <c r="AF144" s="610"/>
      <c r="AG144" s="610"/>
      <c r="AH144" s="610"/>
      <c r="AI144" s="607"/>
      <c r="AJ144" s="602"/>
      <c r="AK144" s="601"/>
      <c r="AL144" s="601"/>
      <c r="AM144" s="601"/>
      <c r="AN144" s="601"/>
      <c r="AO144" s="601"/>
      <c r="AP144" s="601"/>
      <c r="AR144" s="601"/>
      <c r="AS144" s="601"/>
      <c r="AT144" s="601"/>
      <c r="AU144" s="601"/>
      <c r="AV144" s="601"/>
      <c r="AW144" s="601"/>
      <c r="AX144" s="601"/>
      <c r="AY144" s="601"/>
      <c r="AZ144" s="601"/>
      <c r="BA144" s="601"/>
      <c r="BB144" s="601"/>
      <c r="BC144" s="601"/>
      <c r="BD144" s="601"/>
      <c r="BE144" s="601"/>
      <c r="BF144" s="601"/>
      <c r="BG144" s="601"/>
      <c r="BH144" s="601"/>
      <c r="BI144" s="601"/>
      <c r="BJ144" s="601"/>
      <c r="BK144" s="601"/>
      <c r="BL144" s="603"/>
    </row>
    <row r="145" spans="3:64" s="608" customFormat="1">
      <c r="C145" s="608" t="s">
        <v>88</v>
      </c>
      <c r="D145" s="609"/>
      <c r="E145" s="610"/>
      <c r="F145" s="610"/>
      <c r="G145" s="610"/>
      <c r="H145" s="610"/>
      <c r="I145" s="610"/>
      <c r="J145" s="610"/>
      <c r="K145" s="610"/>
      <c r="L145" s="610"/>
      <c r="M145" s="610"/>
      <c r="N145" s="610"/>
      <c r="O145" s="610"/>
      <c r="P145" s="610"/>
      <c r="Q145" s="610"/>
      <c r="R145" s="610"/>
      <c r="S145" s="610"/>
      <c r="T145" s="610"/>
      <c r="U145" s="610"/>
      <c r="V145" s="610"/>
      <c r="W145" s="610"/>
      <c r="X145" s="610"/>
      <c r="Y145" s="610"/>
      <c r="Z145" s="610"/>
      <c r="AA145" s="610"/>
      <c r="AB145" s="610"/>
      <c r="AC145" s="610"/>
      <c r="AD145" s="610"/>
      <c r="AE145" s="610"/>
      <c r="AF145" s="610"/>
      <c r="AG145" s="610"/>
      <c r="AH145" s="610"/>
      <c r="AI145" s="607"/>
      <c r="AJ145" s="602"/>
      <c r="AK145" s="601"/>
      <c r="AL145" s="601"/>
      <c r="AM145" s="601"/>
      <c r="AN145" s="601"/>
      <c r="AO145" s="601"/>
      <c r="AP145" s="601"/>
      <c r="AR145" s="601"/>
      <c r="AS145" s="601"/>
      <c r="AT145" s="601"/>
      <c r="AU145" s="601"/>
      <c r="AV145" s="601"/>
      <c r="AW145" s="601"/>
      <c r="AX145" s="601"/>
      <c r="AY145" s="601"/>
      <c r="AZ145" s="601"/>
      <c r="BA145" s="601"/>
      <c r="BB145" s="601"/>
      <c r="BC145" s="601"/>
      <c r="BD145" s="601"/>
      <c r="BE145" s="601"/>
      <c r="BF145" s="601"/>
      <c r="BG145" s="601"/>
      <c r="BH145" s="601"/>
      <c r="BI145" s="601"/>
      <c r="BJ145" s="601"/>
      <c r="BK145" s="601"/>
      <c r="BL145" s="603"/>
    </row>
    <row r="146" spans="3:64" s="608" customFormat="1">
      <c r="C146" s="608" t="s">
        <v>92</v>
      </c>
      <c r="D146" s="609"/>
      <c r="E146" s="610"/>
      <c r="F146" s="610"/>
      <c r="G146" s="610"/>
      <c r="H146" s="610"/>
      <c r="I146" s="610"/>
      <c r="J146" s="610"/>
      <c r="K146" s="610"/>
      <c r="L146" s="610"/>
      <c r="M146" s="610"/>
      <c r="N146" s="610"/>
      <c r="O146" s="610"/>
      <c r="P146" s="610"/>
      <c r="Q146" s="610"/>
      <c r="R146" s="610"/>
      <c r="S146" s="610"/>
      <c r="T146" s="610"/>
      <c r="U146" s="610"/>
      <c r="V146" s="610"/>
      <c r="W146" s="610"/>
      <c r="X146" s="610"/>
      <c r="Y146" s="610"/>
      <c r="Z146" s="610"/>
      <c r="AA146" s="610"/>
      <c r="AB146" s="610"/>
      <c r="AC146" s="610"/>
      <c r="AD146" s="610"/>
      <c r="AE146" s="610"/>
      <c r="AF146" s="610"/>
      <c r="AG146" s="610"/>
      <c r="AH146" s="610"/>
      <c r="AI146" s="607"/>
      <c r="AJ146" s="602"/>
      <c r="AK146" s="601"/>
      <c r="AL146" s="601"/>
      <c r="AM146" s="601"/>
      <c r="AN146" s="601"/>
      <c r="AO146" s="601"/>
      <c r="AP146" s="601"/>
      <c r="AR146" s="601"/>
      <c r="AS146" s="601"/>
      <c r="AT146" s="601"/>
      <c r="AU146" s="601"/>
      <c r="AV146" s="601"/>
      <c r="AW146" s="601"/>
      <c r="AX146" s="601"/>
      <c r="AY146" s="601"/>
      <c r="AZ146" s="601"/>
      <c r="BA146" s="601"/>
      <c r="BB146" s="601"/>
      <c r="BC146" s="601"/>
      <c r="BD146" s="601"/>
      <c r="BE146" s="601"/>
      <c r="BF146" s="601"/>
      <c r="BG146" s="601"/>
      <c r="BH146" s="601"/>
      <c r="BI146" s="601"/>
      <c r="BJ146" s="601"/>
      <c r="BK146" s="601"/>
      <c r="BL146" s="603"/>
    </row>
    <row r="147" spans="3:64" s="608" customFormat="1" ht="6" customHeight="1">
      <c r="C147" s="611"/>
      <c r="D147" s="609"/>
      <c r="E147" s="610"/>
      <c r="F147" s="610"/>
      <c r="G147" s="610"/>
      <c r="H147" s="610"/>
      <c r="I147" s="610"/>
      <c r="J147" s="610"/>
      <c r="K147" s="610"/>
      <c r="L147" s="610"/>
      <c r="M147" s="610"/>
      <c r="N147" s="610"/>
      <c r="O147" s="610"/>
      <c r="P147" s="610"/>
      <c r="Q147" s="610"/>
      <c r="R147" s="610"/>
      <c r="S147" s="610"/>
      <c r="T147" s="610"/>
      <c r="U147" s="610"/>
      <c r="V147" s="610"/>
      <c r="W147" s="610"/>
      <c r="X147" s="610"/>
      <c r="Y147" s="610"/>
      <c r="Z147" s="610"/>
      <c r="AA147" s="610"/>
      <c r="AB147" s="610"/>
      <c r="AC147" s="610"/>
      <c r="AD147" s="610"/>
      <c r="AE147" s="610"/>
      <c r="AF147" s="610"/>
      <c r="AG147" s="610"/>
      <c r="AH147" s="610"/>
      <c r="AI147" s="607"/>
      <c r="AJ147" s="602"/>
      <c r="AK147" s="601"/>
      <c r="AL147" s="601"/>
      <c r="AM147" s="601"/>
      <c r="AN147" s="601"/>
      <c r="AO147" s="601"/>
      <c r="AP147" s="601"/>
      <c r="AR147" s="601"/>
      <c r="AS147" s="601"/>
      <c r="AT147" s="601"/>
      <c r="AU147" s="601"/>
      <c r="AV147" s="601"/>
      <c r="AW147" s="601"/>
      <c r="AX147" s="601"/>
      <c r="AY147" s="601"/>
      <c r="AZ147" s="601"/>
      <c r="BA147" s="601"/>
      <c r="BB147" s="601"/>
      <c r="BC147" s="601"/>
      <c r="BD147" s="601"/>
      <c r="BE147" s="601"/>
      <c r="BF147" s="601"/>
      <c r="BG147" s="601"/>
      <c r="BH147" s="601"/>
      <c r="BI147" s="601"/>
      <c r="BJ147" s="601"/>
      <c r="BK147" s="601"/>
      <c r="BL147" s="603"/>
    </row>
    <row r="148" spans="3:64" s="608" customFormat="1">
      <c r="C148" s="611" t="s">
        <v>84</v>
      </c>
      <c r="D148" s="609"/>
      <c r="E148" s="610"/>
      <c r="F148" s="610"/>
      <c r="G148" s="610"/>
      <c r="H148" s="610"/>
      <c r="I148" s="610"/>
      <c r="J148" s="610"/>
      <c r="K148" s="610"/>
      <c r="L148" s="610"/>
      <c r="M148" s="610"/>
      <c r="N148" s="610"/>
      <c r="O148" s="610"/>
      <c r="P148" s="610"/>
      <c r="Q148" s="610"/>
      <c r="R148" s="610"/>
      <c r="S148" s="610"/>
      <c r="T148" s="610"/>
      <c r="U148" s="610"/>
      <c r="V148" s="610"/>
      <c r="W148" s="610"/>
      <c r="X148" s="610"/>
      <c r="Y148" s="610"/>
      <c r="Z148" s="610"/>
      <c r="AA148" s="610"/>
      <c r="AB148" s="610"/>
      <c r="AC148" s="610"/>
      <c r="AD148" s="610"/>
      <c r="AE148" s="610"/>
      <c r="AF148" s="610"/>
      <c r="AG148" s="610"/>
      <c r="AH148" s="610"/>
      <c r="AI148" s="607"/>
      <c r="AJ148" s="602"/>
      <c r="AK148" s="601"/>
      <c r="AL148" s="601"/>
      <c r="AM148" s="601"/>
      <c r="AN148" s="601"/>
      <c r="AO148" s="601"/>
      <c r="AP148" s="601"/>
      <c r="AR148" s="601"/>
      <c r="AS148" s="601"/>
      <c r="AT148" s="601"/>
      <c r="AU148" s="601"/>
      <c r="AV148" s="601"/>
      <c r="AW148" s="601"/>
      <c r="AX148" s="601"/>
      <c r="AY148" s="601"/>
      <c r="AZ148" s="601"/>
      <c r="BA148" s="601"/>
      <c r="BB148" s="601"/>
      <c r="BC148" s="601"/>
      <c r="BD148" s="601"/>
      <c r="BE148" s="601"/>
      <c r="BF148" s="601"/>
      <c r="BG148" s="601"/>
      <c r="BH148" s="601"/>
      <c r="BI148" s="601"/>
      <c r="BJ148" s="601"/>
      <c r="BK148" s="601"/>
      <c r="BL148" s="603"/>
    </row>
    <row r="149" spans="3:64" s="608" customFormat="1">
      <c r="C149" s="608" t="s">
        <v>85</v>
      </c>
      <c r="D149" s="609"/>
      <c r="E149" s="610"/>
      <c r="F149" s="610"/>
      <c r="G149" s="610"/>
      <c r="H149" s="610"/>
      <c r="I149" s="610"/>
      <c r="J149" s="610"/>
      <c r="K149" s="610"/>
      <c r="L149" s="610"/>
      <c r="M149" s="610"/>
      <c r="N149" s="610"/>
      <c r="O149" s="610"/>
      <c r="P149" s="610"/>
      <c r="Q149" s="610"/>
      <c r="R149" s="610"/>
      <c r="S149" s="610"/>
      <c r="T149" s="610"/>
      <c r="U149" s="610"/>
      <c r="V149" s="610"/>
      <c r="W149" s="610"/>
      <c r="X149" s="610"/>
      <c r="Y149" s="610"/>
      <c r="Z149" s="610"/>
      <c r="AA149" s="610"/>
      <c r="AB149" s="610"/>
      <c r="AC149" s="610"/>
      <c r="AD149" s="610"/>
      <c r="AE149" s="610"/>
      <c r="AF149" s="610"/>
      <c r="AG149" s="610"/>
      <c r="AH149" s="610"/>
      <c r="AI149" s="607"/>
      <c r="AJ149" s="602"/>
      <c r="AK149" s="601"/>
      <c r="AL149" s="601"/>
      <c r="AM149" s="601"/>
      <c r="AN149" s="601"/>
      <c r="AO149" s="601"/>
      <c r="AP149" s="601"/>
      <c r="AR149" s="601"/>
      <c r="AS149" s="601"/>
      <c r="AT149" s="601"/>
      <c r="AU149" s="601"/>
      <c r="AV149" s="601"/>
      <c r="AW149" s="601"/>
      <c r="AX149" s="601"/>
      <c r="AY149" s="601"/>
      <c r="AZ149" s="601"/>
      <c r="BA149" s="601"/>
      <c r="BB149" s="601"/>
      <c r="BC149" s="601"/>
      <c r="BD149" s="601"/>
      <c r="BE149" s="601"/>
      <c r="BF149" s="601"/>
      <c r="BG149" s="601"/>
      <c r="BH149" s="601"/>
      <c r="BI149" s="601"/>
      <c r="BJ149" s="601"/>
      <c r="BK149" s="601"/>
      <c r="BL149" s="603"/>
    </row>
    <row r="150" spans="3:64" s="608" customFormat="1" ht="6" customHeight="1">
      <c r="C150" s="611"/>
      <c r="D150" s="609"/>
      <c r="E150" s="610"/>
      <c r="F150" s="610"/>
      <c r="G150" s="610"/>
      <c r="H150" s="610"/>
      <c r="I150" s="610"/>
      <c r="J150" s="610"/>
      <c r="K150" s="610"/>
      <c r="L150" s="610"/>
      <c r="M150" s="610"/>
      <c r="N150" s="610"/>
      <c r="O150" s="610"/>
      <c r="P150" s="610"/>
      <c r="Q150" s="610"/>
      <c r="R150" s="610"/>
      <c r="S150" s="610"/>
      <c r="T150" s="610"/>
      <c r="U150" s="610"/>
      <c r="V150" s="610"/>
      <c r="W150" s="610"/>
      <c r="X150" s="610"/>
      <c r="Y150" s="610"/>
      <c r="Z150" s="610"/>
      <c r="AA150" s="610"/>
      <c r="AB150" s="610"/>
      <c r="AC150" s="610"/>
      <c r="AD150" s="610"/>
      <c r="AE150" s="610"/>
      <c r="AF150" s="610"/>
      <c r="AG150" s="610"/>
      <c r="AH150" s="610"/>
      <c r="AI150" s="607"/>
      <c r="AJ150" s="602"/>
      <c r="AK150" s="601"/>
      <c r="AL150" s="601"/>
      <c r="AM150" s="601"/>
      <c r="AN150" s="601"/>
      <c r="AO150" s="601"/>
      <c r="AP150" s="601"/>
      <c r="AR150" s="601"/>
      <c r="AS150" s="601"/>
      <c r="AT150" s="601"/>
      <c r="AU150" s="601"/>
      <c r="AV150" s="601"/>
      <c r="AW150" s="601"/>
      <c r="AX150" s="601"/>
      <c r="AY150" s="601"/>
      <c r="AZ150" s="601"/>
      <c r="BA150" s="601"/>
      <c r="BB150" s="601"/>
      <c r="BC150" s="601"/>
      <c r="BD150" s="601"/>
      <c r="BE150" s="601"/>
      <c r="BF150" s="601"/>
      <c r="BG150" s="601"/>
      <c r="BH150" s="601"/>
      <c r="BI150" s="601"/>
      <c r="BJ150" s="601"/>
      <c r="BK150" s="601"/>
      <c r="BL150" s="603"/>
    </row>
    <row r="151" spans="3:64" s="608" customFormat="1">
      <c r="C151" s="611" t="s">
        <v>89</v>
      </c>
      <c r="D151" s="609"/>
      <c r="E151" s="610"/>
      <c r="F151" s="610"/>
      <c r="G151" s="610"/>
      <c r="H151" s="610"/>
      <c r="I151" s="610"/>
      <c r="J151" s="610"/>
      <c r="K151" s="610"/>
      <c r="L151" s="610"/>
      <c r="M151" s="610"/>
      <c r="N151" s="610"/>
      <c r="O151" s="610"/>
      <c r="P151" s="610"/>
      <c r="Q151" s="610"/>
      <c r="R151" s="610"/>
      <c r="S151" s="610"/>
      <c r="T151" s="610"/>
      <c r="U151" s="610"/>
      <c r="V151" s="610"/>
      <c r="W151" s="610"/>
      <c r="X151" s="610"/>
      <c r="Y151" s="610"/>
      <c r="Z151" s="610"/>
      <c r="AA151" s="610"/>
      <c r="AB151" s="610"/>
      <c r="AC151" s="610"/>
      <c r="AD151" s="610"/>
      <c r="AE151" s="610"/>
      <c r="AF151" s="610"/>
      <c r="AG151" s="610"/>
      <c r="AH151" s="610"/>
      <c r="AI151" s="607"/>
      <c r="AJ151" s="602"/>
      <c r="AK151" s="601"/>
      <c r="AL151" s="601"/>
      <c r="AM151" s="601"/>
      <c r="AN151" s="601"/>
      <c r="AO151" s="601"/>
      <c r="AP151" s="601"/>
      <c r="AR151" s="601"/>
      <c r="AS151" s="601"/>
      <c r="AT151" s="601"/>
      <c r="AU151" s="601"/>
      <c r="AV151" s="601"/>
      <c r="AW151" s="601"/>
      <c r="AX151" s="601"/>
      <c r="AY151" s="601"/>
      <c r="AZ151" s="601"/>
      <c r="BA151" s="601"/>
      <c r="BB151" s="601"/>
      <c r="BC151" s="601"/>
      <c r="BD151" s="601"/>
      <c r="BE151" s="601"/>
      <c r="BF151" s="601"/>
      <c r="BG151" s="601"/>
      <c r="BH151" s="601"/>
      <c r="BI151" s="601"/>
      <c r="BJ151" s="601"/>
      <c r="BK151" s="601"/>
      <c r="BL151" s="603"/>
    </row>
    <row r="152" spans="3:64" s="608" customFormat="1">
      <c r="C152" s="608" t="s">
        <v>90</v>
      </c>
      <c r="D152" s="609"/>
      <c r="E152" s="610"/>
      <c r="F152" s="610"/>
      <c r="G152" s="610"/>
      <c r="H152" s="610"/>
      <c r="I152" s="610"/>
      <c r="J152" s="610"/>
      <c r="K152" s="610"/>
      <c r="L152" s="610"/>
      <c r="M152" s="610"/>
      <c r="N152" s="610"/>
      <c r="O152" s="610"/>
      <c r="P152" s="610"/>
      <c r="Q152" s="610"/>
      <c r="R152" s="610"/>
      <c r="S152" s="610"/>
      <c r="T152" s="610"/>
      <c r="U152" s="610"/>
      <c r="V152" s="610"/>
      <c r="W152" s="610"/>
      <c r="X152" s="610"/>
      <c r="Y152" s="610"/>
      <c r="Z152" s="610"/>
      <c r="AA152" s="610"/>
      <c r="AB152" s="610"/>
      <c r="AC152" s="610"/>
      <c r="AD152" s="610"/>
      <c r="AE152" s="610"/>
      <c r="AF152" s="610"/>
      <c r="AG152" s="610"/>
      <c r="AH152" s="610"/>
      <c r="AI152" s="607"/>
      <c r="AJ152" s="602"/>
      <c r="AK152" s="601"/>
      <c r="AL152" s="601"/>
      <c r="AM152" s="601"/>
      <c r="AN152" s="601"/>
      <c r="AO152" s="601"/>
      <c r="AP152" s="601"/>
      <c r="AR152" s="601"/>
      <c r="AS152" s="601"/>
      <c r="AT152" s="601"/>
      <c r="AU152" s="601"/>
      <c r="AV152" s="601"/>
      <c r="AW152" s="601"/>
      <c r="AX152" s="601"/>
      <c r="AY152" s="601"/>
      <c r="AZ152" s="601"/>
      <c r="BA152" s="601"/>
      <c r="BB152" s="601"/>
      <c r="BC152" s="601"/>
      <c r="BD152" s="601"/>
      <c r="BE152" s="601"/>
      <c r="BF152" s="601"/>
      <c r="BG152" s="601"/>
      <c r="BH152" s="601"/>
      <c r="BI152" s="601"/>
      <c r="BJ152" s="601"/>
      <c r="BK152" s="601"/>
      <c r="BL152" s="603"/>
    </row>
    <row r="153" spans="3:64" s="608" customFormat="1" ht="6" customHeight="1">
      <c r="C153" s="611"/>
      <c r="D153" s="609"/>
      <c r="E153" s="610"/>
      <c r="F153" s="610"/>
      <c r="G153" s="610"/>
      <c r="H153" s="610"/>
      <c r="I153" s="610"/>
      <c r="J153" s="610"/>
      <c r="K153" s="610"/>
      <c r="L153" s="610"/>
      <c r="M153" s="610"/>
      <c r="N153" s="610"/>
      <c r="O153" s="610"/>
      <c r="P153" s="610"/>
      <c r="Q153" s="610"/>
      <c r="R153" s="610"/>
      <c r="S153" s="610"/>
      <c r="T153" s="610"/>
      <c r="U153" s="610"/>
      <c r="V153" s="610"/>
      <c r="W153" s="610"/>
      <c r="X153" s="610"/>
      <c r="Y153" s="610"/>
      <c r="Z153" s="610"/>
      <c r="AA153" s="610"/>
      <c r="AB153" s="610"/>
      <c r="AC153" s="610"/>
      <c r="AD153" s="610"/>
      <c r="AE153" s="610"/>
      <c r="AF153" s="610"/>
      <c r="AG153" s="610"/>
      <c r="AH153" s="610"/>
      <c r="AI153" s="607"/>
      <c r="AJ153" s="602"/>
      <c r="AK153" s="601"/>
      <c r="AL153" s="601"/>
      <c r="AM153" s="601"/>
      <c r="AN153" s="601"/>
      <c r="AO153" s="601"/>
      <c r="AP153" s="601"/>
      <c r="AR153" s="601"/>
      <c r="AS153" s="601"/>
      <c r="AT153" s="601"/>
      <c r="AU153" s="601"/>
      <c r="AV153" s="601"/>
      <c r="AW153" s="601"/>
      <c r="AX153" s="601"/>
      <c r="AY153" s="601"/>
      <c r="AZ153" s="601"/>
      <c r="BA153" s="601"/>
      <c r="BB153" s="601"/>
      <c r="BC153" s="601"/>
      <c r="BD153" s="601"/>
      <c r="BE153" s="601"/>
      <c r="BF153" s="601"/>
      <c r="BG153" s="601"/>
      <c r="BH153" s="601"/>
      <c r="BI153" s="601"/>
      <c r="BJ153" s="601"/>
      <c r="BK153" s="601"/>
      <c r="BL153" s="603"/>
    </row>
    <row r="154" spans="3:64" s="605" customFormat="1">
      <c r="C154" s="620" t="s">
        <v>81</v>
      </c>
      <c r="D154" s="609"/>
      <c r="E154" s="606"/>
      <c r="F154" s="610"/>
      <c r="G154" s="610"/>
      <c r="H154" s="610"/>
      <c r="I154" s="610"/>
      <c r="J154" s="610"/>
      <c r="K154" s="610"/>
      <c r="L154" s="610"/>
      <c r="M154" s="610"/>
      <c r="N154" s="610"/>
      <c r="O154" s="610"/>
      <c r="P154" s="610"/>
      <c r="Q154" s="610"/>
      <c r="R154" s="610"/>
      <c r="S154" s="610"/>
      <c r="T154" s="610"/>
      <c r="U154" s="610"/>
      <c r="V154" s="610"/>
      <c r="W154" s="610"/>
      <c r="X154" s="610"/>
      <c r="Y154" s="610"/>
      <c r="Z154" s="610"/>
      <c r="AA154" s="610"/>
      <c r="AB154" s="610"/>
      <c r="AC154" s="610"/>
      <c r="AD154" s="610"/>
      <c r="AE154" s="610"/>
      <c r="AF154" s="610"/>
      <c r="AG154" s="610"/>
      <c r="AH154" s="610"/>
      <c r="AI154" s="607"/>
      <c r="AJ154" s="602"/>
      <c r="AK154" s="601"/>
      <c r="AL154" s="601"/>
      <c r="AM154" s="601"/>
      <c r="AN154" s="601"/>
      <c r="AO154" s="601"/>
      <c r="AP154" s="601"/>
      <c r="AR154" s="601"/>
      <c r="AS154" s="601"/>
      <c r="AT154" s="601"/>
      <c r="AU154" s="601"/>
      <c r="AV154" s="601"/>
      <c r="AW154" s="601"/>
      <c r="AX154" s="601"/>
      <c r="AY154" s="601"/>
      <c r="AZ154" s="601"/>
      <c r="BA154" s="601"/>
      <c r="BB154" s="601"/>
      <c r="BC154" s="601"/>
      <c r="BD154" s="601"/>
      <c r="BE154" s="601"/>
      <c r="BF154" s="601"/>
      <c r="BG154" s="601"/>
      <c r="BH154" s="601"/>
      <c r="BI154" s="601"/>
      <c r="BJ154" s="601"/>
      <c r="BK154" s="601"/>
      <c r="BL154" s="603"/>
    </row>
    <row r="155" spans="3:64" s="608" customFormat="1">
      <c r="C155" s="620" t="s">
        <v>61</v>
      </c>
      <c r="E155" s="621"/>
      <c r="F155" s="607"/>
      <c r="G155" s="622"/>
      <c r="H155" s="622"/>
      <c r="I155" s="622"/>
      <c r="J155" s="622"/>
      <c r="K155" s="622"/>
      <c r="L155" s="622"/>
      <c r="M155" s="622"/>
      <c r="N155" s="622"/>
      <c r="O155" s="622"/>
      <c r="P155" s="622"/>
      <c r="Q155" s="622"/>
      <c r="R155" s="622"/>
      <c r="S155" s="622"/>
      <c r="T155" s="622"/>
      <c r="U155" s="607"/>
      <c r="V155" s="622"/>
      <c r="W155" s="622"/>
      <c r="X155" s="622"/>
      <c r="Y155" s="622"/>
      <c r="Z155" s="622"/>
      <c r="AA155" s="622"/>
      <c r="AB155" s="622"/>
      <c r="AC155" s="622"/>
      <c r="AD155" s="622"/>
      <c r="AE155" s="622"/>
      <c r="AF155" s="622"/>
      <c r="AG155" s="622"/>
      <c r="AH155" s="622"/>
      <c r="AI155" s="607"/>
      <c r="AJ155" s="602"/>
      <c r="AK155" s="601"/>
      <c r="AL155" s="601"/>
      <c r="AM155" s="601"/>
      <c r="AN155" s="601"/>
      <c r="AO155" s="601"/>
      <c r="AP155" s="601"/>
      <c r="AR155" s="601"/>
      <c r="AS155" s="601"/>
      <c r="AT155" s="601"/>
      <c r="AU155" s="601"/>
      <c r="AV155" s="601"/>
      <c r="AW155" s="601"/>
      <c r="AX155" s="601"/>
      <c r="AY155" s="601"/>
      <c r="AZ155" s="601"/>
      <c r="BA155" s="601"/>
      <c r="BB155" s="601"/>
      <c r="BC155" s="601"/>
      <c r="BD155" s="601"/>
      <c r="BE155" s="601"/>
      <c r="BF155" s="601"/>
      <c r="BG155" s="601"/>
      <c r="BH155" s="601"/>
      <c r="BI155" s="601"/>
      <c r="BJ155" s="601"/>
      <c r="BK155" s="601"/>
      <c r="BL155" s="603"/>
    </row>
    <row r="156" spans="3:64" s="591" customFormat="1">
      <c r="C156" s="598"/>
      <c r="E156" s="599"/>
      <c r="F156" s="594"/>
      <c r="U156" s="594"/>
      <c r="AI156" s="594"/>
      <c r="AJ156" s="592"/>
      <c r="AK156" s="237"/>
      <c r="AL156" s="237"/>
      <c r="AM156" s="237"/>
      <c r="AN156" s="237"/>
      <c r="AO156" s="237"/>
      <c r="AP156" s="237"/>
      <c r="AQ156" s="237"/>
      <c r="AR156" s="237"/>
      <c r="AS156" s="237"/>
      <c r="AT156" s="237"/>
      <c r="AU156" s="237"/>
      <c r="AV156" s="237"/>
      <c r="AW156" s="237"/>
      <c r="AX156" s="237"/>
      <c r="AY156" s="237"/>
      <c r="AZ156" s="237"/>
      <c r="BA156" s="237"/>
      <c r="BB156" s="237"/>
      <c r="BC156" s="237"/>
      <c r="BD156" s="237"/>
      <c r="BE156" s="237"/>
      <c r="BF156" s="237"/>
      <c r="BG156" s="237"/>
      <c r="BH156" s="237"/>
      <c r="BI156" s="237"/>
      <c r="BJ156" s="237"/>
      <c r="BK156" s="237"/>
      <c r="BL156" s="593"/>
    </row>
    <row r="157" spans="3:64" s="591" customFormat="1">
      <c r="C157" s="620" t="s">
        <v>506</v>
      </c>
      <c r="E157" s="599"/>
      <c r="F157" s="594"/>
      <c r="U157" s="594"/>
      <c r="AI157" s="594"/>
      <c r="AJ157" s="592"/>
      <c r="AK157" s="237"/>
      <c r="AL157" s="237"/>
      <c r="AM157" s="237"/>
      <c r="AN157" s="237"/>
      <c r="AO157" s="237"/>
      <c r="AP157" s="237"/>
      <c r="AQ157" s="237"/>
      <c r="AR157" s="237"/>
      <c r="AS157" s="237"/>
      <c r="AT157" s="237"/>
      <c r="AU157" s="237"/>
      <c r="AV157" s="237"/>
      <c r="AW157" s="237"/>
      <c r="AX157" s="237"/>
      <c r="AY157" s="237"/>
      <c r="AZ157" s="237"/>
      <c r="BA157" s="237"/>
      <c r="BB157" s="237"/>
      <c r="BC157" s="237"/>
      <c r="BD157" s="237"/>
      <c r="BE157" s="237"/>
      <c r="BF157" s="237"/>
      <c r="BG157" s="237"/>
      <c r="BH157" s="237"/>
      <c r="BI157" s="237"/>
      <c r="BJ157" s="237"/>
      <c r="BK157" s="237"/>
      <c r="BL157" s="593"/>
    </row>
    <row r="158" spans="3:64" s="591" customFormat="1">
      <c r="C158" s="620" t="s">
        <v>507</v>
      </c>
      <c r="E158" s="599"/>
      <c r="F158" s="594"/>
      <c r="U158" s="594"/>
      <c r="AI158" s="594"/>
      <c r="AJ158" s="592"/>
      <c r="AK158" s="237"/>
      <c r="AL158" s="237"/>
      <c r="AM158" s="237"/>
      <c r="AN158" s="237"/>
      <c r="AO158" s="237"/>
      <c r="AP158" s="237"/>
      <c r="AQ158" s="237"/>
      <c r="AR158" s="237"/>
      <c r="AS158" s="237"/>
      <c r="AT158" s="237"/>
      <c r="AU158" s="237"/>
      <c r="AV158" s="237"/>
      <c r="AW158" s="237"/>
      <c r="AX158" s="237"/>
      <c r="AY158" s="237"/>
      <c r="AZ158" s="237"/>
      <c r="BA158" s="237"/>
      <c r="BB158" s="237"/>
      <c r="BC158" s="237"/>
      <c r="BD158" s="237"/>
      <c r="BE158" s="237"/>
      <c r="BF158" s="237"/>
      <c r="BG158" s="237"/>
      <c r="BH158" s="237"/>
      <c r="BI158" s="237"/>
      <c r="BJ158" s="237"/>
      <c r="BK158" s="237"/>
      <c r="BL158" s="593"/>
    </row>
    <row r="159" spans="3:64" s="591" customFormat="1">
      <c r="C159" s="600"/>
      <c r="E159" s="599"/>
      <c r="F159" s="594"/>
      <c r="U159" s="594"/>
      <c r="AI159" s="594"/>
      <c r="AJ159" s="592"/>
      <c r="AK159" s="237"/>
      <c r="AL159" s="237"/>
      <c r="AM159" s="237"/>
      <c r="AN159" s="237"/>
      <c r="AO159" s="237"/>
      <c r="AP159" s="237"/>
      <c r="AQ159" s="237"/>
      <c r="AR159" s="237"/>
      <c r="AS159" s="237"/>
      <c r="AT159" s="237"/>
      <c r="AU159" s="237"/>
      <c r="AV159" s="237"/>
      <c r="AW159" s="237"/>
      <c r="AX159" s="237"/>
      <c r="AY159" s="237"/>
      <c r="AZ159" s="237"/>
      <c r="BA159" s="237"/>
      <c r="BB159" s="237"/>
      <c r="BC159" s="237"/>
      <c r="BD159" s="237"/>
      <c r="BE159" s="237"/>
      <c r="BF159" s="237"/>
      <c r="BG159" s="237"/>
      <c r="BH159" s="237"/>
      <c r="BI159" s="237"/>
      <c r="BJ159" s="237"/>
      <c r="BK159" s="237"/>
      <c r="BL159" s="593"/>
    </row>
    <row r="160" spans="3:64" s="591" customFormat="1">
      <c r="C160" s="600"/>
      <c r="E160" s="599"/>
      <c r="F160" s="594"/>
      <c r="U160" s="594"/>
      <c r="AI160" s="594"/>
      <c r="AJ160" s="592"/>
      <c r="AK160" s="237"/>
      <c r="AL160" s="237"/>
      <c r="AM160" s="237"/>
      <c r="AN160" s="237"/>
      <c r="AO160" s="237"/>
      <c r="AP160" s="237"/>
      <c r="AQ160" s="237"/>
      <c r="AR160" s="237"/>
      <c r="AS160" s="237"/>
      <c r="AT160" s="237"/>
      <c r="AU160" s="237"/>
      <c r="AV160" s="237"/>
      <c r="AW160" s="237"/>
      <c r="AX160" s="237"/>
      <c r="AY160" s="237"/>
      <c r="AZ160" s="237"/>
      <c r="BA160" s="237"/>
      <c r="BB160" s="237"/>
      <c r="BC160" s="237"/>
      <c r="BD160" s="237"/>
      <c r="BE160" s="237"/>
      <c r="BF160" s="237"/>
      <c r="BG160" s="237"/>
      <c r="BH160" s="237"/>
      <c r="BI160" s="237"/>
      <c r="BJ160" s="237"/>
      <c r="BK160" s="237"/>
      <c r="BL160" s="593"/>
    </row>
    <row r="161" spans="3:64" s="591" customFormat="1">
      <c r="E161" s="599"/>
      <c r="F161" s="594"/>
      <c r="U161" s="594"/>
      <c r="AI161" s="594"/>
      <c r="AJ161" s="592"/>
      <c r="AK161" s="237"/>
      <c r="AL161" s="237"/>
      <c r="AM161" s="237"/>
      <c r="AN161" s="237"/>
      <c r="AO161" s="237"/>
      <c r="AP161" s="237"/>
      <c r="AQ161" s="237"/>
      <c r="AR161" s="237"/>
      <c r="AS161" s="237"/>
      <c r="AT161" s="237"/>
      <c r="AU161" s="237"/>
      <c r="AV161" s="237"/>
      <c r="AW161" s="237"/>
      <c r="AX161" s="237"/>
      <c r="AY161" s="237"/>
      <c r="AZ161" s="237"/>
      <c r="BA161" s="237"/>
      <c r="BB161" s="237"/>
      <c r="BC161" s="237"/>
      <c r="BD161" s="237"/>
      <c r="BE161" s="237"/>
      <c r="BF161" s="237"/>
      <c r="BG161" s="237"/>
      <c r="BH161" s="237"/>
      <c r="BI161" s="237"/>
      <c r="BJ161" s="237"/>
      <c r="BK161" s="237"/>
      <c r="BL161" s="593"/>
    </row>
    <row r="162" spans="3:64" s="591" customFormat="1">
      <c r="C162" s="600"/>
      <c r="E162" s="599"/>
      <c r="F162" s="594"/>
      <c r="U162" s="594"/>
      <c r="AI162" s="594"/>
      <c r="AJ162" s="592"/>
      <c r="AK162" s="237"/>
      <c r="AL162" s="237"/>
      <c r="AM162" s="237"/>
      <c r="AN162" s="237"/>
      <c r="AO162" s="237"/>
      <c r="AP162" s="237"/>
      <c r="AQ162" s="237"/>
      <c r="AR162" s="237"/>
      <c r="AS162" s="237"/>
      <c r="AT162" s="237"/>
      <c r="AU162" s="237"/>
      <c r="AV162" s="237"/>
      <c r="AW162" s="237"/>
      <c r="AX162" s="237"/>
      <c r="AY162" s="237"/>
      <c r="AZ162" s="237"/>
      <c r="BA162" s="237"/>
      <c r="BB162" s="237"/>
      <c r="BC162" s="237"/>
      <c r="BD162" s="237"/>
      <c r="BE162" s="237"/>
      <c r="BF162" s="237"/>
      <c r="BG162" s="237"/>
      <c r="BH162" s="237"/>
      <c r="BI162" s="237"/>
      <c r="BJ162" s="237"/>
      <c r="BK162" s="237"/>
      <c r="BL162" s="593"/>
    </row>
    <row r="163" spans="3:64" s="591" customFormat="1">
      <c r="C163" s="600"/>
      <c r="E163" s="599"/>
      <c r="F163" s="594"/>
      <c r="U163" s="594"/>
      <c r="AI163" s="594"/>
      <c r="AJ163" s="592"/>
      <c r="AK163" s="237"/>
      <c r="AL163" s="237"/>
      <c r="AM163" s="237"/>
      <c r="AN163" s="237"/>
      <c r="AO163" s="237"/>
      <c r="AP163" s="237"/>
      <c r="AQ163" s="237"/>
      <c r="AR163" s="237"/>
      <c r="AS163" s="237"/>
      <c r="AT163" s="237"/>
      <c r="AU163" s="237"/>
      <c r="AV163" s="237"/>
      <c r="AW163" s="237"/>
      <c r="AX163" s="237"/>
      <c r="AY163" s="237"/>
      <c r="AZ163" s="237"/>
      <c r="BA163" s="237"/>
      <c r="BB163" s="237"/>
      <c r="BC163" s="237"/>
      <c r="BD163" s="237"/>
      <c r="BE163" s="237"/>
      <c r="BF163" s="237"/>
      <c r="BG163" s="237"/>
      <c r="BH163" s="237"/>
      <c r="BI163" s="237"/>
      <c r="BJ163" s="237"/>
      <c r="BK163" s="237"/>
      <c r="BL163" s="593"/>
    </row>
    <row r="164" spans="3:64" s="591" customFormat="1">
      <c r="C164" s="600"/>
      <c r="E164" s="599"/>
      <c r="F164" s="594"/>
      <c r="U164" s="594"/>
      <c r="AI164" s="594"/>
      <c r="AJ164" s="592"/>
      <c r="AK164" s="237"/>
      <c r="AL164" s="237"/>
      <c r="AM164" s="237"/>
      <c r="AN164" s="237"/>
      <c r="AO164" s="237"/>
      <c r="AP164" s="237"/>
      <c r="AQ164" s="237"/>
      <c r="AR164" s="237"/>
      <c r="AS164" s="237"/>
      <c r="AT164" s="237"/>
      <c r="AU164" s="237"/>
      <c r="AV164" s="237"/>
      <c r="AW164" s="237"/>
      <c r="AX164" s="237"/>
      <c r="AY164" s="237"/>
      <c r="AZ164" s="237"/>
      <c r="BA164" s="237"/>
      <c r="BB164" s="237"/>
      <c r="BC164" s="237"/>
      <c r="BD164" s="237"/>
      <c r="BE164" s="237"/>
      <c r="BF164" s="237"/>
      <c r="BG164" s="237"/>
      <c r="BH164" s="237"/>
      <c r="BI164" s="237"/>
      <c r="BJ164" s="237"/>
      <c r="BK164" s="237"/>
      <c r="BL164" s="593"/>
    </row>
    <row r="165" spans="3:64" s="591" customFormat="1">
      <c r="E165" s="599"/>
      <c r="F165" s="594"/>
      <c r="U165" s="594"/>
      <c r="AI165" s="594"/>
      <c r="AJ165" s="592"/>
      <c r="AK165" s="237"/>
      <c r="AL165" s="237"/>
      <c r="AM165" s="237"/>
      <c r="AN165" s="237"/>
      <c r="AO165" s="237"/>
      <c r="AP165" s="237"/>
      <c r="AQ165" s="237"/>
      <c r="AR165" s="237"/>
      <c r="AS165" s="237"/>
      <c r="AT165" s="237"/>
      <c r="AU165" s="237"/>
      <c r="AV165" s="237"/>
      <c r="AW165" s="237"/>
      <c r="AX165" s="237"/>
      <c r="AY165" s="237"/>
      <c r="AZ165" s="237"/>
      <c r="BA165" s="237"/>
      <c r="BB165" s="237"/>
      <c r="BC165" s="237"/>
      <c r="BD165" s="237"/>
      <c r="BE165" s="237"/>
      <c r="BF165" s="237"/>
      <c r="BG165" s="237"/>
      <c r="BH165" s="237"/>
      <c r="BI165" s="237"/>
      <c r="BJ165" s="237"/>
      <c r="BK165" s="237"/>
      <c r="BL165" s="593"/>
    </row>
    <row r="166" spans="3:64" s="591" customFormat="1">
      <c r="E166" s="599"/>
      <c r="F166" s="594"/>
      <c r="U166" s="594"/>
      <c r="AI166" s="594"/>
      <c r="AJ166" s="592"/>
      <c r="AK166" s="237"/>
      <c r="AL166" s="237"/>
      <c r="AM166" s="237"/>
      <c r="AN166" s="237"/>
      <c r="AO166" s="237"/>
      <c r="AP166" s="237"/>
      <c r="AQ166" s="237"/>
      <c r="AR166" s="237"/>
      <c r="AS166" s="237"/>
      <c r="AT166" s="237"/>
      <c r="AU166" s="237"/>
      <c r="AV166" s="237"/>
      <c r="AW166" s="237"/>
      <c r="AX166" s="237"/>
      <c r="AY166" s="237"/>
      <c r="AZ166" s="237"/>
      <c r="BA166" s="237"/>
      <c r="BB166" s="237"/>
      <c r="BC166" s="237"/>
      <c r="BD166" s="237"/>
      <c r="BE166" s="237"/>
      <c r="BF166" s="237"/>
      <c r="BG166" s="237"/>
      <c r="BH166" s="237"/>
      <c r="BI166" s="237"/>
      <c r="BJ166" s="237"/>
      <c r="BK166" s="237"/>
      <c r="BL166" s="593"/>
    </row>
    <row r="167" spans="3:64" s="591" customFormat="1">
      <c r="E167" s="599"/>
      <c r="F167" s="594"/>
      <c r="U167" s="594"/>
      <c r="AI167" s="594"/>
      <c r="AJ167" s="592"/>
      <c r="AK167" s="237"/>
      <c r="AL167" s="237"/>
      <c r="AM167" s="237"/>
      <c r="AN167" s="237"/>
      <c r="AO167" s="237"/>
      <c r="AP167" s="237"/>
      <c r="AQ167" s="237"/>
      <c r="AR167" s="237"/>
      <c r="AS167" s="237"/>
      <c r="AT167" s="237"/>
      <c r="AU167" s="237"/>
      <c r="AV167" s="237"/>
      <c r="AW167" s="237"/>
      <c r="AX167" s="237"/>
      <c r="AY167" s="237"/>
      <c r="AZ167" s="237"/>
      <c r="BA167" s="237"/>
      <c r="BB167" s="237"/>
      <c r="BC167" s="237"/>
      <c r="BD167" s="237"/>
      <c r="BE167" s="237"/>
      <c r="BF167" s="237"/>
      <c r="BG167" s="237"/>
      <c r="BH167" s="237"/>
      <c r="BI167" s="237"/>
      <c r="BJ167" s="237"/>
      <c r="BK167" s="237"/>
      <c r="BL167" s="593"/>
    </row>
    <row r="168" spans="3:64" s="591" customFormat="1">
      <c r="E168" s="599"/>
      <c r="F168" s="594"/>
      <c r="U168" s="594"/>
      <c r="AI168" s="594"/>
      <c r="AJ168" s="592"/>
      <c r="AK168" s="237"/>
      <c r="AL168" s="237"/>
      <c r="AM168" s="237"/>
      <c r="AN168" s="237"/>
      <c r="AO168" s="237"/>
      <c r="AP168" s="237"/>
      <c r="AQ168" s="237"/>
      <c r="AR168" s="237"/>
      <c r="AS168" s="237"/>
      <c r="AT168" s="237"/>
      <c r="AU168" s="237"/>
      <c r="AV168" s="237"/>
      <c r="AW168" s="237"/>
      <c r="AX168" s="237"/>
      <c r="AY168" s="237"/>
      <c r="AZ168" s="237"/>
      <c r="BA168" s="237"/>
      <c r="BB168" s="237"/>
      <c r="BC168" s="237"/>
      <c r="BD168" s="237"/>
      <c r="BE168" s="237"/>
      <c r="BF168" s="237"/>
      <c r="BG168" s="237"/>
      <c r="BH168" s="237"/>
      <c r="BI168" s="237"/>
      <c r="BJ168" s="237"/>
      <c r="BK168" s="237"/>
      <c r="BL168" s="593"/>
    </row>
    <row r="169" spans="3:64" s="591" customFormat="1">
      <c r="E169" s="599"/>
      <c r="F169" s="594"/>
      <c r="U169" s="594"/>
      <c r="AI169" s="594"/>
      <c r="AJ169" s="592"/>
      <c r="AK169" s="237"/>
      <c r="AL169" s="237"/>
      <c r="AM169" s="237"/>
      <c r="AN169" s="237"/>
      <c r="AO169" s="237"/>
      <c r="AP169" s="237"/>
      <c r="AQ169" s="237"/>
      <c r="AR169" s="237"/>
      <c r="AS169" s="237"/>
      <c r="AT169" s="237"/>
      <c r="AU169" s="237"/>
      <c r="AV169" s="237"/>
      <c r="AW169" s="237"/>
      <c r="AX169" s="237"/>
      <c r="AY169" s="237"/>
      <c r="AZ169" s="237"/>
      <c r="BA169" s="237"/>
      <c r="BB169" s="237"/>
      <c r="BC169" s="237"/>
      <c r="BD169" s="237"/>
      <c r="BE169" s="237"/>
      <c r="BF169" s="237"/>
      <c r="BG169" s="237"/>
      <c r="BH169" s="237"/>
      <c r="BI169" s="237"/>
      <c r="BJ169" s="237"/>
      <c r="BK169" s="237"/>
      <c r="BL169" s="593"/>
    </row>
    <row r="170" spans="3:64" s="591" customFormat="1">
      <c r="E170" s="599"/>
      <c r="F170" s="594"/>
      <c r="U170" s="594"/>
      <c r="AI170" s="594"/>
      <c r="AJ170" s="592"/>
      <c r="AK170" s="237"/>
      <c r="AL170" s="237"/>
      <c r="AM170" s="237"/>
      <c r="AN170" s="237"/>
      <c r="AO170" s="237"/>
      <c r="AP170" s="237"/>
      <c r="AQ170" s="237"/>
      <c r="AR170" s="237"/>
      <c r="AS170" s="237"/>
      <c r="AT170" s="237"/>
      <c r="AU170" s="237"/>
      <c r="AV170" s="237"/>
      <c r="AW170" s="237"/>
      <c r="AX170" s="237"/>
      <c r="AY170" s="237"/>
      <c r="AZ170" s="237"/>
      <c r="BA170" s="237"/>
      <c r="BB170" s="237"/>
      <c r="BC170" s="237"/>
      <c r="BD170" s="237"/>
      <c r="BE170" s="237"/>
      <c r="BF170" s="237"/>
      <c r="BG170" s="237"/>
      <c r="BH170" s="237"/>
      <c r="BI170" s="237"/>
      <c r="BJ170" s="237"/>
      <c r="BK170" s="237"/>
      <c r="BL170" s="593"/>
    </row>
    <row r="171" spans="3:64" s="591" customFormat="1">
      <c r="E171" s="599"/>
      <c r="F171" s="594"/>
      <c r="U171" s="594"/>
      <c r="AI171" s="594"/>
      <c r="AJ171" s="592"/>
      <c r="AK171" s="237"/>
      <c r="AL171" s="237"/>
      <c r="AM171" s="237"/>
      <c r="AN171" s="237"/>
      <c r="AO171" s="237"/>
      <c r="AP171" s="237"/>
      <c r="AQ171" s="237"/>
      <c r="AR171" s="237"/>
      <c r="AS171" s="237"/>
      <c r="AT171" s="237"/>
      <c r="AU171" s="237"/>
      <c r="AV171" s="237"/>
      <c r="AW171" s="237"/>
      <c r="AX171" s="237"/>
      <c r="AY171" s="237"/>
      <c r="AZ171" s="237"/>
      <c r="BA171" s="237"/>
      <c r="BB171" s="237"/>
      <c r="BC171" s="237"/>
      <c r="BD171" s="237"/>
      <c r="BE171" s="237"/>
      <c r="BF171" s="237"/>
      <c r="BG171" s="237"/>
      <c r="BH171" s="237"/>
      <c r="BI171" s="237"/>
      <c r="BJ171" s="237"/>
      <c r="BK171" s="237"/>
      <c r="BL171" s="593"/>
    </row>
    <row r="172" spans="3:64" s="591" customFormat="1">
      <c r="E172" s="599"/>
      <c r="F172" s="594"/>
      <c r="U172" s="594"/>
      <c r="AI172" s="594"/>
      <c r="AJ172" s="592"/>
      <c r="AK172" s="237"/>
      <c r="AL172" s="237"/>
      <c r="AM172" s="237"/>
      <c r="AN172" s="237"/>
      <c r="AO172" s="237"/>
      <c r="AP172" s="237"/>
      <c r="AQ172" s="237"/>
      <c r="AR172" s="237"/>
      <c r="AS172" s="237"/>
      <c r="AT172" s="237"/>
      <c r="AU172" s="237"/>
      <c r="AV172" s="237"/>
      <c r="AW172" s="237"/>
      <c r="AX172" s="237"/>
      <c r="AY172" s="237"/>
      <c r="AZ172" s="237"/>
      <c r="BA172" s="237"/>
      <c r="BB172" s="237"/>
      <c r="BC172" s="237"/>
      <c r="BD172" s="237"/>
      <c r="BE172" s="237"/>
      <c r="BF172" s="237"/>
      <c r="BG172" s="237"/>
      <c r="BH172" s="237"/>
      <c r="BI172" s="237"/>
      <c r="BJ172" s="237"/>
      <c r="BK172" s="237"/>
      <c r="BL172" s="593"/>
    </row>
    <row r="173" spans="3:64" s="591" customFormat="1">
      <c r="E173" s="599"/>
      <c r="F173" s="594"/>
      <c r="U173" s="594"/>
      <c r="AI173" s="594"/>
      <c r="AJ173" s="592"/>
      <c r="AK173" s="237"/>
      <c r="AL173" s="237"/>
      <c r="AM173" s="237"/>
      <c r="AN173" s="237"/>
      <c r="AO173" s="237"/>
      <c r="AP173" s="237"/>
      <c r="AQ173" s="237"/>
      <c r="AR173" s="237"/>
      <c r="AS173" s="237"/>
      <c r="AT173" s="237"/>
      <c r="AU173" s="237"/>
      <c r="AV173" s="237"/>
      <c r="AW173" s="237"/>
      <c r="AX173" s="237"/>
      <c r="AY173" s="237"/>
      <c r="AZ173" s="237"/>
      <c r="BA173" s="237"/>
      <c r="BB173" s="237"/>
      <c r="BC173" s="237"/>
      <c r="BD173" s="237"/>
      <c r="BE173" s="237"/>
      <c r="BF173" s="237"/>
      <c r="BG173" s="237"/>
      <c r="BH173" s="237"/>
      <c r="BI173" s="237"/>
      <c r="BJ173" s="237"/>
      <c r="BK173" s="237"/>
      <c r="BL173" s="593"/>
    </row>
    <row r="174" spans="3:64" s="591" customFormat="1">
      <c r="E174" s="599"/>
      <c r="F174" s="594"/>
      <c r="U174" s="594"/>
      <c r="AI174" s="594"/>
      <c r="AJ174" s="592"/>
      <c r="AK174" s="237"/>
      <c r="AL174" s="237"/>
      <c r="AM174" s="237"/>
      <c r="AN174" s="237"/>
      <c r="AO174" s="237"/>
      <c r="AP174" s="237"/>
      <c r="AQ174" s="237"/>
      <c r="AR174" s="237"/>
      <c r="AS174" s="237"/>
      <c r="AT174" s="237"/>
      <c r="AU174" s="237"/>
      <c r="AV174" s="237"/>
      <c r="AW174" s="237"/>
      <c r="AX174" s="237"/>
      <c r="AY174" s="237"/>
      <c r="AZ174" s="237"/>
      <c r="BA174" s="237"/>
      <c r="BB174" s="237"/>
      <c r="BC174" s="237"/>
      <c r="BD174" s="237"/>
      <c r="BE174" s="237"/>
      <c r="BF174" s="237"/>
      <c r="BG174" s="237"/>
      <c r="BH174" s="237"/>
      <c r="BI174" s="237"/>
      <c r="BJ174" s="237"/>
      <c r="BK174" s="237"/>
      <c r="BL174" s="593"/>
    </row>
    <row r="175" spans="3:64" s="591" customFormat="1">
      <c r="E175" s="599"/>
      <c r="F175" s="594"/>
      <c r="U175" s="594"/>
      <c r="AI175" s="594"/>
      <c r="AJ175" s="592"/>
      <c r="AK175" s="237"/>
      <c r="AL175" s="237"/>
      <c r="AM175" s="237"/>
      <c r="AN175" s="237"/>
      <c r="AO175" s="237"/>
      <c r="AP175" s="237"/>
      <c r="AQ175" s="237"/>
      <c r="AR175" s="237"/>
      <c r="AS175" s="237"/>
      <c r="AT175" s="237"/>
      <c r="AU175" s="237"/>
      <c r="AV175" s="237"/>
      <c r="AW175" s="237"/>
      <c r="AX175" s="237"/>
      <c r="AY175" s="237"/>
      <c r="AZ175" s="237"/>
      <c r="BA175" s="237"/>
      <c r="BB175" s="237"/>
      <c r="BC175" s="237"/>
      <c r="BD175" s="237"/>
      <c r="BE175" s="237"/>
      <c r="BF175" s="237"/>
      <c r="BG175" s="237"/>
      <c r="BH175" s="237"/>
      <c r="BI175" s="237"/>
      <c r="BJ175" s="237"/>
      <c r="BK175" s="237"/>
      <c r="BL175" s="593"/>
    </row>
    <row r="176" spans="3:64" s="591" customFormat="1">
      <c r="E176" s="599"/>
      <c r="F176" s="594"/>
      <c r="U176" s="594"/>
      <c r="AI176" s="594"/>
      <c r="AJ176" s="592"/>
      <c r="AK176" s="237"/>
      <c r="AL176" s="237"/>
      <c r="AM176" s="237"/>
      <c r="AN176" s="237"/>
      <c r="AO176" s="237"/>
      <c r="AP176" s="237"/>
      <c r="AQ176" s="237"/>
      <c r="AR176" s="237"/>
      <c r="AS176" s="237"/>
      <c r="AT176" s="237"/>
      <c r="AU176" s="237"/>
      <c r="AV176" s="237"/>
      <c r="AW176" s="237"/>
      <c r="AX176" s="237"/>
      <c r="AY176" s="237"/>
      <c r="AZ176" s="237"/>
      <c r="BA176" s="237"/>
      <c r="BB176" s="237"/>
      <c r="BC176" s="237"/>
      <c r="BD176" s="237"/>
      <c r="BE176" s="237"/>
      <c r="BF176" s="237"/>
      <c r="BG176" s="237"/>
      <c r="BH176" s="237"/>
      <c r="BI176" s="237"/>
      <c r="BJ176" s="237"/>
      <c r="BK176" s="237"/>
      <c r="BL176" s="593"/>
    </row>
    <row r="177" spans="5:64" s="591" customFormat="1">
      <c r="E177" s="599"/>
      <c r="F177" s="594"/>
      <c r="U177" s="594"/>
      <c r="AI177" s="594"/>
      <c r="AJ177" s="592"/>
      <c r="AK177" s="237"/>
      <c r="AL177" s="237"/>
      <c r="AM177" s="237"/>
      <c r="AN177" s="237"/>
      <c r="AO177" s="237"/>
      <c r="AP177" s="237"/>
      <c r="AQ177" s="237"/>
      <c r="AR177" s="237"/>
      <c r="AS177" s="237"/>
      <c r="AT177" s="237"/>
      <c r="AU177" s="237"/>
      <c r="AV177" s="237"/>
      <c r="AW177" s="237"/>
      <c r="AX177" s="237"/>
      <c r="AY177" s="237"/>
      <c r="AZ177" s="237"/>
      <c r="BA177" s="237"/>
      <c r="BB177" s="237"/>
      <c r="BC177" s="237"/>
      <c r="BD177" s="237"/>
      <c r="BE177" s="237"/>
      <c r="BF177" s="237"/>
      <c r="BG177" s="237"/>
      <c r="BH177" s="237"/>
      <c r="BI177" s="237"/>
      <c r="BJ177" s="237"/>
      <c r="BK177" s="237"/>
      <c r="BL177" s="593"/>
    </row>
    <row r="178" spans="5:64" s="591" customFormat="1">
      <c r="E178" s="599"/>
      <c r="F178" s="594"/>
      <c r="U178" s="594"/>
      <c r="AI178" s="594"/>
      <c r="AJ178" s="592"/>
      <c r="AK178" s="237"/>
      <c r="AL178" s="237"/>
      <c r="AM178" s="237"/>
      <c r="AN178" s="237"/>
      <c r="AO178" s="237"/>
      <c r="AP178" s="237"/>
      <c r="AQ178" s="237"/>
      <c r="AR178" s="237"/>
      <c r="AS178" s="237"/>
      <c r="AT178" s="237"/>
      <c r="AU178" s="237"/>
      <c r="AV178" s="237"/>
      <c r="AW178" s="237"/>
      <c r="AX178" s="237"/>
      <c r="AY178" s="237"/>
      <c r="AZ178" s="237"/>
      <c r="BA178" s="237"/>
      <c r="BB178" s="237"/>
      <c r="BC178" s="237"/>
      <c r="BD178" s="237"/>
      <c r="BE178" s="237"/>
      <c r="BF178" s="237"/>
      <c r="BG178" s="237"/>
      <c r="BH178" s="237"/>
      <c r="BI178" s="237"/>
      <c r="BJ178" s="237"/>
      <c r="BK178" s="237"/>
      <c r="BL178" s="593"/>
    </row>
    <row r="179" spans="5:64" s="591" customFormat="1">
      <c r="E179" s="599"/>
      <c r="F179" s="594"/>
      <c r="U179" s="594"/>
      <c r="AI179" s="594"/>
      <c r="AJ179" s="592"/>
      <c r="AK179" s="237"/>
      <c r="AL179" s="237"/>
      <c r="AM179" s="237"/>
      <c r="AN179" s="237"/>
      <c r="AO179" s="237"/>
      <c r="AP179" s="237"/>
      <c r="AQ179" s="237"/>
      <c r="AR179" s="237"/>
      <c r="AS179" s="237"/>
      <c r="AT179" s="237"/>
      <c r="AU179" s="237"/>
      <c r="AV179" s="237"/>
      <c r="AW179" s="237"/>
      <c r="AX179" s="237"/>
      <c r="AY179" s="237"/>
      <c r="AZ179" s="237"/>
      <c r="BA179" s="237"/>
      <c r="BB179" s="237"/>
      <c r="BC179" s="237"/>
      <c r="BD179" s="237"/>
      <c r="BE179" s="237"/>
      <c r="BF179" s="237"/>
      <c r="BG179" s="237"/>
      <c r="BH179" s="237"/>
      <c r="BI179" s="237"/>
      <c r="BJ179" s="237"/>
      <c r="BK179" s="237"/>
      <c r="BL179" s="593"/>
    </row>
    <row r="180" spans="5:64" s="591" customFormat="1">
      <c r="E180" s="599"/>
      <c r="F180" s="594"/>
      <c r="U180" s="594"/>
      <c r="AI180" s="594"/>
      <c r="AJ180" s="592"/>
      <c r="AK180" s="237"/>
      <c r="AL180" s="237"/>
      <c r="AM180" s="237"/>
      <c r="AN180" s="237"/>
      <c r="AO180" s="237"/>
      <c r="AP180" s="237"/>
      <c r="AQ180" s="237"/>
      <c r="AR180" s="237"/>
      <c r="AS180" s="237"/>
      <c r="AT180" s="237"/>
      <c r="AU180" s="237"/>
      <c r="AV180" s="237"/>
      <c r="AW180" s="237"/>
      <c r="AX180" s="237"/>
      <c r="AY180" s="237"/>
      <c r="AZ180" s="237"/>
      <c r="BA180" s="237"/>
      <c r="BB180" s="237"/>
      <c r="BC180" s="237"/>
      <c r="BD180" s="237"/>
      <c r="BE180" s="237"/>
      <c r="BF180" s="237"/>
      <c r="BG180" s="237"/>
      <c r="BH180" s="237"/>
      <c r="BI180" s="237"/>
      <c r="BJ180" s="237"/>
      <c r="BK180" s="237"/>
      <c r="BL180" s="593"/>
    </row>
    <row r="181" spans="5:64" s="591" customFormat="1">
      <c r="E181" s="599"/>
      <c r="F181" s="594"/>
      <c r="U181" s="594"/>
      <c r="AI181" s="594"/>
      <c r="AJ181" s="592"/>
      <c r="AK181" s="237"/>
      <c r="AL181" s="237"/>
      <c r="AM181" s="237"/>
      <c r="AN181" s="237"/>
      <c r="AO181" s="237"/>
      <c r="AP181" s="237"/>
      <c r="AQ181" s="237"/>
      <c r="AR181" s="237"/>
      <c r="AS181" s="237"/>
      <c r="AT181" s="237"/>
      <c r="AU181" s="237"/>
      <c r="AV181" s="237"/>
      <c r="AW181" s="237"/>
      <c r="AX181" s="237"/>
      <c r="AY181" s="237"/>
      <c r="AZ181" s="237"/>
      <c r="BA181" s="237"/>
      <c r="BB181" s="237"/>
      <c r="BC181" s="237"/>
      <c r="BD181" s="237"/>
      <c r="BE181" s="237"/>
      <c r="BF181" s="237"/>
      <c r="BG181" s="237"/>
      <c r="BH181" s="237"/>
      <c r="BI181" s="237"/>
      <c r="BJ181" s="237"/>
      <c r="BK181" s="237"/>
      <c r="BL181" s="593"/>
    </row>
    <row r="182" spans="5:64" s="591" customFormat="1">
      <c r="E182" s="599"/>
      <c r="F182" s="594"/>
      <c r="U182" s="594"/>
      <c r="AI182" s="594"/>
      <c r="AJ182" s="592"/>
      <c r="AK182" s="237"/>
      <c r="AL182" s="237"/>
      <c r="AM182" s="237"/>
      <c r="AN182" s="237"/>
      <c r="AO182" s="237"/>
      <c r="AP182" s="237"/>
      <c r="AQ182" s="237"/>
      <c r="AR182" s="237"/>
      <c r="AS182" s="237"/>
      <c r="AT182" s="237"/>
      <c r="AU182" s="237"/>
      <c r="AV182" s="237"/>
      <c r="AW182" s="237"/>
      <c r="AX182" s="237"/>
      <c r="AY182" s="237"/>
      <c r="AZ182" s="237"/>
      <c r="BA182" s="237"/>
      <c r="BB182" s="237"/>
      <c r="BC182" s="237"/>
      <c r="BD182" s="237"/>
      <c r="BE182" s="237"/>
      <c r="BF182" s="237"/>
      <c r="BG182" s="237"/>
      <c r="BH182" s="237"/>
      <c r="BI182" s="237"/>
      <c r="BJ182" s="237"/>
      <c r="BK182" s="237"/>
      <c r="BL182" s="593"/>
    </row>
    <row r="183" spans="5:64" s="591" customFormat="1">
      <c r="E183" s="599"/>
      <c r="F183" s="594"/>
      <c r="U183" s="594"/>
      <c r="AI183" s="594"/>
      <c r="AJ183" s="592"/>
      <c r="AK183" s="237"/>
      <c r="AL183" s="237"/>
      <c r="AM183" s="237"/>
      <c r="AN183" s="237"/>
      <c r="AO183" s="237"/>
      <c r="AP183" s="237"/>
      <c r="AQ183" s="237"/>
      <c r="AR183" s="237"/>
      <c r="AS183" s="237"/>
      <c r="AT183" s="237"/>
      <c r="AU183" s="237"/>
      <c r="AV183" s="237"/>
      <c r="AW183" s="237"/>
      <c r="AX183" s="237"/>
      <c r="AY183" s="237"/>
      <c r="AZ183" s="237"/>
      <c r="BA183" s="237"/>
      <c r="BB183" s="237"/>
      <c r="BC183" s="237"/>
      <c r="BD183" s="237"/>
      <c r="BE183" s="237"/>
      <c r="BF183" s="237"/>
      <c r="BG183" s="237"/>
      <c r="BH183" s="237"/>
      <c r="BI183" s="237"/>
      <c r="BJ183" s="237"/>
      <c r="BK183" s="237"/>
      <c r="BL183" s="593"/>
    </row>
    <row r="184" spans="5:64" s="591" customFormat="1">
      <c r="E184" s="599"/>
      <c r="F184" s="594"/>
      <c r="U184" s="594"/>
      <c r="AI184" s="594"/>
      <c r="AJ184" s="592"/>
      <c r="AK184" s="237"/>
      <c r="AL184" s="237"/>
      <c r="AM184" s="237"/>
      <c r="AN184" s="237"/>
      <c r="AO184" s="237"/>
      <c r="AP184" s="237"/>
      <c r="AQ184" s="237"/>
      <c r="AR184" s="237"/>
      <c r="AS184" s="237"/>
      <c r="AT184" s="237"/>
      <c r="AU184" s="237"/>
      <c r="AV184" s="237"/>
      <c r="AW184" s="237"/>
      <c r="AX184" s="237"/>
      <c r="AY184" s="237"/>
      <c r="AZ184" s="237"/>
      <c r="BA184" s="237"/>
      <c r="BB184" s="237"/>
      <c r="BC184" s="237"/>
      <c r="BD184" s="237"/>
      <c r="BE184" s="237"/>
      <c r="BF184" s="237"/>
      <c r="BG184" s="237"/>
      <c r="BH184" s="237"/>
      <c r="BI184" s="237"/>
      <c r="BJ184" s="237"/>
      <c r="BK184" s="237"/>
      <c r="BL184" s="593"/>
    </row>
    <row r="185" spans="5:64" s="591" customFormat="1">
      <c r="E185" s="599"/>
      <c r="F185" s="594"/>
      <c r="U185" s="594"/>
      <c r="AI185" s="594"/>
      <c r="AJ185" s="592"/>
      <c r="AK185" s="237"/>
      <c r="AL185" s="237"/>
      <c r="AM185" s="237"/>
      <c r="AN185" s="237"/>
      <c r="AO185" s="237"/>
      <c r="AP185" s="237"/>
      <c r="AQ185" s="237"/>
      <c r="AR185" s="237"/>
      <c r="AS185" s="237"/>
      <c r="AT185" s="237"/>
      <c r="AU185" s="237"/>
      <c r="AV185" s="237"/>
      <c r="AW185" s="237"/>
      <c r="AX185" s="237"/>
      <c r="AY185" s="237"/>
      <c r="AZ185" s="237"/>
      <c r="BA185" s="237"/>
      <c r="BB185" s="237"/>
      <c r="BC185" s="237"/>
      <c r="BD185" s="237"/>
      <c r="BE185" s="237"/>
      <c r="BF185" s="237"/>
      <c r="BG185" s="237"/>
      <c r="BH185" s="237"/>
      <c r="BI185" s="237"/>
      <c r="BJ185" s="237"/>
      <c r="BK185" s="237"/>
      <c r="BL185" s="593"/>
    </row>
    <row r="186" spans="5:64" s="591" customFormat="1">
      <c r="E186" s="599"/>
      <c r="F186" s="594"/>
      <c r="U186" s="594"/>
      <c r="AI186" s="594"/>
      <c r="AJ186" s="592"/>
      <c r="AK186" s="237"/>
      <c r="AL186" s="237"/>
      <c r="AM186" s="237"/>
      <c r="AN186" s="237"/>
      <c r="AO186" s="237"/>
      <c r="AP186" s="237"/>
      <c r="AQ186" s="237"/>
      <c r="AR186" s="237"/>
      <c r="AS186" s="237"/>
      <c r="AT186" s="237"/>
      <c r="AU186" s="237"/>
      <c r="AV186" s="237"/>
      <c r="AW186" s="237"/>
      <c r="AX186" s="237"/>
      <c r="AY186" s="237"/>
      <c r="AZ186" s="237"/>
      <c r="BA186" s="237"/>
      <c r="BB186" s="237"/>
      <c r="BC186" s="237"/>
      <c r="BD186" s="237"/>
      <c r="BE186" s="237"/>
      <c r="BF186" s="237"/>
      <c r="BG186" s="237"/>
      <c r="BH186" s="237"/>
      <c r="BI186" s="237"/>
      <c r="BJ186" s="237"/>
      <c r="BK186" s="237"/>
      <c r="BL186" s="593"/>
    </row>
    <row r="187" spans="5:64" s="591" customFormat="1">
      <c r="E187" s="599"/>
      <c r="F187" s="594"/>
      <c r="U187" s="594"/>
      <c r="AI187" s="594"/>
      <c r="AJ187" s="592"/>
      <c r="AK187" s="237"/>
      <c r="AL187" s="237"/>
      <c r="AM187" s="237"/>
      <c r="AN187" s="237"/>
      <c r="AO187" s="237"/>
      <c r="AP187" s="237"/>
      <c r="AQ187" s="237"/>
      <c r="AR187" s="237"/>
      <c r="AS187" s="237"/>
      <c r="AT187" s="237"/>
      <c r="AU187" s="237"/>
      <c r="AV187" s="237"/>
      <c r="AW187" s="237"/>
      <c r="AX187" s="237"/>
      <c r="AY187" s="237"/>
      <c r="AZ187" s="237"/>
      <c r="BA187" s="237"/>
      <c r="BB187" s="237"/>
      <c r="BC187" s="237"/>
      <c r="BD187" s="237"/>
      <c r="BE187" s="237"/>
      <c r="BF187" s="237"/>
      <c r="BG187" s="237"/>
      <c r="BH187" s="237"/>
      <c r="BI187" s="237"/>
      <c r="BJ187" s="237"/>
      <c r="BK187" s="237"/>
      <c r="BL187" s="593"/>
    </row>
    <row r="188" spans="5:64" s="591" customFormat="1">
      <c r="E188" s="599"/>
      <c r="F188" s="594"/>
      <c r="U188" s="594"/>
      <c r="AI188" s="594"/>
      <c r="AJ188" s="592"/>
      <c r="AK188" s="237"/>
      <c r="AL188" s="237"/>
      <c r="AM188" s="237"/>
      <c r="AN188" s="237"/>
      <c r="AO188" s="237"/>
      <c r="AP188" s="237"/>
      <c r="AQ188" s="237"/>
      <c r="AR188" s="237"/>
      <c r="AS188" s="237"/>
      <c r="AT188" s="237"/>
      <c r="AU188" s="237"/>
      <c r="AV188" s="237"/>
      <c r="AW188" s="237"/>
      <c r="AX188" s="237"/>
      <c r="AY188" s="237"/>
      <c r="AZ188" s="237"/>
      <c r="BA188" s="237"/>
      <c r="BB188" s="237"/>
      <c r="BC188" s="237"/>
      <c r="BD188" s="237"/>
      <c r="BE188" s="237"/>
      <c r="BF188" s="237"/>
      <c r="BG188" s="237"/>
      <c r="BH188" s="237"/>
      <c r="BI188" s="237"/>
      <c r="BJ188" s="237"/>
      <c r="BK188" s="237"/>
      <c r="BL188" s="593"/>
    </row>
    <row r="189" spans="5:64" s="591" customFormat="1">
      <c r="E189" s="599"/>
      <c r="F189" s="594"/>
      <c r="U189" s="594"/>
      <c r="AI189" s="594"/>
      <c r="AJ189" s="592"/>
      <c r="AK189" s="237"/>
      <c r="AL189" s="237"/>
      <c r="AM189" s="237"/>
      <c r="AN189" s="237"/>
      <c r="AO189" s="237"/>
      <c r="AP189" s="237"/>
      <c r="AQ189" s="237"/>
      <c r="AR189" s="237"/>
      <c r="AS189" s="237"/>
      <c r="AT189" s="237"/>
      <c r="AU189" s="237"/>
      <c r="AV189" s="237"/>
      <c r="AW189" s="237"/>
      <c r="AX189" s="237"/>
      <c r="AY189" s="237"/>
      <c r="AZ189" s="237"/>
      <c r="BA189" s="237"/>
      <c r="BB189" s="237"/>
      <c r="BC189" s="237"/>
      <c r="BD189" s="237"/>
      <c r="BE189" s="237"/>
      <c r="BF189" s="237"/>
      <c r="BG189" s="237"/>
      <c r="BH189" s="237"/>
      <c r="BI189" s="237"/>
      <c r="BJ189" s="237"/>
      <c r="BK189" s="237"/>
      <c r="BL189" s="593"/>
    </row>
    <row r="190" spans="5:64" s="591" customFormat="1">
      <c r="E190" s="599"/>
      <c r="F190" s="594"/>
      <c r="U190" s="594"/>
      <c r="AI190" s="594"/>
      <c r="AJ190" s="592"/>
      <c r="AK190" s="237"/>
      <c r="AL190" s="237"/>
      <c r="AM190" s="237"/>
      <c r="AN190" s="237"/>
      <c r="AO190" s="237"/>
      <c r="AP190" s="237"/>
      <c r="AQ190" s="237"/>
      <c r="AR190" s="237"/>
      <c r="AS190" s="237"/>
      <c r="AT190" s="237"/>
      <c r="AU190" s="237"/>
      <c r="AV190" s="237"/>
      <c r="AW190" s="237"/>
      <c r="AX190" s="237"/>
      <c r="AY190" s="237"/>
      <c r="AZ190" s="237"/>
      <c r="BA190" s="237"/>
      <c r="BB190" s="237"/>
      <c r="BC190" s="237"/>
      <c r="BD190" s="237"/>
      <c r="BE190" s="237"/>
      <c r="BF190" s="237"/>
      <c r="BG190" s="237"/>
      <c r="BH190" s="237"/>
      <c r="BI190" s="237"/>
      <c r="BJ190" s="237"/>
      <c r="BK190" s="237"/>
      <c r="BL190" s="593"/>
    </row>
    <row r="191" spans="5:64" s="591" customFormat="1">
      <c r="E191" s="599"/>
      <c r="F191" s="594"/>
      <c r="U191" s="594"/>
      <c r="AI191" s="594"/>
      <c r="AJ191" s="592"/>
      <c r="AK191" s="237"/>
      <c r="AL191" s="237"/>
      <c r="AM191" s="237"/>
      <c r="AN191" s="237"/>
      <c r="AO191" s="237"/>
      <c r="AP191" s="237"/>
      <c r="AQ191" s="237"/>
      <c r="AR191" s="237"/>
      <c r="AS191" s="237"/>
      <c r="AT191" s="237"/>
      <c r="AU191" s="237"/>
      <c r="AV191" s="237"/>
      <c r="AW191" s="237"/>
      <c r="AX191" s="237"/>
      <c r="AY191" s="237"/>
      <c r="AZ191" s="237"/>
      <c r="BA191" s="237"/>
      <c r="BB191" s="237"/>
      <c r="BC191" s="237"/>
      <c r="BD191" s="237"/>
      <c r="BE191" s="237"/>
      <c r="BF191" s="237"/>
      <c r="BG191" s="237"/>
      <c r="BH191" s="237"/>
      <c r="BI191" s="237"/>
      <c r="BJ191" s="237"/>
      <c r="BK191" s="237"/>
      <c r="BL191" s="593"/>
    </row>
    <row r="192" spans="5:64" s="591" customFormat="1">
      <c r="E192" s="599"/>
      <c r="F192" s="594"/>
      <c r="U192" s="594"/>
      <c r="AI192" s="594"/>
      <c r="AJ192" s="592"/>
      <c r="AK192" s="237"/>
      <c r="AL192" s="237"/>
      <c r="AM192" s="237"/>
      <c r="AN192" s="237"/>
      <c r="AO192" s="237"/>
      <c r="AP192" s="237"/>
      <c r="AQ192" s="237"/>
      <c r="AR192" s="237"/>
      <c r="AS192" s="237"/>
      <c r="AT192" s="237"/>
      <c r="AU192" s="237"/>
      <c r="AV192" s="237"/>
      <c r="AW192" s="237"/>
      <c r="AX192" s="237"/>
      <c r="AY192" s="237"/>
      <c r="AZ192" s="237"/>
      <c r="BA192" s="237"/>
      <c r="BB192" s="237"/>
      <c r="BC192" s="237"/>
      <c r="BD192" s="237"/>
      <c r="BE192" s="237"/>
      <c r="BF192" s="237"/>
      <c r="BG192" s="237"/>
      <c r="BH192" s="237"/>
      <c r="BI192" s="237"/>
      <c r="BJ192" s="237"/>
      <c r="BK192" s="237"/>
      <c r="BL192" s="593"/>
    </row>
    <row r="193" spans="5:64" s="591" customFormat="1">
      <c r="E193" s="599"/>
      <c r="F193" s="594"/>
      <c r="U193" s="594"/>
      <c r="AI193" s="594"/>
      <c r="AJ193" s="592"/>
      <c r="AK193" s="237"/>
      <c r="AL193" s="237"/>
      <c r="AM193" s="237"/>
      <c r="AN193" s="237"/>
      <c r="AO193" s="237"/>
      <c r="AP193" s="237"/>
      <c r="AQ193" s="237"/>
      <c r="AR193" s="237"/>
      <c r="AS193" s="237"/>
      <c r="AT193" s="237"/>
      <c r="AU193" s="237"/>
      <c r="AV193" s="237"/>
      <c r="AW193" s="237"/>
      <c r="AX193" s="237"/>
      <c r="AY193" s="237"/>
      <c r="AZ193" s="237"/>
      <c r="BA193" s="237"/>
      <c r="BB193" s="237"/>
      <c r="BC193" s="237"/>
      <c r="BD193" s="237"/>
      <c r="BE193" s="237"/>
      <c r="BF193" s="237"/>
      <c r="BG193" s="237"/>
      <c r="BH193" s="237"/>
      <c r="BI193" s="237"/>
      <c r="BJ193" s="237"/>
      <c r="BK193" s="237"/>
      <c r="BL193" s="593"/>
    </row>
    <row r="194" spans="5:64" s="591" customFormat="1">
      <c r="E194" s="599"/>
      <c r="F194" s="594"/>
      <c r="U194" s="594"/>
      <c r="AI194" s="594"/>
      <c r="AJ194" s="592"/>
      <c r="AK194" s="237"/>
      <c r="AL194" s="237"/>
      <c r="AM194" s="237"/>
      <c r="AN194" s="237"/>
      <c r="AO194" s="237"/>
      <c r="AP194" s="237"/>
      <c r="AQ194" s="237"/>
      <c r="AR194" s="237"/>
      <c r="AS194" s="237"/>
      <c r="AT194" s="237"/>
      <c r="AU194" s="237"/>
      <c r="AV194" s="237"/>
      <c r="AW194" s="237"/>
      <c r="AX194" s="237"/>
      <c r="AY194" s="237"/>
      <c r="AZ194" s="237"/>
      <c r="BA194" s="237"/>
      <c r="BB194" s="237"/>
      <c r="BC194" s="237"/>
      <c r="BD194" s="237"/>
      <c r="BE194" s="237"/>
      <c r="BF194" s="237"/>
      <c r="BG194" s="237"/>
      <c r="BH194" s="237"/>
      <c r="BI194" s="237"/>
      <c r="BJ194" s="237"/>
      <c r="BK194" s="237"/>
      <c r="BL194" s="593"/>
    </row>
    <row r="195" spans="5:64" s="591" customFormat="1">
      <c r="E195" s="599"/>
      <c r="F195" s="594"/>
      <c r="U195" s="594"/>
      <c r="AI195" s="594"/>
      <c r="AJ195" s="592"/>
      <c r="AK195" s="237"/>
      <c r="AL195" s="237"/>
      <c r="AM195" s="237"/>
      <c r="AN195" s="237"/>
      <c r="AO195" s="237"/>
      <c r="AP195" s="237"/>
      <c r="AQ195" s="237"/>
      <c r="AR195" s="237"/>
      <c r="AS195" s="237"/>
      <c r="AT195" s="237"/>
      <c r="AU195" s="237"/>
      <c r="AV195" s="237"/>
      <c r="AW195" s="237"/>
      <c r="AX195" s="237"/>
      <c r="AY195" s="237"/>
      <c r="AZ195" s="237"/>
      <c r="BA195" s="237"/>
      <c r="BB195" s="237"/>
      <c r="BC195" s="237"/>
      <c r="BD195" s="237"/>
      <c r="BE195" s="237"/>
      <c r="BF195" s="237"/>
      <c r="BG195" s="237"/>
      <c r="BH195" s="237"/>
      <c r="BI195" s="237"/>
      <c r="BJ195" s="237"/>
      <c r="BK195" s="237"/>
      <c r="BL195" s="593"/>
    </row>
    <row r="196" spans="5:64" s="591" customFormat="1">
      <c r="E196" s="599"/>
      <c r="F196" s="594"/>
      <c r="U196" s="594"/>
      <c r="AI196" s="594"/>
      <c r="AJ196" s="592"/>
      <c r="AK196" s="237"/>
      <c r="AL196" s="237"/>
      <c r="AM196" s="237"/>
      <c r="AN196" s="237"/>
      <c r="AO196" s="237"/>
      <c r="AP196" s="237"/>
      <c r="AQ196" s="237"/>
      <c r="AR196" s="237"/>
      <c r="AS196" s="237"/>
      <c r="AT196" s="237"/>
      <c r="AU196" s="237"/>
      <c r="AV196" s="237"/>
      <c r="AW196" s="237"/>
      <c r="AX196" s="237"/>
      <c r="AY196" s="237"/>
      <c r="AZ196" s="237"/>
      <c r="BA196" s="237"/>
      <c r="BB196" s="237"/>
      <c r="BC196" s="237"/>
      <c r="BD196" s="237"/>
      <c r="BE196" s="237"/>
      <c r="BF196" s="237"/>
      <c r="BG196" s="237"/>
      <c r="BH196" s="237"/>
      <c r="BI196" s="237"/>
      <c r="BJ196" s="237"/>
      <c r="BK196" s="237"/>
      <c r="BL196" s="593"/>
    </row>
    <row r="197" spans="5:64" s="591" customFormat="1">
      <c r="E197" s="599"/>
      <c r="F197" s="594"/>
      <c r="U197" s="594"/>
      <c r="AI197" s="594"/>
      <c r="AJ197" s="592"/>
      <c r="AK197" s="237"/>
      <c r="AL197" s="237"/>
      <c r="AM197" s="237"/>
      <c r="AN197" s="237"/>
      <c r="AO197" s="237"/>
      <c r="AP197" s="237"/>
      <c r="AQ197" s="237"/>
      <c r="AR197" s="237"/>
      <c r="AS197" s="237"/>
      <c r="AT197" s="237"/>
      <c r="AU197" s="237"/>
      <c r="AV197" s="237"/>
      <c r="AW197" s="237"/>
      <c r="AX197" s="237"/>
      <c r="AY197" s="237"/>
      <c r="AZ197" s="237"/>
      <c r="BA197" s="237"/>
      <c r="BB197" s="237"/>
      <c r="BC197" s="237"/>
      <c r="BD197" s="237"/>
      <c r="BE197" s="237"/>
      <c r="BF197" s="237"/>
      <c r="BG197" s="237"/>
      <c r="BH197" s="237"/>
      <c r="BI197" s="237"/>
      <c r="BJ197" s="237"/>
      <c r="BK197" s="237"/>
      <c r="BL197" s="593"/>
    </row>
    <row r="198" spans="5:64" s="591" customFormat="1">
      <c r="E198" s="599"/>
      <c r="F198" s="594"/>
      <c r="U198" s="594"/>
      <c r="AI198" s="594"/>
      <c r="AJ198" s="592"/>
      <c r="AK198" s="237"/>
      <c r="AL198" s="237"/>
      <c r="AM198" s="237"/>
      <c r="AN198" s="237"/>
      <c r="AO198" s="237"/>
      <c r="AP198" s="237"/>
      <c r="AQ198" s="237"/>
      <c r="AR198" s="237"/>
      <c r="AS198" s="237"/>
      <c r="AT198" s="237"/>
      <c r="AU198" s="237"/>
      <c r="AV198" s="237"/>
      <c r="AW198" s="237"/>
      <c r="AX198" s="237"/>
      <c r="AY198" s="237"/>
      <c r="AZ198" s="237"/>
      <c r="BA198" s="237"/>
      <c r="BB198" s="237"/>
      <c r="BC198" s="237"/>
      <c r="BD198" s="237"/>
      <c r="BE198" s="237"/>
      <c r="BF198" s="237"/>
      <c r="BG198" s="237"/>
      <c r="BH198" s="237"/>
      <c r="BI198" s="237"/>
      <c r="BJ198" s="237"/>
      <c r="BK198" s="237"/>
      <c r="BL198" s="593"/>
    </row>
    <row r="199" spans="5:64" s="591" customFormat="1">
      <c r="E199" s="599"/>
      <c r="F199" s="594"/>
      <c r="U199" s="594"/>
      <c r="AI199" s="594"/>
      <c r="AJ199" s="592"/>
      <c r="AK199" s="237"/>
      <c r="AL199" s="237"/>
      <c r="AM199" s="237"/>
      <c r="AN199" s="237"/>
      <c r="AO199" s="237"/>
      <c r="AP199" s="237"/>
      <c r="AQ199" s="237"/>
      <c r="AR199" s="237"/>
      <c r="AS199" s="237"/>
      <c r="AT199" s="237"/>
      <c r="AU199" s="237"/>
      <c r="AV199" s="237"/>
      <c r="AW199" s="237"/>
      <c r="AX199" s="237"/>
      <c r="AY199" s="237"/>
      <c r="AZ199" s="237"/>
      <c r="BA199" s="237"/>
      <c r="BB199" s="237"/>
      <c r="BC199" s="237"/>
      <c r="BD199" s="237"/>
      <c r="BE199" s="237"/>
      <c r="BF199" s="237"/>
      <c r="BG199" s="237"/>
      <c r="BH199" s="237"/>
      <c r="BI199" s="237"/>
      <c r="BJ199" s="237"/>
      <c r="BK199" s="237"/>
      <c r="BL199" s="593"/>
    </row>
    <row r="200" spans="5:64" s="591" customFormat="1">
      <c r="E200" s="599"/>
      <c r="F200" s="594"/>
      <c r="U200" s="594"/>
      <c r="AI200" s="594"/>
      <c r="AJ200" s="592"/>
      <c r="AK200" s="237"/>
      <c r="AL200" s="237"/>
      <c r="AM200" s="237"/>
      <c r="AN200" s="237"/>
      <c r="AO200" s="237"/>
      <c r="AP200" s="237"/>
      <c r="AQ200" s="237"/>
      <c r="AR200" s="237"/>
      <c r="AS200" s="237"/>
      <c r="AT200" s="237"/>
      <c r="AU200" s="237"/>
      <c r="AV200" s="237"/>
      <c r="AW200" s="237"/>
      <c r="AX200" s="237"/>
      <c r="AY200" s="237"/>
      <c r="AZ200" s="237"/>
      <c r="BA200" s="237"/>
      <c r="BB200" s="237"/>
      <c r="BC200" s="237"/>
      <c r="BD200" s="237"/>
      <c r="BE200" s="237"/>
      <c r="BF200" s="237"/>
      <c r="BG200" s="237"/>
      <c r="BH200" s="237"/>
      <c r="BI200" s="237"/>
      <c r="BJ200" s="237"/>
      <c r="BK200" s="237"/>
      <c r="BL200" s="593"/>
    </row>
    <row r="201" spans="5:64" s="591" customFormat="1">
      <c r="E201" s="599"/>
      <c r="F201" s="594"/>
      <c r="U201" s="594"/>
      <c r="AI201" s="594"/>
      <c r="AJ201" s="592"/>
      <c r="AK201" s="237"/>
      <c r="AL201" s="237"/>
      <c r="AM201" s="237"/>
      <c r="AN201" s="237"/>
      <c r="AO201" s="237"/>
      <c r="AP201" s="237"/>
      <c r="AQ201" s="237"/>
      <c r="AR201" s="237"/>
      <c r="AS201" s="237"/>
      <c r="AT201" s="237"/>
      <c r="AU201" s="237"/>
      <c r="AV201" s="237"/>
      <c r="AW201" s="237"/>
      <c r="AX201" s="237"/>
      <c r="AY201" s="237"/>
      <c r="AZ201" s="237"/>
      <c r="BA201" s="237"/>
      <c r="BB201" s="237"/>
      <c r="BC201" s="237"/>
      <c r="BD201" s="237"/>
      <c r="BE201" s="237"/>
      <c r="BF201" s="237"/>
      <c r="BG201" s="237"/>
      <c r="BH201" s="237"/>
      <c r="BI201" s="237"/>
      <c r="BJ201" s="237"/>
      <c r="BK201" s="237"/>
      <c r="BL201" s="593"/>
    </row>
    <row r="202" spans="5:64" s="591" customFormat="1">
      <c r="E202" s="599"/>
      <c r="F202" s="594"/>
      <c r="U202" s="594"/>
      <c r="AI202" s="594"/>
      <c r="AJ202" s="592"/>
      <c r="AK202" s="237"/>
      <c r="AL202" s="237"/>
      <c r="AM202" s="237"/>
      <c r="AN202" s="237"/>
      <c r="AO202" s="237"/>
      <c r="AP202" s="237"/>
      <c r="AQ202" s="237"/>
      <c r="AR202" s="237"/>
      <c r="AS202" s="237"/>
      <c r="AT202" s="237"/>
      <c r="AU202" s="237"/>
      <c r="AV202" s="237"/>
      <c r="AW202" s="237"/>
      <c r="AX202" s="237"/>
      <c r="AY202" s="237"/>
      <c r="AZ202" s="237"/>
      <c r="BA202" s="237"/>
      <c r="BB202" s="237"/>
      <c r="BC202" s="237"/>
      <c r="BD202" s="237"/>
      <c r="BE202" s="237"/>
      <c r="BF202" s="237"/>
      <c r="BG202" s="237"/>
      <c r="BH202" s="237"/>
      <c r="BI202" s="237"/>
      <c r="BJ202" s="237"/>
      <c r="BK202" s="237"/>
      <c r="BL202" s="593"/>
    </row>
    <row r="203" spans="5:64" s="591" customFormat="1">
      <c r="E203" s="599"/>
      <c r="F203" s="594"/>
      <c r="U203" s="594"/>
      <c r="AI203" s="594"/>
      <c r="AJ203" s="592"/>
      <c r="AK203" s="237"/>
      <c r="AL203" s="237"/>
      <c r="AM203" s="237"/>
      <c r="AN203" s="237"/>
      <c r="AO203" s="237"/>
      <c r="AP203" s="237"/>
      <c r="AQ203" s="237"/>
      <c r="AR203" s="237"/>
      <c r="AS203" s="237"/>
      <c r="AT203" s="237"/>
      <c r="AU203" s="237"/>
      <c r="AV203" s="237"/>
      <c r="AW203" s="237"/>
      <c r="AX203" s="237"/>
      <c r="AY203" s="237"/>
      <c r="AZ203" s="237"/>
      <c r="BA203" s="237"/>
      <c r="BB203" s="237"/>
      <c r="BC203" s="237"/>
      <c r="BD203" s="237"/>
      <c r="BE203" s="237"/>
      <c r="BF203" s="237"/>
      <c r="BG203" s="237"/>
      <c r="BH203" s="237"/>
      <c r="BI203" s="237"/>
      <c r="BJ203" s="237"/>
      <c r="BK203" s="237"/>
      <c r="BL203" s="593"/>
    </row>
    <row r="204" spans="5:64" s="591" customFormat="1">
      <c r="E204" s="599"/>
      <c r="F204" s="594"/>
      <c r="U204" s="594"/>
      <c r="AI204" s="594"/>
      <c r="AJ204" s="592"/>
      <c r="AK204" s="237"/>
      <c r="AL204" s="237"/>
      <c r="AM204" s="237"/>
      <c r="AN204" s="237"/>
      <c r="AO204" s="237"/>
      <c r="AP204" s="237"/>
      <c r="AQ204" s="237"/>
      <c r="AR204" s="237"/>
      <c r="AS204" s="237"/>
      <c r="AT204" s="237"/>
      <c r="AU204" s="237"/>
      <c r="AV204" s="237"/>
      <c r="AW204" s="237"/>
      <c r="AX204" s="237"/>
      <c r="AY204" s="237"/>
      <c r="AZ204" s="237"/>
      <c r="BA204" s="237"/>
      <c r="BB204" s="237"/>
      <c r="BC204" s="237"/>
      <c r="BD204" s="237"/>
      <c r="BE204" s="237"/>
      <c r="BF204" s="237"/>
      <c r="BG204" s="237"/>
      <c r="BH204" s="237"/>
      <c r="BI204" s="237"/>
      <c r="BJ204" s="237"/>
      <c r="BK204" s="237"/>
      <c r="BL204" s="593"/>
    </row>
    <row r="205" spans="5:64" s="591" customFormat="1">
      <c r="E205" s="599"/>
      <c r="F205" s="594"/>
      <c r="U205" s="594"/>
      <c r="AI205" s="594"/>
      <c r="AJ205" s="592"/>
      <c r="AK205" s="237"/>
      <c r="AL205" s="237"/>
      <c r="AM205" s="237"/>
      <c r="AN205" s="237"/>
      <c r="AO205" s="237"/>
      <c r="AP205" s="237"/>
      <c r="AQ205" s="237"/>
      <c r="AR205" s="237"/>
      <c r="AS205" s="237"/>
      <c r="AT205" s="237"/>
      <c r="AU205" s="237"/>
      <c r="AV205" s="237"/>
      <c r="AW205" s="237"/>
      <c r="AX205" s="237"/>
      <c r="AY205" s="237"/>
      <c r="AZ205" s="237"/>
      <c r="BA205" s="237"/>
      <c r="BB205" s="237"/>
      <c r="BC205" s="237"/>
      <c r="BD205" s="237"/>
      <c r="BE205" s="237"/>
      <c r="BF205" s="237"/>
      <c r="BG205" s="237"/>
      <c r="BH205" s="237"/>
      <c r="BI205" s="237"/>
      <c r="BJ205" s="237"/>
      <c r="BK205" s="237"/>
      <c r="BL205" s="593"/>
    </row>
    <row r="206" spans="5:64" s="591" customFormat="1">
      <c r="E206" s="599"/>
      <c r="F206" s="594"/>
      <c r="U206" s="594"/>
      <c r="AI206" s="594"/>
      <c r="AJ206" s="592"/>
      <c r="AK206" s="237"/>
      <c r="AL206" s="237"/>
      <c r="AM206" s="237"/>
      <c r="AN206" s="237"/>
      <c r="AO206" s="237"/>
      <c r="AP206" s="237"/>
      <c r="AQ206" s="237"/>
      <c r="AR206" s="237"/>
      <c r="AS206" s="237"/>
      <c r="AT206" s="237"/>
      <c r="AU206" s="237"/>
      <c r="AV206" s="237"/>
      <c r="AW206" s="237"/>
      <c r="AX206" s="237"/>
      <c r="AY206" s="237"/>
      <c r="AZ206" s="237"/>
      <c r="BA206" s="237"/>
      <c r="BB206" s="237"/>
      <c r="BC206" s="237"/>
      <c r="BD206" s="237"/>
      <c r="BE206" s="237"/>
      <c r="BF206" s="237"/>
      <c r="BG206" s="237"/>
      <c r="BH206" s="237"/>
      <c r="BI206" s="237"/>
      <c r="BJ206" s="237"/>
      <c r="BK206" s="237"/>
      <c r="BL206" s="593"/>
    </row>
    <row r="207" spans="5:64" s="591" customFormat="1">
      <c r="E207" s="599"/>
      <c r="F207" s="594"/>
      <c r="U207" s="594"/>
      <c r="AI207" s="594"/>
      <c r="AJ207" s="592"/>
      <c r="AK207" s="237"/>
      <c r="AL207" s="237"/>
      <c r="AM207" s="237"/>
      <c r="AN207" s="237"/>
      <c r="AO207" s="237"/>
      <c r="AP207" s="237"/>
      <c r="AQ207" s="237"/>
      <c r="AR207" s="237"/>
      <c r="AS207" s="237"/>
      <c r="AT207" s="237"/>
      <c r="AU207" s="237"/>
      <c r="AV207" s="237"/>
      <c r="AW207" s="237"/>
      <c r="AX207" s="237"/>
      <c r="AY207" s="237"/>
      <c r="AZ207" s="237"/>
      <c r="BA207" s="237"/>
      <c r="BB207" s="237"/>
      <c r="BC207" s="237"/>
      <c r="BD207" s="237"/>
      <c r="BE207" s="237"/>
      <c r="BF207" s="237"/>
      <c r="BG207" s="237"/>
      <c r="BH207" s="237"/>
      <c r="BI207" s="237"/>
      <c r="BJ207" s="237"/>
      <c r="BK207" s="237"/>
      <c r="BL207" s="593"/>
    </row>
    <row r="208" spans="5:64" s="591" customFormat="1">
      <c r="E208" s="599"/>
      <c r="F208" s="594"/>
      <c r="U208" s="594"/>
      <c r="AI208" s="594"/>
      <c r="AJ208" s="592"/>
      <c r="AK208" s="237"/>
      <c r="AL208" s="237"/>
      <c r="AM208" s="237"/>
      <c r="AN208" s="237"/>
      <c r="AO208" s="237"/>
      <c r="AP208" s="237"/>
      <c r="AQ208" s="237"/>
      <c r="AR208" s="237"/>
      <c r="AS208" s="237"/>
      <c r="AT208" s="237"/>
      <c r="AU208" s="237"/>
      <c r="AV208" s="237"/>
      <c r="AW208" s="237"/>
      <c r="AX208" s="237"/>
      <c r="AY208" s="237"/>
      <c r="AZ208" s="237"/>
      <c r="BA208" s="237"/>
      <c r="BB208" s="237"/>
      <c r="BC208" s="237"/>
      <c r="BD208" s="237"/>
      <c r="BE208" s="237"/>
      <c r="BF208" s="237"/>
      <c r="BG208" s="237"/>
      <c r="BH208" s="237"/>
      <c r="BI208" s="237"/>
      <c r="BJ208" s="237"/>
      <c r="BK208" s="237"/>
      <c r="BL208" s="593"/>
    </row>
    <row r="209" spans="5:64" s="591" customFormat="1">
      <c r="E209" s="599"/>
      <c r="F209" s="594"/>
      <c r="U209" s="594"/>
      <c r="AI209" s="594"/>
      <c r="AJ209" s="592"/>
      <c r="AK209" s="237"/>
      <c r="AL209" s="237"/>
      <c r="AM209" s="237"/>
      <c r="AN209" s="237"/>
      <c r="AO209" s="237"/>
      <c r="AP209" s="237"/>
      <c r="AQ209" s="237"/>
      <c r="AR209" s="237"/>
      <c r="AS209" s="237"/>
      <c r="AT209" s="237"/>
      <c r="AU209" s="237"/>
      <c r="AV209" s="237"/>
      <c r="AW209" s="237"/>
      <c r="AX209" s="237"/>
      <c r="AY209" s="237"/>
      <c r="AZ209" s="237"/>
      <c r="BA209" s="237"/>
      <c r="BB209" s="237"/>
      <c r="BC209" s="237"/>
      <c r="BD209" s="237"/>
      <c r="BE209" s="237"/>
      <c r="BF209" s="237"/>
      <c r="BG209" s="237"/>
      <c r="BH209" s="237"/>
      <c r="BI209" s="237"/>
      <c r="BJ209" s="237"/>
      <c r="BK209" s="237"/>
      <c r="BL209" s="593"/>
    </row>
    <row r="210" spans="5:64" s="591" customFormat="1">
      <c r="E210" s="599"/>
      <c r="F210" s="594"/>
      <c r="U210" s="594"/>
      <c r="AI210" s="594"/>
      <c r="AJ210" s="592"/>
      <c r="AK210" s="237"/>
      <c r="AL210" s="237"/>
      <c r="AM210" s="237"/>
      <c r="AN210" s="237"/>
      <c r="AO210" s="237"/>
      <c r="AP210" s="237"/>
      <c r="AQ210" s="237"/>
      <c r="AR210" s="237"/>
      <c r="AS210" s="237"/>
      <c r="AT210" s="237"/>
      <c r="AU210" s="237"/>
      <c r="AV210" s="237"/>
      <c r="AW210" s="237"/>
      <c r="AX210" s="237"/>
      <c r="AY210" s="237"/>
      <c r="AZ210" s="237"/>
      <c r="BA210" s="237"/>
      <c r="BB210" s="237"/>
      <c r="BC210" s="237"/>
      <c r="BD210" s="237"/>
      <c r="BE210" s="237"/>
      <c r="BF210" s="237"/>
      <c r="BG210" s="237"/>
      <c r="BH210" s="237"/>
      <c r="BI210" s="237"/>
      <c r="BJ210" s="237"/>
      <c r="BK210" s="237"/>
      <c r="BL210" s="593"/>
    </row>
    <row r="211" spans="5:64" s="591" customFormat="1">
      <c r="E211" s="599"/>
      <c r="F211" s="594"/>
      <c r="U211" s="594"/>
      <c r="AI211" s="594"/>
      <c r="AJ211" s="592"/>
      <c r="AK211" s="237"/>
      <c r="AL211" s="237"/>
      <c r="AM211" s="237"/>
      <c r="AN211" s="237"/>
      <c r="AO211" s="237"/>
      <c r="AP211" s="237"/>
      <c r="AQ211" s="237"/>
      <c r="AR211" s="237"/>
      <c r="AS211" s="237"/>
      <c r="AT211" s="237"/>
      <c r="AU211" s="237"/>
      <c r="AV211" s="237"/>
      <c r="AW211" s="237"/>
      <c r="AX211" s="237"/>
      <c r="AY211" s="237"/>
      <c r="AZ211" s="237"/>
      <c r="BA211" s="237"/>
      <c r="BB211" s="237"/>
      <c r="BC211" s="237"/>
      <c r="BD211" s="237"/>
      <c r="BE211" s="237"/>
      <c r="BF211" s="237"/>
      <c r="BG211" s="237"/>
      <c r="BH211" s="237"/>
      <c r="BI211" s="237"/>
      <c r="BJ211" s="237"/>
      <c r="BK211" s="237"/>
      <c r="BL211" s="593"/>
    </row>
    <row r="212" spans="5:64" s="591" customFormat="1">
      <c r="E212" s="599"/>
      <c r="F212" s="594"/>
      <c r="U212" s="594"/>
      <c r="AI212" s="594"/>
      <c r="AJ212" s="592"/>
      <c r="AK212" s="237"/>
      <c r="AL212" s="237"/>
      <c r="AM212" s="237"/>
      <c r="AN212" s="237"/>
      <c r="AO212" s="237"/>
      <c r="AP212" s="237"/>
      <c r="AQ212" s="237"/>
      <c r="AR212" s="237"/>
      <c r="AS212" s="237"/>
      <c r="AT212" s="237"/>
      <c r="AU212" s="237"/>
      <c r="AV212" s="237"/>
      <c r="AW212" s="237"/>
      <c r="AX212" s="237"/>
      <c r="AY212" s="237"/>
      <c r="AZ212" s="237"/>
      <c r="BA212" s="237"/>
      <c r="BB212" s="237"/>
      <c r="BC212" s="237"/>
      <c r="BD212" s="237"/>
      <c r="BE212" s="237"/>
      <c r="BF212" s="237"/>
      <c r="BG212" s="237"/>
      <c r="BH212" s="237"/>
      <c r="BI212" s="237"/>
      <c r="BJ212" s="237"/>
      <c r="BK212" s="237"/>
      <c r="BL212" s="593"/>
    </row>
    <row r="213" spans="5:64" s="591" customFormat="1">
      <c r="E213" s="599"/>
      <c r="F213" s="594"/>
      <c r="U213" s="594"/>
      <c r="AI213" s="594"/>
      <c r="AJ213" s="592"/>
      <c r="AK213" s="237"/>
      <c r="AL213" s="237"/>
      <c r="AM213" s="237"/>
      <c r="AN213" s="237"/>
      <c r="AO213" s="237"/>
      <c r="AP213" s="237"/>
      <c r="AQ213" s="237"/>
      <c r="AR213" s="237"/>
      <c r="AS213" s="237"/>
      <c r="AT213" s="237"/>
      <c r="AU213" s="237"/>
      <c r="AV213" s="237"/>
      <c r="AW213" s="237"/>
      <c r="AX213" s="237"/>
      <c r="AY213" s="237"/>
      <c r="AZ213" s="237"/>
      <c r="BA213" s="237"/>
      <c r="BB213" s="237"/>
      <c r="BC213" s="237"/>
      <c r="BD213" s="237"/>
      <c r="BE213" s="237"/>
      <c r="BF213" s="237"/>
      <c r="BG213" s="237"/>
      <c r="BH213" s="237"/>
      <c r="BI213" s="237"/>
      <c r="BJ213" s="237"/>
      <c r="BK213" s="237"/>
      <c r="BL213" s="593"/>
    </row>
    <row r="214" spans="5:64">
      <c r="AI214" s="97"/>
      <c r="AJ214" s="238"/>
    </row>
    <row r="215" spans="5:64">
      <c r="AI215" s="97"/>
      <c r="AJ215" s="238"/>
    </row>
    <row r="216" spans="5:64">
      <c r="AI216" s="97"/>
      <c r="AJ216" s="238"/>
    </row>
    <row r="217" spans="5:64">
      <c r="AI217" s="97"/>
      <c r="AJ217" s="238"/>
    </row>
    <row r="218" spans="5:64">
      <c r="AI218" s="97"/>
      <c r="AJ218" s="238"/>
    </row>
    <row r="219" spans="5:64">
      <c r="AI219" s="97"/>
      <c r="AJ219" s="238"/>
    </row>
    <row r="220" spans="5:64">
      <c r="AI220" s="97"/>
      <c r="AJ220" s="238"/>
    </row>
    <row r="221" spans="5:64">
      <c r="AI221" s="97"/>
      <c r="AJ221" s="238"/>
    </row>
    <row r="222" spans="5:64">
      <c r="AI222" s="97"/>
      <c r="AJ222" s="238"/>
    </row>
    <row r="223" spans="5:64">
      <c r="AI223" s="97"/>
      <c r="AJ223" s="238"/>
    </row>
    <row r="224" spans="5:64">
      <c r="AI224" s="97"/>
      <c r="AJ224" s="238"/>
    </row>
    <row r="225" spans="35:36">
      <c r="AI225" s="97"/>
      <c r="AJ225" s="238"/>
    </row>
    <row r="226" spans="35:36">
      <c r="AI226" s="97"/>
      <c r="AJ226" s="238"/>
    </row>
    <row r="227" spans="35:36">
      <c r="AI227" s="97"/>
      <c r="AJ227" s="238"/>
    </row>
    <row r="228" spans="35:36">
      <c r="AI228" s="97"/>
      <c r="AJ228" s="238"/>
    </row>
    <row r="229" spans="35:36">
      <c r="AI229" s="97"/>
      <c r="AJ229" s="238"/>
    </row>
    <row r="230" spans="35:36">
      <c r="AI230" s="97"/>
      <c r="AJ230" s="238"/>
    </row>
    <row r="231" spans="35:36">
      <c r="AI231" s="97"/>
      <c r="AJ231" s="238"/>
    </row>
    <row r="232" spans="35:36">
      <c r="AI232" s="97"/>
      <c r="AJ232" s="238"/>
    </row>
    <row r="233" spans="35:36">
      <c r="AI233" s="97"/>
      <c r="AJ233" s="238"/>
    </row>
    <row r="234" spans="35:36">
      <c r="AI234" s="97"/>
      <c r="AJ234" s="238"/>
    </row>
    <row r="235" spans="35:36">
      <c r="AI235" s="97"/>
      <c r="AJ235" s="238"/>
    </row>
    <row r="236" spans="35:36">
      <c r="AI236" s="97"/>
      <c r="AJ236" s="238"/>
    </row>
    <row r="237" spans="35:36">
      <c r="AI237" s="97"/>
      <c r="AJ237" s="238"/>
    </row>
    <row r="238" spans="35:36">
      <c r="AI238" s="97"/>
      <c r="AJ238" s="238"/>
    </row>
    <row r="239" spans="35:36">
      <c r="AI239" s="97"/>
      <c r="AJ239" s="238"/>
    </row>
    <row r="240" spans="35:36">
      <c r="AI240" s="97"/>
      <c r="AJ240" s="238"/>
    </row>
  </sheetData>
  <mergeCells count="5">
    <mergeCell ref="G5:T5"/>
    <mergeCell ref="V5:AH5"/>
    <mergeCell ref="G53:T53"/>
    <mergeCell ref="V53:AH53"/>
    <mergeCell ref="C87:AH87"/>
  </mergeCells>
  <conditionalFormatting sqref="K8:K11 K13:K15 K17">
    <cfRule type="cellIs" dxfId="110" priority="97" operator="equal">
      <formula>0</formula>
    </cfRule>
  </conditionalFormatting>
  <conditionalFormatting sqref="K24 K26:K28 K30:K35 K37:K39">
    <cfRule type="cellIs" dxfId="109" priority="98" operator="equal">
      <formula>0</formula>
    </cfRule>
  </conditionalFormatting>
  <conditionalFormatting sqref="K25">
    <cfRule type="cellIs" dxfId="108" priority="96" operator="equal">
      <formula>0</formula>
    </cfRule>
  </conditionalFormatting>
  <conditionalFormatting sqref="L24 L26:L28 L30:L35 L37:L39">
    <cfRule type="cellIs" dxfId="107" priority="95" operator="equal">
      <formula>0</formula>
    </cfRule>
  </conditionalFormatting>
  <conditionalFormatting sqref="L8:L11 L13:L15 L17">
    <cfRule type="cellIs" dxfId="106" priority="94" operator="equal">
      <formula>0</formula>
    </cfRule>
  </conditionalFormatting>
  <conditionalFormatting sqref="L25">
    <cfRule type="cellIs" dxfId="105" priority="93" operator="equal">
      <formula>0</formula>
    </cfRule>
  </conditionalFormatting>
  <conditionalFormatting sqref="N25">
    <cfRule type="cellIs" dxfId="104" priority="87" operator="equal">
      <formula>0</formula>
    </cfRule>
  </conditionalFormatting>
  <conditionalFormatting sqref="G55:T55">
    <cfRule type="cellIs" dxfId="103" priority="86" operator="equal">
      <formula>0</formula>
    </cfRule>
  </conditionalFormatting>
  <conditionalFormatting sqref="G12:R12 T12">
    <cfRule type="cellIs" dxfId="102" priority="84" operator="equal">
      <formula>0</formula>
    </cfRule>
  </conditionalFormatting>
  <conditionalFormatting sqref="O8">
    <cfRule type="cellIs" dxfId="101" priority="85" operator="equal">
      <formula>0</formula>
    </cfRule>
  </conditionalFormatting>
  <conditionalFormatting sqref="G16:R16 T16">
    <cfRule type="cellIs" dxfId="100" priority="83" operator="equal">
      <formula>0</formula>
    </cfRule>
  </conditionalFormatting>
  <conditionalFormatting sqref="L47:L48">
    <cfRule type="cellIs" dxfId="99" priority="74" operator="equal">
      <formula>0</formula>
    </cfRule>
  </conditionalFormatting>
  <conditionalFormatting sqref="N47:N48">
    <cfRule type="cellIs" dxfId="98" priority="72" operator="equal">
      <formula>0</formula>
    </cfRule>
  </conditionalFormatting>
  <conditionalFormatting sqref="G19:N23 O19:R22 T19:T22">
    <cfRule type="cellIs" dxfId="97" priority="118" operator="equal">
      <formula>0</formula>
    </cfRule>
  </conditionalFormatting>
  <conditionalFormatting sqref="O23:Q23 G24:J24 G8:H11 G25:H25 G26:J28 G13:H15 G17:H17 G30:J35 G37:J39">
    <cfRule type="cellIs" dxfId="96" priority="117" operator="equal">
      <formula>0</formula>
    </cfRule>
  </conditionalFormatting>
  <conditionalFormatting sqref="R23">
    <cfRule type="cellIs" dxfId="95" priority="108" operator="equal">
      <formula>0</formula>
    </cfRule>
  </conditionalFormatting>
  <conditionalFormatting sqref="I8:J11 I13:J15 I17:J17">
    <cfRule type="cellIs" dxfId="94" priority="116" operator="equal">
      <formula>0</formula>
    </cfRule>
  </conditionalFormatting>
  <conditionalFormatting sqref="O26:Q28 O30:Q35 O37:Q39">
    <cfRule type="cellIs" dxfId="93" priority="115" operator="equal">
      <formula>0</formula>
    </cfRule>
  </conditionalFormatting>
  <conditionalFormatting sqref="O24:Q24">
    <cfRule type="cellIs" dxfId="92" priority="114" operator="equal">
      <formula>0</formula>
    </cfRule>
  </conditionalFormatting>
  <conditionalFormatting sqref="O9:Q11 P8:Q8 O13:Q15 O17:Q17">
    <cfRule type="cellIs" dxfId="91" priority="113" operator="equal">
      <formula>0</formula>
    </cfRule>
  </conditionalFormatting>
  <conditionalFormatting sqref="I25:J25">
    <cfRule type="cellIs" dxfId="90" priority="112" operator="equal">
      <formula>0</formula>
    </cfRule>
  </conditionalFormatting>
  <conditionalFormatting sqref="O25:Q25">
    <cfRule type="cellIs" dxfId="89" priority="111" operator="equal">
      <formula>0</formula>
    </cfRule>
  </conditionalFormatting>
  <conditionalFormatting sqref="T25">
    <cfRule type="cellIs" dxfId="88" priority="99" operator="equal">
      <formula>0</formula>
    </cfRule>
  </conditionalFormatting>
  <conditionalFormatting sqref="T26:T28 T30:T35 T37:T39">
    <cfRule type="cellIs" dxfId="87" priority="102" operator="equal">
      <formula>0</formula>
    </cfRule>
  </conditionalFormatting>
  <conditionalFormatting sqref="T24">
    <cfRule type="cellIs" dxfId="86" priority="101" operator="equal">
      <formula>0</formula>
    </cfRule>
  </conditionalFormatting>
  <conditionalFormatting sqref="T8:T11 T13:T15 T17">
    <cfRule type="cellIs" dxfId="85" priority="100" operator="equal">
      <formula>0</formula>
    </cfRule>
  </conditionalFormatting>
  <conditionalFormatting sqref="R26:R28 R30:R35 R37:R39">
    <cfRule type="cellIs" dxfId="84" priority="107" operator="equal">
      <formula>0</formula>
    </cfRule>
  </conditionalFormatting>
  <conditionalFormatting sqref="R24">
    <cfRule type="cellIs" dxfId="83" priority="106" operator="equal">
      <formula>0</formula>
    </cfRule>
  </conditionalFormatting>
  <conditionalFormatting sqref="R8:R11 R13:R15 R17">
    <cfRule type="cellIs" dxfId="82" priority="105" operator="equal">
      <formula>0</formula>
    </cfRule>
  </conditionalFormatting>
  <conditionalFormatting sqref="R25">
    <cfRule type="cellIs" dxfId="81" priority="104" operator="equal">
      <formula>0</formula>
    </cfRule>
  </conditionalFormatting>
  <conditionalFormatting sqref="T23">
    <cfRule type="cellIs" dxfId="80" priority="103" operator="equal">
      <formula>0</formula>
    </cfRule>
  </conditionalFormatting>
  <conditionalFormatting sqref="N8:N11 N13:N15 N17">
    <cfRule type="cellIs" dxfId="79" priority="88" operator="equal">
      <formula>0</formula>
    </cfRule>
  </conditionalFormatting>
  <conditionalFormatting sqref="M8:M11 M13:M15 M17">
    <cfRule type="cellIs" dxfId="78" priority="91" operator="equal">
      <formula>0</formula>
    </cfRule>
  </conditionalFormatting>
  <conditionalFormatting sqref="M24 M26:M28 M30:M35 M37:M39">
    <cfRule type="cellIs" dxfId="77" priority="92" operator="equal">
      <formula>0</formula>
    </cfRule>
  </conditionalFormatting>
  <conditionalFormatting sqref="M25">
    <cfRule type="cellIs" dxfId="76" priority="90" operator="equal">
      <formula>0</formula>
    </cfRule>
  </conditionalFormatting>
  <conditionalFormatting sqref="N24 N26:N28 N30:N35 N37:N39">
    <cfRule type="cellIs" dxfId="75" priority="89" operator="equal">
      <formula>0</formula>
    </cfRule>
  </conditionalFormatting>
  <conditionalFormatting sqref="G18:R18 T18">
    <cfRule type="cellIs" dxfId="74" priority="82" operator="equal">
      <formula>0</formula>
    </cfRule>
  </conditionalFormatting>
  <conditionalFormatting sqref="G29:R29 T29">
    <cfRule type="cellIs" dxfId="73" priority="81" operator="equal">
      <formula>0</formula>
    </cfRule>
  </conditionalFormatting>
  <conditionalFormatting sqref="G36:R36 T36">
    <cfRule type="cellIs" dxfId="72" priority="80" operator="equal">
      <formula>0</formula>
    </cfRule>
  </conditionalFormatting>
  <conditionalFormatting sqref="G47:J48">
    <cfRule type="cellIs" dxfId="71" priority="79" operator="equal">
      <formula>0</formula>
    </cfRule>
  </conditionalFormatting>
  <conditionalFormatting sqref="O47:Q48">
    <cfRule type="cellIs" dxfId="70" priority="78" operator="equal">
      <formula>0</formula>
    </cfRule>
  </conditionalFormatting>
  <conditionalFormatting sqref="T47:T48">
    <cfRule type="cellIs" dxfId="69" priority="76" operator="equal">
      <formula>0</formula>
    </cfRule>
  </conditionalFormatting>
  <conditionalFormatting sqref="R47:R48">
    <cfRule type="cellIs" dxfId="68" priority="77" operator="equal">
      <formula>0</formula>
    </cfRule>
  </conditionalFormatting>
  <conditionalFormatting sqref="M47:M48">
    <cfRule type="cellIs" dxfId="67" priority="73" operator="equal">
      <formula>0</formula>
    </cfRule>
  </conditionalFormatting>
  <conditionalFormatting sqref="K47:K48">
    <cfRule type="cellIs" dxfId="66" priority="75" operator="equal">
      <formula>0</formula>
    </cfRule>
  </conditionalFormatting>
  <conditionalFormatting sqref="S19:S22">
    <cfRule type="cellIs" dxfId="65" priority="71" operator="equal">
      <formula>0</formula>
    </cfRule>
  </conditionalFormatting>
  <conditionalFormatting sqref="S16">
    <cfRule type="cellIs" dxfId="64" priority="63" operator="equal">
      <formula>0</formula>
    </cfRule>
  </conditionalFormatting>
  <conditionalFormatting sqref="S18">
    <cfRule type="cellIs" dxfId="63" priority="62" operator="equal">
      <formula>0</formula>
    </cfRule>
  </conditionalFormatting>
  <conditionalFormatting sqref="S29">
    <cfRule type="cellIs" dxfId="62" priority="61" operator="equal">
      <formula>0</formula>
    </cfRule>
  </conditionalFormatting>
  <conditionalFormatting sqref="S12">
    <cfRule type="cellIs" dxfId="61" priority="64" operator="equal">
      <formula>0</formula>
    </cfRule>
  </conditionalFormatting>
  <conditionalFormatting sqref="S36">
    <cfRule type="cellIs" dxfId="60" priority="60" operator="equal">
      <formula>0</formula>
    </cfRule>
  </conditionalFormatting>
  <conditionalFormatting sqref="S23">
    <cfRule type="cellIs" dxfId="59" priority="70" operator="equal">
      <formula>0</formula>
    </cfRule>
  </conditionalFormatting>
  <conditionalFormatting sqref="S26:S28 S30:S35 S37:S39">
    <cfRule type="cellIs" dxfId="58" priority="69" operator="equal">
      <formula>0</formula>
    </cfRule>
  </conditionalFormatting>
  <conditionalFormatting sqref="S24">
    <cfRule type="cellIs" dxfId="57" priority="68" operator="equal">
      <formula>0</formula>
    </cfRule>
  </conditionalFormatting>
  <conditionalFormatting sqref="S8:S11 S13:S15 S17">
    <cfRule type="cellIs" dxfId="56" priority="67" operator="equal">
      <formula>0</formula>
    </cfRule>
  </conditionalFormatting>
  <conditionalFormatting sqref="S25">
    <cfRule type="cellIs" dxfId="55" priority="66" operator="equal">
      <formula>0</formula>
    </cfRule>
  </conditionalFormatting>
  <conditionalFormatting sqref="S47:S48">
    <cfRule type="cellIs" dxfId="54" priority="59" operator="equal">
      <formula>0</formula>
    </cfRule>
  </conditionalFormatting>
  <conditionalFormatting sqref="Z8:Z11 Z13:Z15 Z17">
    <cfRule type="cellIs" dxfId="53" priority="37" operator="equal">
      <formula>0</formula>
    </cfRule>
  </conditionalFormatting>
  <conditionalFormatting sqref="Z24 Z26:Z28 Z30:Z35 Z37:Z39">
    <cfRule type="cellIs" dxfId="52" priority="38" operator="equal">
      <formula>0</formula>
    </cfRule>
  </conditionalFormatting>
  <conditionalFormatting sqref="Z25">
    <cfRule type="cellIs" dxfId="51" priority="36" operator="equal">
      <formula>0</formula>
    </cfRule>
  </conditionalFormatting>
  <conditionalFormatting sqref="AA24 AA26:AA28 AA30:AA35 AA37:AA39">
    <cfRule type="cellIs" dxfId="50" priority="35" operator="equal">
      <formula>0</formula>
    </cfRule>
  </conditionalFormatting>
  <conditionalFormatting sqref="AA8:AA11 AA13:AA15 AA17">
    <cfRule type="cellIs" dxfId="49" priority="34" operator="equal">
      <formula>0</formula>
    </cfRule>
  </conditionalFormatting>
  <conditionalFormatting sqref="AA25">
    <cfRule type="cellIs" dxfId="48" priority="33" operator="equal">
      <formula>0</formula>
    </cfRule>
  </conditionalFormatting>
  <conditionalFormatting sqref="AC25">
    <cfRule type="cellIs" dxfId="47" priority="27" operator="equal">
      <formula>0</formula>
    </cfRule>
  </conditionalFormatting>
  <conditionalFormatting sqref="Z55:AG55">
    <cfRule type="cellIs" dxfId="46" priority="26" operator="equal">
      <formula>0</formula>
    </cfRule>
  </conditionalFormatting>
  <conditionalFormatting sqref="V12:AH12">
    <cfRule type="cellIs" dxfId="45" priority="24" operator="equal">
      <formula>0</formula>
    </cfRule>
  </conditionalFormatting>
  <conditionalFormatting sqref="AD8">
    <cfRule type="cellIs" dxfId="44" priority="25" operator="equal">
      <formula>0</formula>
    </cfRule>
  </conditionalFormatting>
  <conditionalFormatting sqref="V16:AH16">
    <cfRule type="cellIs" dxfId="43" priority="23" operator="equal">
      <formula>0</formula>
    </cfRule>
  </conditionalFormatting>
  <conditionalFormatting sqref="AA47:AA48">
    <cfRule type="cellIs" dxfId="42" priority="14" operator="equal">
      <formula>0</formula>
    </cfRule>
  </conditionalFormatting>
  <conditionalFormatting sqref="AC47:AC48">
    <cfRule type="cellIs" dxfId="41" priority="12" operator="equal">
      <formula>0</formula>
    </cfRule>
  </conditionalFormatting>
  <conditionalFormatting sqref="V19:AC23 AD19:AH22">
    <cfRule type="cellIs" dxfId="40" priority="58" operator="equal">
      <formula>0</formula>
    </cfRule>
  </conditionalFormatting>
  <conditionalFormatting sqref="AD23:AF23 V24:Y24 V8:W11 V25:W25 V26:Y28 V13:W15 V17:W17 V30:Y35 V37:Y39">
    <cfRule type="cellIs" dxfId="39" priority="57" operator="equal">
      <formula>0</formula>
    </cfRule>
  </conditionalFormatting>
  <conditionalFormatting sqref="AG23">
    <cfRule type="cellIs" dxfId="38" priority="48" operator="equal">
      <formula>0</formula>
    </cfRule>
  </conditionalFormatting>
  <conditionalFormatting sqref="X8:Y11 X13:Y15 X17:Y17">
    <cfRule type="cellIs" dxfId="37" priority="56" operator="equal">
      <formula>0</formula>
    </cfRule>
  </conditionalFormatting>
  <conditionalFormatting sqref="AD26:AF28 AD30:AF35 AD37:AF39">
    <cfRule type="cellIs" dxfId="36" priority="55" operator="equal">
      <formula>0</formula>
    </cfRule>
  </conditionalFormatting>
  <conditionalFormatting sqref="AD24:AF24">
    <cfRule type="cellIs" dxfId="35" priority="54" operator="equal">
      <formula>0</formula>
    </cfRule>
  </conditionalFormatting>
  <conditionalFormatting sqref="AD9:AF11 AE8:AF8 AD13:AF15 AD17:AF17">
    <cfRule type="cellIs" dxfId="34" priority="53" operator="equal">
      <formula>0</formula>
    </cfRule>
  </conditionalFormatting>
  <conditionalFormatting sqref="X25:Y25">
    <cfRule type="cellIs" dxfId="33" priority="52" operator="equal">
      <formula>0</formula>
    </cfRule>
  </conditionalFormatting>
  <conditionalFormatting sqref="AD25:AF25">
    <cfRule type="cellIs" dxfId="32" priority="51" operator="equal">
      <formula>0</formula>
    </cfRule>
  </conditionalFormatting>
  <conditionalFormatting sqref="V55:Y55">
    <cfRule type="cellIs" dxfId="31" priority="50" operator="equal">
      <formula>0</formula>
    </cfRule>
  </conditionalFormatting>
  <conditionalFormatting sqref="AH55">
    <cfRule type="cellIs" dxfId="30" priority="49" operator="equal">
      <formula>0</formula>
    </cfRule>
  </conditionalFormatting>
  <conditionalFormatting sqref="AH25">
    <cfRule type="cellIs" dxfId="29" priority="39" operator="equal">
      <formula>0</formula>
    </cfRule>
  </conditionalFormatting>
  <conditionalFormatting sqref="AH26:AH28 AH30:AH35 AH37:AH39">
    <cfRule type="cellIs" dxfId="28" priority="42" operator="equal">
      <formula>0</formula>
    </cfRule>
  </conditionalFormatting>
  <conditionalFormatting sqref="AH24">
    <cfRule type="cellIs" dxfId="27" priority="41" operator="equal">
      <formula>0</formula>
    </cfRule>
  </conditionalFormatting>
  <conditionalFormatting sqref="AH8:AH11 AH13:AH15 AH17">
    <cfRule type="cellIs" dxfId="26" priority="40" operator="equal">
      <formula>0</formula>
    </cfRule>
  </conditionalFormatting>
  <conditionalFormatting sqref="AG26:AG28 AG30:AG35 AG37:AG39">
    <cfRule type="cellIs" dxfId="25" priority="47" operator="equal">
      <formula>0</formula>
    </cfRule>
  </conditionalFormatting>
  <conditionalFormatting sqref="AG24">
    <cfRule type="cellIs" dxfId="24" priority="46" operator="equal">
      <formula>0</formula>
    </cfRule>
  </conditionalFormatting>
  <conditionalFormatting sqref="AG8:AG11 AG13:AG15 AG17">
    <cfRule type="cellIs" dxfId="23" priority="45" operator="equal">
      <formula>0</formula>
    </cfRule>
  </conditionalFormatting>
  <conditionalFormatting sqref="AG25">
    <cfRule type="cellIs" dxfId="22" priority="44" operator="equal">
      <formula>0</formula>
    </cfRule>
  </conditionalFormatting>
  <conditionalFormatting sqref="AH23">
    <cfRule type="cellIs" dxfId="21" priority="43" operator="equal">
      <formula>0</formula>
    </cfRule>
  </conditionalFormatting>
  <conditionalFormatting sqref="AC8:AC11 AC13:AC15 AC17">
    <cfRule type="cellIs" dxfId="20" priority="28" operator="equal">
      <formula>0</formula>
    </cfRule>
  </conditionalFormatting>
  <conditionalFormatting sqref="AB8:AB11 AB13:AB15 AB17">
    <cfRule type="cellIs" dxfId="19" priority="31" operator="equal">
      <formula>0</formula>
    </cfRule>
  </conditionalFormatting>
  <conditionalFormatting sqref="AB24 AB26:AB28 AB30:AB35 AB37:AB39">
    <cfRule type="cellIs" dxfId="18" priority="32" operator="equal">
      <formula>0</formula>
    </cfRule>
  </conditionalFormatting>
  <conditionalFormatting sqref="AB25">
    <cfRule type="cellIs" dxfId="17" priority="30" operator="equal">
      <formula>0</formula>
    </cfRule>
  </conditionalFormatting>
  <conditionalFormatting sqref="AC24 AC26:AC28 AC30:AC35 AC37:AC39">
    <cfRule type="cellIs" dxfId="16" priority="29" operator="equal">
      <formula>0</formula>
    </cfRule>
  </conditionalFormatting>
  <conditionalFormatting sqref="V18:AH18">
    <cfRule type="cellIs" dxfId="15" priority="22" operator="equal">
      <formula>0</formula>
    </cfRule>
  </conditionalFormatting>
  <conditionalFormatting sqref="V29:AH29">
    <cfRule type="cellIs" dxfId="14" priority="21" operator="equal">
      <formula>0</formula>
    </cfRule>
  </conditionalFormatting>
  <conditionalFormatting sqref="V36:AH36">
    <cfRule type="cellIs" dxfId="13" priority="20" operator="equal">
      <formula>0</formula>
    </cfRule>
  </conditionalFormatting>
  <conditionalFormatting sqref="V47:Y48">
    <cfRule type="cellIs" dxfId="12" priority="19" operator="equal">
      <formula>0</formula>
    </cfRule>
  </conditionalFormatting>
  <conditionalFormatting sqref="AD47:AF48">
    <cfRule type="cellIs" dxfId="11" priority="18" operator="equal">
      <formula>0</formula>
    </cfRule>
  </conditionalFormatting>
  <conditionalFormatting sqref="AH47:AH48">
    <cfRule type="cellIs" dxfId="10" priority="16" operator="equal">
      <formula>0</formula>
    </cfRule>
  </conditionalFormatting>
  <conditionalFormatting sqref="AG47:AG48">
    <cfRule type="cellIs" dxfId="9" priority="17" operator="equal">
      <formula>0</formula>
    </cfRule>
  </conditionalFormatting>
  <conditionalFormatting sqref="AB47:AB48">
    <cfRule type="cellIs" dxfId="8" priority="13" operator="equal">
      <formula>0</formula>
    </cfRule>
  </conditionalFormatting>
  <conditionalFormatting sqref="Z47:Z48">
    <cfRule type="cellIs" dxfId="7" priority="15" operator="equal">
      <formula>0</formula>
    </cfRule>
  </conditionalFormatting>
  <conditionalFormatting sqref="E24 E34">
    <cfRule type="cellIs" dxfId="6" priority="10" operator="equal">
      <formula>0</formula>
    </cfRule>
  </conditionalFormatting>
  <conditionalFormatting sqref="E8">
    <cfRule type="cellIs" dxfId="5" priority="9" operator="equal">
      <formula>0</formula>
    </cfRule>
  </conditionalFormatting>
  <conditionalFormatting sqref="E25">
    <cfRule type="cellIs" dxfId="4" priority="8" operator="equal">
      <formula>0</formula>
    </cfRule>
  </conditionalFormatting>
  <conditionalFormatting sqref="E16">
    <cfRule type="cellIs" dxfId="3" priority="6" operator="equal">
      <formula>0</formula>
    </cfRule>
  </conditionalFormatting>
  <conditionalFormatting sqref="E22:E23">
    <cfRule type="cellIs" dxfId="2" priority="11" operator="equal">
      <formula>0</formula>
    </cfRule>
  </conditionalFormatting>
  <conditionalFormatting sqref="E47:E48">
    <cfRule type="cellIs" dxfId="1" priority="2" operator="equal">
      <formula>0</formula>
    </cfRule>
  </conditionalFormatting>
  <conditionalFormatting sqref="E55">
    <cfRule type="cellIs" dxfId="0" priority="1" operator="equal">
      <formula>0</formula>
    </cfRule>
  </conditionalFormatting>
  <dataValidations disablePrompts="1" count="1">
    <dataValidation type="list" allowBlank="1" showInputMessage="1" showErrorMessage="1" sqref="C102:C126 E17:E21 E9:E15 E35:E39 E26:E33 E56:E86" xr:uid="{00000000-0002-0000-1800-000000000000}">
      <formula1>$C$102:$C$126</formula1>
    </dataValidation>
  </dataValidations>
  <printOptions horizontalCentered="1"/>
  <pageMargins left="0.70866141732283472" right="0.70866141732283472" top="0.74803149606299213" bottom="0.74803149606299213" header="0.74803149606299213" footer="0.35433070866141736"/>
  <pageSetup paperSize="9" scale="36" fitToHeight="2" orientation="portrait" r:id="rId1"/>
  <headerFooter differentOddEven="1">
    <oddFooter>&amp;R&amp;G</oddFooter>
    <evenFooter>&amp;L&amp;G</evenFooter>
  </headerFooter>
  <rowBreaks count="1" manualBreakCount="1">
    <brk id="50" max="34" man="1"/>
  </rowBreaks>
  <ignoredErrors>
    <ignoredError sqref="L16:AA16 L18:AA18 L34:AA34 L36:AA36 G12:AA12 G16:J16 G18:J18 K16:K18 G29:AA29 G34:K36 T66 AH73:AH74 T58 AC16:AH16 AC18:AH18 AC34:AH34 AC36:AH36 AC12:AH12 AC29:AH29 AB12:AB24 AB26:AB36" formula="1"/>
    <ignoredError sqref="S86 G97:V98 H99 X99 S57:S85" formulaRange="1"/>
  </ignoredErrors>
  <drawing r:id="rId2"/>
  <legacyDrawingHF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Folha25">
    <pageSetUpPr fitToPage="1"/>
  </sheetPr>
  <dimension ref="B1:S228"/>
  <sheetViews>
    <sheetView showGridLines="0" zoomScaleNormal="100" zoomScaleSheetLayoutView="100" workbookViewId="0">
      <selection activeCell="B2" sqref="B2"/>
    </sheetView>
  </sheetViews>
  <sheetFormatPr defaultColWidth="9.140625" defaultRowHeight="11.25"/>
  <cols>
    <col min="1" max="1" width="2.42578125" style="185" customWidth="1"/>
    <col min="2" max="2" width="4.42578125" style="185" customWidth="1"/>
    <col min="3" max="3" width="43.5703125" style="185" customWidth="1"/>
    <col min="4" max="4" width="14.42578125" style="185" customWidth="1"/>
    <col min="5" max="7" width="13.85546875" style="185" customWidth="1"/>
    <col min="8" max="8" width="2.5703125" style="185" customWidth="1"/>
    <col min="9" max="10" width="13.85546875" style="185" customWidth="1"/>
    <col min="11" max="11" width="2.5703125" style="185" customWidth="1"/>
    <col min="12" max="16384" width="9.140625" style="185"/>
  </cols>
  <sheetData>
    <row r="1" spans="2:14" s="50" customFormat="1" ht="15" customHeight="1">
      <c r="B1" s="49"/>
      <c r="H1" s="184"/>
      <c r="K1" s="184"/>
    </row>
    <row r="2" spans="2:14" ht="24" customHeight="1">
      <c r="B2" s="8"/>
      <c r="C2" s="51" t="str">
        <f>IF(Indice_index!$Z$1=1,"21 - Estimativas de execução consideradas na conta da Administração Central","21 - Estimated amounts in Central Government Account")</f>
        <v>21 - Estimativas de execução consideradas na conta da Administração Central</v>
      </c>
      <c r="D2" s="51"/>
      <c r="E2" s="51"/>
      <c r="F2" s="51"/>
      <c r="G2" s="51"/>
      <c r="H2" s="51"/>
      <c r="I2" s="51"/>
      <c r="J2" s="51"/>
      <c r="K2" s="51"/>
    </row>
    <row r="3" spans="2:14" s="187" customFormat="1" ht="15" customHeight="1">
      <c r="B3" s="184"/>
      <c r="C3" s="186"/>
      <c r="H3" s="184"/>
      <c r="K3" s="184"/>
    </row>
    <row r="4" spans="2:14" s="187" customFormat="1" ht="15" customHeight="1">
      <c r="B4" s="184"/>
      <c r="C4" s="188"/>
      <c r="H4" s="184"/>
      <c r="K4" s="184"/>
    </row>
    <row r="5" spans="2:14" s="187" customFormat="1" ht="15" customHeight="1">
      <c r="B5" s="184"/>
      <c r="C5" s="869" t="str">
        <f>+'5 - Conta AC + SS'!C5</f>
        <v>Período: janeiro a julho</v>
      </c>
      <c r="D5" s="666"/>
      <c r="H5" s="666"/>
      <c r="I5" s="666"/>
      <c r="J5" s="666" t="str">
        <f>IF(Indice_index!$Z$1=1,"€ Milhões","€ Millions")</f>
        <v>€ Milhões</v>
      </c>
      <c r="K5" s="666"/>
    </row>
    <row r="6" spans="2:14" s="187" customFormat="1" ht="79.5" customHeight="1">
      <c r="B6" s="184"/>
      <c r="C6" s="870"/>
      <c r="D6" s="871" t="s">
        <v>77</v>
      </c>
      <c r="E6" s="871" t="s">
        <v>591</v>
      </c>
      <c r="F6" s="871" t="s">
        <v>592</v>
      </c>
      <c r="G6" s="871" t="s">
        <v>508</v>
      </c>
      <c r="H6" s="667"/>
      <c r="I6" s="871" t="s">
        <v>96</v>
      </c>
      <c r="J6" s="871" t="s">
        <v>593</v>
      </c>
      <c r="K6" s="667"/>
    </row>
    <row r="7" spans="2:14" s="187" customFormat="1" ht="15" customHeight="1">
      <c r="B7" s="184"/>
      <c r="C7" s="872" t="str">
        <f>IF(Indice_index!$Z$1=1,"Receita corrente","Current revenue")</f>
        <v>Receita corrente</v>
      </c>
      <c r="D7" s="668">
        <f>+D8+D9+D10+D12</f>
        <v>0</v>
      </c>
      <c r="E7" s="668">
        <f>+E8+E9+E10+E12</f>
        <v>1</v>
      </c>
      <c r="F7" s="668">
        <f>+F8+F9+F10+F12</f>
        <v>0</v>
      </c>
      <c r="G7" s="668">
        <f>+G8+G9+G10+G12</f>
        <v>1.4999999999999999E-2</v>
      </c>
      <c r="H7" s="668"/>
      <c r="I7" s="668">
        <f>+I8+I9+I10+I12</f>
        <v>0</v>
      </c>
      <c r="J7" s="668">
        <f>+J8+J9+J10+J12</f>
        <v>0</v>
      </c>
      <c r="K7" s="668"/>
    </row>
    <row r="8" spans="2:14" s="187" customFormat="1" ht="15" customHeight="1">
      <c r="B8" s="184"/>
      <c r="C8" s="744" t="str">
        <f>IF(Indice_index!$Z$1=1,"Receita fiscal","Tax")</f>
        <v>Receita fiscal</v>
      </c>
      <c r="D8" s="669">
        <v>0</v>
      </c>
      <c r="E8" s="669">
        <v>0</v>
      </c>
      <c r="F8" s="669">
        <v>0</v>
      </c>
      <c r="G8" s="669">
        <v>0</v>
      </c>
      <c r="H8" s="669"/>
      <c r="I8" s="669">
        <v>0</v>
      </c>
      <c r="J8" s="669">
        <v>0</v>
      </c>
      <c r="K8" s="669"/>
      <c r="N8" s="187" t="s">
        <v>39</v>
      </c>
    </row>
    <row r="9" spans="2:14" s="187" customFormat="1" ht="15" customHeight="1">
      <c r="B9" s="184"/>
      <c r="C9" s="873" t="str">
        <f>IF(Indice_index!$Z$1=1,"Contribuições para Segurança Social, CGA e ADSE","Social security, CGA and ADSE contributions")</f>
        <v>Contribuições para Segurança Social, CGA e ADSE</v>
      </c>
      <c r="D9" s="669">
        <v>0</v>
      </c>
      <c r="E9" s="669">
        <v>0</v>
      </c>
      <c r="F9" s="669">
        <v>0</v>
      </c>
      <c r="G9" s="669">
        <v>0</v>
      </c>
      <c r="H9" s="669"/>
      <c r="I9" s="669">
        <v>0</v>
      </c>
      <c r="J9" s="669">
        <v>0</v>
      </c>
      <c r="K9" s="669"/>
    </row>
    <row r="10" spans="2:14" s="187" customFormat="1" ht="15" customHeight="1">
      <c r="B10" s="184"/>
      <c r="C10" s="873" t="str">
        <f>IF(Indice_index!$Z$1=1,"Transferências correntes","Current transfers")</f>
        <v>Transferências correntes</v>
      </c>
      <c r="D10" s="669">
        <v>0</v>
      </c>
      <c r="E10" s="669">
        <v>1</v>
      </c>
      <c r="F10" s="669">
        <v>0</v>
      </c>
      <c r="G10" s="669">
        <v>1.4999999999999999E-2</v>
      </c>
      <c r="H10" s="669"/>
      <c r="I10" s="669">
        <v>0</v>
      </c>
      <c r="J10" s="669">
        <v>0</v>
      </c>
      <c r="K10" s="669"/>
    </row>
    <row r="11" spans="2:14" s="187" customFormat="1" ht="15" customHeight="1">
      <c r="B11" s="184"/>
      <c r="C11" s="874" t="str">
        <f>IF(Indice_index!$Z$1=1,"das quais: Administração Central","of which: Central Administration")</f>
        <v>das quais: Administração Central</v>
      </c>
      <c r="D11" s="669">
        <v>0</v>
      </c>
      <c r="E11" s="669">
        <v>1</v>
      </c>
      <c r="F11" s="669">
        <v>0</v>
      </c>
      <c r="G11" s="669">
        <v>0</v>
      </c>
      <c r="H11" s="669"/>
      <c r="I11" s="669">
        <v>0</v>
      </c>
      <c r="J11" s="669">
        <v>0</v>
      </c>
      <c r="K11" s="669"/>
    </row>
    <row r="12" spans="2:14" s="187" customFormat="1" ht="15" customHeight="1">
      <c r="B12" s="184"/>
      <c r="C12" s="873" t="str">
        <f>IF(Indice_index!$Z$1=1,"Outras receitas correntes","Other current revenue")</f>
        <v>Outras receitas correntes</v>
      </c>
      <c r="D12" s="669">
        <v>0</v>
      </c>
      <c r="E12" s="669">
        <v>0</v>
      </c>
      <c r="F12" s="669">
        <v>0</v>
      </c>
      <c r="G12" s="669">
        <v>0</v>
      </c>
      <c r="H12" s="669"/>
      <c r="I12" s="669">
        <v>0</v>
      </c>
      <c r="J12" s="669">
        <v>0</v>
      </c>
      <c r="K12" s="669"/>
    </row>
    <row r="13" spans="2:14" s="187" customFormat="1" ht="15" customHeight="1">
      <c r="B13" s="184"/>
      <c r="C13" s="874" t="str">
        <f>IF(Indice_index!$Z$1=1,"das quais: Administração Central","of which: Central Administration")</f>
        <v>das quais: Administração Central</v>
      </c>
      <c r="D13" s="669">
        <v>0</v>
      </c>
      <c r="E13" s="669">
        <v>0</v>
      </c>
      <c r="F13" s="669">
        <v>0</v>
      </c>
      <c r="G13" s="669">
        <v>0</v>
      </c>
      <c r="H13" s="669"/>
      <c r="I13" s="669">
        <v>0</v>
      </c>
      <c r="J13" s="669">
        <v>0</v>
      </c>
      <c r="K13" s="669"/>
    </row>
    <row r="14" spans="2:14" s="187" customFormat="1" ht="15" customHeight="1">
      <c r="B14" s="184"/>
      <c r="C14" s="874" t="str">
        <f>IF(Indice_index!$Z$1=1,"das quais: das quais: Vendas de bens e serviços / Saúde","of which: Sales of goods and services / Health sector")</f>
        <v>das quais: das quais: Vendas de bens e serviços / Saúde</v>
      </c>
      <c r="D14" s="669">
        <v>0</v>
      </c>
      <c r="E14" s="669">
        <v>0</v>
      </c>
      <c r="F14" s="669">
        <v>0</v>
      </c>
      <c r="G14" s="669">
        <v>0</v>
      </c>
      <c r="H14" s="669"/>
      <c r="I14" s="669">
        <v>0</v>
      </c>
      <c r="J14" s="669">
        <v>0</v>
      </c>
      <c r="K14" s="669"/>
    </row>
    <row r="15" spans="2:14" s="187" customFormat="1" ht="15" customHeight="1">
      <c r="B15" s="184"/>
      <c r="C15" s="872" t="str">
        <f>IF(Indice_index!$Z$1=1,"Receita de capital","Capital revenue")</f>
        <v>Receita de capital</v>
      </c>
      <c r="D15" s="668">
        <f>+D16+D17+D19</f>
        <v>0</v>
      </c>
      <c r="E15" s="668">
        <f>+E16+E17+E19</f>
        <v>5.0000000000000001E-3</v>
      </c>
      <c r="F15" s="668">
        <f>+F16+F17+F19</f>
        <v>0</v>
      </c>
      <c r="G15" s="668">
        <f>+G16+G17+G19</f>
        <v>0</v>
      </c>
      <c r="H15" s="668"/>
      <c r="I15" s="668">
        <f>+I16+I17+I19</f>
        <v>0</v>
      </c>
      <c r="J15" s="668">
        <f>+J16+J17+J19</f>
        <v>0</v>
      </c>
      <c r="K15" s="668"/>
    </row>
    <row r="16" spans="2:14" s="187" customFormat="1" ht="15" customHeight="1">
      <c r="B16" s="184"/>
      <c r="C16" s="873" t="str">
        <f>IF(Indice_index!$Z$1=1,"Venda de bens de investimento","Sale of investment goods")</f>
        <v>Venda de bens de investimento</v>
      </c>
      <c r="D16" s="669">
        <v>0</v>
      </c>
      <c r="E16" s="669">
        <v>0</v>
      </c>
      <c r="F16" s="669">
        <v>0</v>
      </c>
      <c r="G16" s="669">
        <v>0</v>
      </c>
      <c r="H16" s="669"/>
      <c r="I16" s="669">
        <v>0</v>
      </c>
      <c r="J16" s="669">
        <v>0</v>
      </c>
      <c r="K16" s="669"/>
    </row>
    <row r="17" spans="2:11" s="187" customFormat="1" ht="15" customHeight="1">
      <c r="B17" s="184"/>
      <c r="C17" s="873" t="str">
        <f>IF(Indice_index!$Z$1=1,"Transferências de capital","Capital transfers")</f>
        <v>Transferências de capital</v>
      </c>
      <c r="D17" s="669">
        <v>0</v>
      </c>
      <c r="E17" s="669">
        <v>5.0000000000000001E-3</v>
      </c>
      <c r="F17" s="669">
        <v>0</v>
      </c>
      <c r="G17" s="669">
        <v>0</v>
      </c>
      <c r="H17" s="669"/>
      <c r="I17" s="669">
        <v>0</v>
      </c>
      <c r="J17" s="669">
        <v>0</v>
      </c>
      <c r="K17" s="669"/>
    </row>
    <row r="18" spans="2:11" s="187" customFormat="1" ht="15" customHeight="1">
      <c r="B18" s="184"/>
      <c r="C18" s="874" t="str">
        <f>IF(Indice_index!$Z$1=1,"das quais: Administração Central","of which: Central Administration")</f>
        <v>das quais: Administração Central</v>
      </c>
      <c r="D18" s="669">
        <v>0</v>
      </c>
      <c r="E18" s="669">
        <v>5.0000000000000001E-3</v>
      </c>
      <c r="F18" s="669">
        <v>0</v>
      </c>
      <c r="G18" s="669">
        <v>0</v>
      </c>
      <c r="H18" s="669"/>
      <c r="I18" s="669">
        <v>0</v>
      </c>
      <c r="J18" s="669">
        <v>0</v>
      </c>
      <c r="K18" s="669"/>
    </row>
    <row r="19" spans="2:11" s="187" customFormat="1" ht="15" customHeight="1">
      <c r="B19" s="184"/>
      <c r="C19" s="873" t="str">
        <f>IF(Indice_index!$Z$1=1,"Outras receitas de capital","Other capital revenue")</f>
        <v>Outras receitas de capital</v>
      </c>
      <c r="D19" s="669">
        <v>0</v>
      </c>
      <c r="E19" s="669">
        <v>0</v>
      </c>
      <c r="F19" s="669">
        <v>0</v>
      </c>
      <c r="G19" s="669">
        <v>0</v>
      </c>
      <c r="H19" s="669"/>
      <c r="I19" s="669">
        <v>0</v>
      </c>
      <c r="J19" s="669">
        <v>0</v>
      </c>
      <c r="K19" s="669"/>
    </row>
    <row r="20" spans="2:11" s="187" customFormat="1" ht="15" customHeight="1">
      <c r="B20" s="184"/>
      <c r="C20" s="872" t="str">
        <f>IF(Indice_index!$Z$1=1,"Receita efetiva","Effective revenue")</f>
        <v>Receita efetiva</v>
      </c>
      <c r="D20" s="668">
        <f>+D7+D15</f>
        <v>0</v>
      </c>
      <c r="E20" s="668">
        <f>+E7+E15</f>
        <v>1.0049999999999999</v>
      </c>
      <c r="F20" s="668">
        <f>+F7+F15</f>
        <v>0</v>
      </c>
      <c r="G20" s="668">
        <f>+G7+G15</f>
        <v>1.4999999999999999E-2</v>
      </c>
      <c r="H20" s="668"/>
      <c r="I20" s="668">
        <f>+I7+I15</f>
        <v>0</v>
      </c>
      <c r="J20" s="668">
        <f>+J7+J15</f>
        <v>0</v>
      </c>
      <c r="K20" s="668"/>
    </row>
    <row r="21" spans="2:11" s="187" customFormat="1" ht="4.5" customHeight="1">
      <c r="B21" s="184"/>
      <c r="C21" s="872"/>
      <c r="D21" s="668"/>
      <c r="E21" s="668"/>
      <c r="F21" s="668"/>
      <c r="G21" s="668"/>
      <c r="H21" s="668"/>
      <c r="I21" s="668"/>
      <c r="J21" s="668"/>
      <c r="K21" s="668"/>
    </row>
    <row r="22" spans="2:11" s="187" customFormat="1" ht="15" customHeight="1">
      <c r="B22" s="184"/>
      <c r="C22" s="872" t="str">
        <f>IF(Indice_index!$Z$1=1,"Despesa corrente","Current expenditure")</f>
        <v>Despesa corrente</v>
      </c>
      <c r="D22" s="668">
        <f>+D23+D24+D26+D28+D30+D32</f>
        <v>8.2699999999999996E-2</v>
      </c>
      <c r="E22" s="668">
        <f>+E23+E24+E26+E28+E30+E32</f>
        <v>0</v>
      </c>
      <c r="F22" s="668">
        <f>+F23+F24+F26+F28+F30+F32</f>
        <v>8.8839999999999995E-3</v>
      </c>
      <c r="G22" s="668">
        <f>+G23+G24+G26+G28+G30+G32</f>
        <v>1.4287000000000001E-2</v>
      </c>
      <c r="H22" s="668"/>
      <c r="I22" s="668">
        <f>+I23+I24+I26+I28+I30+I32</f>
        <v>37.459349979999985</v>
      </c>
      <c r="J22" s="668">
        <f>+J23+J24+J26+J28+J30+J32</f>
        <v>0</v>
      </c>
      <c r="K22" s="668"/>
    </row>
    <row r="23" spans="2:11" s="187" customFormat="1" ht="15" customHeight="1">
      <c r="B23" s="184"/>
      <c r="C23" s="873" t="str">
        <f>IF(Indice_index!$Z$1=1,"Despesas com o pessoal","Employees")</f>
        <v>Despesas com o pessoal</v>
      </c>
      <c r="D23" s="669">
        <v>4.9810000000000002E-3</v>
      </c>
      <c r="E23" s="669">
        <v>0</v>
      </c>
      <c r="F23" s="669">
        <v>0</v>
      </c>
      <c r="G23" s="669">
        <v>0</v>
      </c>
      <c r="H23" s="669"/>
      <c r="I23" s="669">
        <v>34.301391029999991</v>
      </c>
      <c r="J23" s="670">
        <v>0</v>
      </c>
      <c r="K23" s="669"/>
    </row>
    <row r="24" spans="2:11" s="187" customFormat="1" ht="15" customHeight="1">
      <c r="B24" s="184"/>
      <c r="C24" s="873" t="str">
        <f>IF(Indice_index!$Z$1=1,"Aquisição de bens e serviços","Purchase of goods and services")</f>
        <v>Aquisição de bens e serviços</v>
      </c>
      <c r="D24" s="669">
        <v>7.7718999999999996E-2</v>
      </c>
      <c r="E24" s="669">
        <v>0</v>
      </c>
      <c r="F24" s="669">
        <v>3.1449999999999998E-3</v>
      </c>
      <c r="G24" s="669">
        <v>5.0569999999999999E-3</v>
      </c>
      <c r="H24" s="669"/>
      <c r="I24" s="669">
        <v>2.2545820699999997</v>
      </c>
      <c r="J24" s="670">
        <v>0</v>
      </c>
      <c r="K24" s="669"/>
    </row>
    <row r="25" spans="2:11" s="187" customFormat="1" ht="15" customHeight="1">
      <c r="B25" s="184"/>
      <c r="C25" s="874" t="str">
        <f>IF(Indice_index!$Z$1=1,"das quais: das quais: Aquisição de bens e serviços / Saúde","of which: Purchase of goods and services / Health sector")</f>
        <v>das quais: das quais: Aquisição de bens e serviços / Saúde</v>
      </c>
      <c r="D25" s="670">
        <v>0</v>
      </c>
      <c r="E25" s="670">
        <v>0</v>
      </c>
      <c r="F25" s="670">
        <v>0</v>
      </c>
      <c r="G25" s="670">
        <v>0</v>
      </c>
      <c r="H25" s="670"/>
      <c r="I25" s="670">
        <v>0</v>
      </c>
      <c r="J25" s="670">
        <v>0</v>
      </c>
      <c r="K25" s="670"/>
    </row>
    <row r="26" spans="2:11" s="187" customFormat="1" ht="15" customHeight="1">
      <c r="B26" s="184"/>
      <c r="C26" s="873" t="str">
        <f>IF(Indice_index!$Z$1=1,"Juros e outros encargos","Interests and other charges")</f>
        <v>Juros e outros encargos</v>
      </c>
      <c r="D26" s="669">
        <v>0</v>
      </c>
      <c r="E26" s="669">
        <v>0</v>
      </c>
      <c r="F26" s="669">
        <v>0</v>
      </c>
      <c r="G26" s="669">
        <v>0</v>
      </c>
      <c r="H26" s="669"/>
      <c r="I26" s="669">
        <v>0</v>
      </c>
      <c r="J26" s="669">
        <v>0</v>
      </c>
      <c r="K26" s="669"/>
    </row>
    <row r="27" spans="2:11" s="187" customFormat="1" ht="15" customHeight="1">
      <c r="B27" s="184"/>
      <c r="C27" s="874" t="str">
        <f>IF(Indice_index!$Z$1=1,"dos quais: Administração Central","of which: Central Administration")</f>
        <v>dos quais: Administração Central</v>
      </c>
      <c r="D27" s="669">
        <v>0</v>
      </c>
      <c r="E27" s="669">
        <v>0</v>
      </c>
      <c r="F27" s="669">
        <v>0</v>
      </c>
      <c r="G27" s="669">
        <v>0</v>
      </c>
      <c r="H27" s="669"/>
      <c r="I27" s="669">
        <v>0</v>
      </c>
      <c r="J27" s="669">
        <v>0</v>
      </c>
      <c r="K27" s="669"/>
    </row>
    <row r="28" spans="2:11" s="187" customFormat="1" ht="15" customHeight="1">
      <c r="B28" s="184"/>
      <c r="C28" s="873" t="str">
        <f>IF(Indice_index!$Z$1=1,"Transferências correntes","Current transfers")</f>
        <v>Transferências correntes</v>
      </c>
      <c r="D28" s="669">
        <v>0</v>
      </c>
      <c r="E28" s="669">
        <v>0</v>
      </c>
      <c r="F28" s="669">
        <v>0</v>
      </c>
      <c r="G28" s="669">
        <v>9.2300000000000004E-3</v>
      </c>
      <c r="H28" s="669"/>
      <c r="I28" s="669">
        <v>0.18350888000000001</v>
      </c>
      <c r="J28" s="670">
        <v>0</v>
      </c>
      <c r="K28" s="669"/>
    </row>
    <row r="29" spans="2:11" s="187" customFormat="1" ht="15" customHeight="1">
      <c r="B29" s="184"/>
      <c r="C29" s="874" t="str">
        <f>IF(Indice_index!$Z$1=1,"das quais: Administração Central","of which: Central Administration")</f>
        <v>das quais: Administração Central</v>
      </c>
      <c r="D29" s="670">
        <v>0</v>
      </c>
      <c r="E29" s="670">
        <v>0</v>
      </c>
      <c r="F29" s="670">
        <v>0</v>
      </c>
      <c r="G29" s="670">
        <v>0</v>
      </c>
      <c r="H29" s="670"/>
      <c r="I29" s="670">
        <v>0</v>
      </c>
      <c r="J29" s="670">
        <v>0</v>
      </c>
      <c r="K29" s="670"/>
    </row>
    <row r="30" spans="2:11" s="187" customFormat="1" ht="15" customHeight="1">
      <c r="B30" s="184"/>
      <c r="C30" s="873" t="str">
        <f>IF(Indice_index!$Z$1=1,"Subsídios","Subsidies")</f>
        <v>Subsídios</v>
      </c>
      <c r="D30" s="669">
        <v>0</v>
      </c>
      <c r="E30" s="669">
        <v>0</v>
      </c>
      <c r="F30" s="669">
        <v>0</v>
      </c>
      <c r="G30" s="669">
        <v>0</v>
      </c>
      <c r="H30" s="669"/>
      <c r="I30" s="669">
        <v>0</v>
      </c>
      <c r="J30" s="669">
        <v>0</v>
      </c>
      <c r="K30" s="669"/>
    </row>
    <row r="31" spans="2:11" s="187" customFormat="1" ht="15" customHeight="1">
      <c r="B31" s="184"/>
      <c r="C31" s="874" t="str">
        <f>IF(Indice_index!$Z$1=1,"dos quais: Administração Central","of which: Central Administration")</f>
        <v>dos quais: Administração Central</v>
      </c>
      <c r="D31" s="670">
        <v>0</v>
      </c>
      <c r="E31" s="670">
        <v>0</v>
      </c>
      <c r="F31" s="670">
        <v>0</v>
      </c>
      <c r="G31" s="670">
        <v>0</v>
      </c>
      <c r="H31" s="670"/>
      <c r="I31" s="670">
        <v>0</v>
      </c>
      <c r="J31" s="670">
        <v>0</v>
      </c>
      <c r="K31" s="670"/>
    </row>
    <row r="32" spans="2:11" s="187" customFormat="1" ht="15" customHeight="1">
      <c r="B32" s="184"/>
      <c r="C32" s="873" t="str">
        <f>IF(Indice_index!$Z$1=1,"Outras despesas correntes","Other current expenditure")</f>
        <v>Outras despesas correntes</v>
      </c>
      <c r="D32" s="669">
        <v>0</v>
      </c>
      <c r="E32" s="669">
        <v>0</v>
      </c>
      <c r="F32" s="669">
        <v>5.7390000000000002E-3</v>
      </c>
      <c r="G32" s="669">
        <v>0</v>
      </c>
      <c r="H32" s="669"/>
      <c r="I32" s="669">
        <v>0.71986799999999995</v>
      </c>
      <c r="J32" s="670">
        <v>0</v>
      </c>
      <c r="K32" s="669"/>
    </row>
    <row r="33" spans="2:19" s="187" customFormat="1" ht="15" customHeight="1">
      <c r="B33" s="184"/>
      <c r="C33" s="872" t="str">
        <f>IF(Indice_index!$Z$1=1,"Despesa de capital","Capital expenditure")</f>
        <v>Despesa de capital</v>
      </c>
      <c r="D33" s="671">
        <f>+D34+D35+D37</f>
        <v>0</v>
      </c>
      <c r="E33" s="671">
        <f>+E34+E35+E37</f>
        <v>1.2107819900000001</v>
      </c>
      <c r="F33" s="671">
        <f>+F34+F35+F37</f>
        <v>0</v>
      </c>
      <c r="G33" s="671">
        <f>+G34+G35+G37</f>
        <v>0</v>
      </c>
      <c r="H33" s="671"/>
      <c r="I33" s="671">
        <f>+I34+I35+I37</f>
        <v>4.2119115999999996</v>
      </c>
      <c r="J33" s="671">
        <f>+J34+J35+J37</f>
        <v>9.9999999999999982</v>
      </c>
      <c r="K33" s="671"/>
    </row>
    <row r="34" spans="2:19" s="187" customFormat="1" ht="15" customHeight="1">
      <c r="B34" s="184"/>
      <c r="C34" s="873" t="str">
        <f>IF(Indice_index!$Z$1=1,"Investimento","Investment")</f>
        <v>Investimento</v>
      </c>
      <c r="D34" s="669">
        <v>0</v>
      </c>
      <c r="E34" s="669">
        <v>0</v>
      </c>
      <c r="F34" s="669">
        <v>0</v>
      </c>
      <c r="G34" s="669">
        <v>0</v>
      </c>
      <c r="H34" s="669"/>
      <c r="I34" s="669">
        <v>4.2119115999999996</v>
      </c>
      <c r="J34" s="669">
        <v>9.9999999999999982</v>
      </c>
      <c r="K34" s="669"/>
    </row>
    <row r="35" spans="2:19" s="187" customFormat="1" ht="15" customHeight="1">
      <c r="B35" s="184"/>
      <c r="C35" s="873" t="str">
        <f>IF(Indice_index!$Z$1=1,"Transferências de capital","Capital transfers")</f>
        <v>Transferências de capital</v>
      </c>
      <c r="D35" s="669">
        <v>0</v>
      </c>
      <c r="E35" s="669">
        <v>0.81614299000000001</v>
      </c>
      <c r="F35" s="669">
        <v>0</v>
      </c>
      <c r="G35" s="669">
        <v>0</v>
      </c>
      <c r="H35" s="669"/>
      <c r="I35" s="669">
        <v>0</v>
      </c>
      <c r="J35" s="669">
        <v>0</v>
      </c>
      <c r="K35" s="669"/>
    </row>
    <row r="36" spans="2:19" s="187" customFormat="1" ht="15" customHeight="1">
      <c r="B36" s="184"/>
      <c r="C36" s="874" t="str">
        <f>IF(Indice_index!$Z$1=1,"das quais: Administração Central","of which: Central Administration")</f>
        <v>das quais: Administração Central</v>
      </c>
      <c r="D36" s="670">
        <v>0</v>
      </c>
      <c r="E36" s="670">
        <v>0.81614299000000001</v>
      </c>
      <c r="F36" s="670">
        <v>0</v>
      </c>
      <c r="G36" s="670">
        <v>0</v>
      </c>
      <c r="H36" s="670"/>
      <c r="I36" s="670">
        <v>0</v>
      </c>
      <c r="J36" s="670">
        <v>0</v>
      </c>
      <c r="K36" s="670"/>
    </row>
    <row r="37" spans="2:19" s="187" customFormat="1" ht="15" customHeight="1">
      <c r="B37" s="184"/>
      <c r="C37" s="873" t="str">
        <f>IF(Indice_index!$Z$1=1,"Outras despesas de capital","Other capital expenditure")</f>
        <v>Outras despesas de capital</v>
      </c>
      <c r="D37" s="669">
        <v>0</v>
      </c>
      <c r="E37" s="669">
        <v>0.39463900000000002</v>
      </c>
      <c r="F37" s="669">
        <v>0</v>
      </c>
      <c r="G37" s="669">
        <v>0</v>
      </c>
      <c r="H37" s="669"/>
      <c r="I37" s="669">
        <v>0</v>
      </c>
      <c r="J37" s="669">
        <v>0</v>
      </c>
      <c r="K37" s="669"/>
    </row>
    <row r="38" spans="2:19" s="187" customFormat="1" ht="15" customHeight="1">
      <c r="B38" s="184"/>
      <c r="C38" s="872" t="str">
        <f>IF(Indice_index!$Z$1=1,"Despesa efetiva","Effective expenditure")</f>
        <v>Despesa efetiva</v>
      </c>
      <c r="D38" s="671">
        <f>+D22+D33</f>
        <v>8.2699999999999996E-2</v>
      </c>
      <c r="E38" s="671">
        <f t="shared" ref="E38:G38" si="0">+E22+E33</f>
        <v>1.2107819900000001</v>
      </c>
      <c r="F38" s="671">
        <f t="shared" si="0"/>
        <v>8.8839999999999995E-3</v>
      </c>
      <c r="G38" s="671">
        <f t="shared" si="0"/>
        <v>1.4287000000000001E-2</v>
      </c>
      <c r="H38" s="671"/>
      <c r="I38" s="671">
        <f>+I22+I33</f>
        <v>41.671261579999985</v>
      </c>
      <c r="J38" s="671">
        <f>+J22+J33</f>
        <v>9.9999999999999982</v>
      </c>
      <c r="K38" s="671"/>
    </row>
    <row r="39" spans="2:19" s="187" customFormat="1" ht="4.5" customHeight="1">
      <c r="B39" s="184"/>
      <c r="C39" s="875"/>
      <c r="D39" s="671"/>
      <c r="E39" s="671"/>
      <c r="F39" s="671"/>
      <c r="G39" s="671"/>
      <c r="H39" s="671"/>
      <c r="I39" s="671"/>
      <c r="J39" s="671"/>
      <c r="K39" s="671"/>
    </row>
    <row r="40" spans="2:19" s="187" customFormat="1" ht="15" customHeight="1">
      <c r="B40" s="184"/>
      <c r="C40" s="876" t="str">
        <f>IF(Indice_index!$Z$1=1,"Saldo global","Overall balance")</f>
        <v>Saldo global</v>
      </c>
      <c r="D40" s="877">
        <f>+D20-D38</f>
        <v>-8.2699999999999996E-2</v>
      </c>
      <c r="E40" s="877">
        <f>+E20-E38</f>
        <v>-0.20578199000000019</v>
      </c>
      <c r="F40" s="877">
        <f>+F20-F38</f>
        <v>-8.8839999999999995E-3</v>
      </c>
      <c r="G40" s="877">
        <f>+G20-G38</f>
        <v>7.1299999999999836E-4</v>
      </c>
      <c r="H40" s="672"/>
      <c r="I40" s="877">
        <f>+I20-I38</f>
        <v>-41.671261579999985</v>
      </c>
      <c r="J40" s="877">
        <f>+J20-J38</f>
        <v>-9.9999999999999982</v>
      </c>
      <c r="K40" s="672"/>
    </row>
    <row r="41" spans="2:19" s="97" customFormat="1" ht="4.5" customHeight="1">
      <c r="D41" s="673"/>
      <c r="E41" s="673"/>
      <c r="F41" s="673"/>
      <c r="G41" s="673"/>
      <c r="H41" s="673"/>
      <c r="I41" s="673"/>
      <c r="J41" s="673"/>
      <c r="K41" s="673"/>
      <c r="Q41" s="50"/>
      <c r="R41" s="50"/>
      <c r="S41" s="50"/>
    </row>
    <row r="42" spans="2:19" s="187" customFormat="1" ht="21.75" customHeight="1">
      <c r="C42" s="876" t="str">
        <f>IF(Indice_index!$Z$1=1,"Períodos com ausência de reporte","Months without report")</f>
        <v>Períodos com ausência de reporte</v>
      </c>
      <c r="D42" s="878" t="str">
        <f>IF(Indice_index!$Z$1=1,"julho","July")</f>
        <v>julho</v>
      </c>
      <c r="E42" s="878" t="str">
        <f>IF(Indice_index!$Z$1=1,"julho","July")</f>
        <v>julho</v>
      </c>
      <c r="F42" s="878" t="str">
        <f>IF(Indice_index!$Z$1=1,"julho","July")</f>
        <v>julho</v>
      </c>
      <c r="G42" s="878" t="str">
        <f>IF(Indice_index!$Z$1=1,"julho; junho; maio; ; abril; março","July; June; May; ; April; March")</f>
        <v>julho; junho; maio; ; abril; março</v>
      </c>
      <c r="H42" s="674"/>
      <c r="I42" s="878" t="str">
        <f>IF(Indice_index!$Z$1=1,"julho","July")</f>
        <v>julho</v>
      </c>
      <c r="J42" s="878" t="str">
        <f>IF(Indice_index!$Z$1=1,"julho","July")</f>
        <v>julho</v>
      </c>
      <c r="K42" s="674"/>
    </row>
    <row r="43" spans="2:19" s="187" customFormat="1" ht="3" customHeight="1">
      <c r="C43" s="869"/>
    </row>
    <row r="44" spans="2:19" s="187" customFormat="1" ht="4.5" customHeight="1">
      <c r="C44" s="869"/>
    </row>
    <row r="45" spans="2:19" s="53" customFormat="1" ht="15" customHeight="1">
      <c r="C45" s="782" t="str">
        <f>IF(Indice_index!$Z$1=1,"Notas:","Notes:")</f>
        <v>Notas:</v>
      </c>
      <c r="D45" s="58"/>
      <c r="E45" s="675"/>
      <c r="F45" s="675"/>
      <c r="G45" s="675"/>
      <c r="H45" s="675"/>
      <c r="I45" s="247"/>
      <c r="J45" s="247"/>
      <c r="K45" s="675"/>
      <c r="P45" s="50"/>
      <c r="Q45" s="50"/>
      <c r="R45" s="50"/>
    </row>
    <row r="46" spans="2:19" s="187" customFormat="1" ht="39" customHeight="1">
      <c r="C46" s="1785" t="str">
        <f>IF(Indice_index!$Z$1=1,C96,C97)</f>
        <v>As estimativas de execução consistem na correspondente previsão mensal inicial de execução do Orçamento para 2022. Estas estimativas são adicionadas à Conta da Administração Central para minimizar o efeito da falta de reporte de execução. Apenas inclui informação das entidades que disponibilizaram previsão de execução para os meses em causa.</v>
      </c>
      <c r="D46" s="1785"/>
      <c r="E46" s="1785"/>
      <c r="F46" s="1785"/>
      <c r="G46" s="1785"/>
      <c r="H46" s="1785"/>
      <c r="I46" s="1785"/>
      <c r="J46" s="1785"/>
    </row>
    <row r="47" spans="2:19" s="187" customFormat="1" ht="25.5" customHeight="1">
      <c r="C47" s="1785" t="str">
        <f>+'10 - EPR'!C86:J86</f>
        <v>Esta estimativa apenas é utilizada para os meses em que haja falta de reporte. Nos restantes meses, é utilizada a informação efetivamente reportada pelas entidades.</v>
      </c>
      <c r="D47" s="1785"/>
      <c r="E47" s="1785"/>
      <c r="F47" s="1785"/>
      <c r="G47" s="1785"/>
      <c r="H47" s="1785"/>
      <c r="I47" s="1785"/>
      <c r="J47" s="1785"/>
    </row>
    <row r="48" spans="2:19" s="187" customFormat="1" ht="30" customHeight="1">
      <c r="C48" s="1785" t="str">
        <f>IF(Indice_index!$Z$1=1,"a) Dados disponibilizados pelas entidades em causa de modo a suprir faltas de informação respeitantes à execução orçamental de julho de 2021 devido a motivos de ordem técnica na transposição dos sistemas orçamentais locais para os centrais.","a) Additional 2021 budget implementation data sent by the entities to complete missing information that, due to technical reasons, was not fully transposed from the local to the central budget information systems")</f>
        <v>a) Dados disponibilizados pelas entidades em causa de modo a suprir faltas de informação respeitantes à execução orçamental de julho de 2021 devido a motivos de ordem técnica na transposição dos sistemas orçamentais locais para os centrais.</v>
      </c>
      <c r="D48" s="1785"/>
      <c r="E48" s="1785"/>
      <c r="F48" s="1785"/>
      <c r="G48" s="1785"/>
      <c r="H48" s="1785"/>
      <c r="I48" s="1785"/>
      <c r="J48" s="1785"/>
    </row>
    <row r="49" spans="3:11" s="187" customFormat="1" ht="30" customHeight="1">
      <c r="C49" s="1785" t="str">
        <f>IF(Indice_index!$Z$1=1,"b) Dados disponibilizados pelas entidades em causa de modo a suprir faltas de informação respeitantes à execução orçamental de julho de 2022 devido a motivos de ordem técnica na transposição dos sistemas orçamentais locais para os centrais.","b) Additional 2022 budget implementation data sent by the entities to complete missing information that, due to technical reasons, was not fully transposed from the local to the central budget information systems")</f>
        <v>b) Dados disponibilizados pelas entidades em causa de modo a suprir faltas de informação respeitantes à execução orçamental de julho de 2022 devido a motivos de ordem técnica na transposição dos sistemas orçamentais locais para os centrais.</v>
      </c>
      <c r="D49" s="1785"/>
      <c r="E49" s="1785"/>
      <c r="F49" s="1785"/>
      <c r="G49" s="1785"/>
      <c r="H49" s="1785"/>
      <c r="I49" s="1785"/>
      <c r="J49" s="1785"/>
    </row>
    <row r="50" spans="3:11" s="187" customFormat="1" ht="4.5" customHeight="1">
      <c r="C50" s="1785"/>
      <c r="D50" s="1785"/>
      <c r="E50" s="1785"/>
      <c r="F50" s="1785"/>
      <c r="G50" s="1785"/>
      <c r="H50" s="676"/>
      <c r="I50" s="868"/>
      <c r="J50" s="868"/>
      <c r="K50" s="676"/>
    </row>
    <row r="51" spans="3:11" s="187" customFormat="1" ht="15" customHeight="1">
      <c r="C51" s="665" t="str">
        <f>IF(Indice_index!$Z$1=1,"Fonte: Direção-Geral do Orçamento","Source: Budget General Directorate")</f>
        <v>Fonte: Direção-Geral do Orçamento</v>
      </c>
      <c r="D51" s="665"/>
      <c r="E51" s="665"/>
      <c r="F51" s="665"/>
      <c r="G51" s="665"/>
      <c r="H51" s="665"/>
      <c r="K51" s="665"/>
    </row>
    <row r="52" spans="3:11" s="187" customFormat="1"/>
    <row r="53" spans="3:11" s="187" customFormat="1"/>
    <row r="54" spans="3:11" s="510" customFormat="1"/>
    <row r="55" spans="3:11" s="428" customFormat="1">
      <c r="C55" s="472"/>
    </row>
    <row r="56" spans="3:11" s="428" customFormat="1">
      <c r="C56" s="472"/>
    </row>
    <row r="57" spans="3:11" s="510" customFormat="1">
      <c r="C57" s="472"/>
    </row>
    <row r="58" spans="3:11" s="187" customFormat="1">
      <c r="C58" s="428"/>
    </row>
    <row r="59" spans="3:11" s="187" customFormat="1"/>
    <row r="60" spans="3:11" s="187" customFormat="1"/>
    <row r="61" spans="3:11" s="187" customFormat="1"/>
    <row r="62" spans="3:11" s="187" customFormat="1"/>
    <row r="63" spans="3:11" s="187" customFormat="1"/>
    <row r="64" spans="3:11" s="187" customFormat="1"/>
    <row r="65" s="187" customFormat="1"/>
    <row r="66" s="187" customFormat="1"/>
    <row r="67" s="187" customFormat="1"/>
    <row r="68" s="187" customFormat="1"/>
    <row r="69" s="187" customFormat="1"/>
    <row r="70" s="187" customFormat="1"/>
    <row r="71" s="187" customFormat="1"/>
    <row r="72" s="187" customFormat="1"/>
    <row r="73" s="187" customFormat="1" ht="12" customHeight="1"/>
    <row r="74" s="187" customFormat="1"/>
    <row r="75" s="187" customFormat="1"/>
    <row r="76" s="187" customFormat="1"/>
    <row r="77" s="187" customFormat="1"/>
    <row r="78" s="187" customFormat="1"/>
    <row r="79" s="187" customFormat="1"/>
    <row r="80" s="187" customFormat="1"/>
    <row r="81" spans="3:3" s="187" customFormat="1"/>
    <row r="82" spans="3:3" s="187" customFormat="1"/>
    <row r="83" spans="3:3" s="187" customFormat="1"/>
    <row r="84" spans="3:3" s="187" customFormat="1"/>
    <row r="85" spans="3:3" s="187" customFormat="1"/>
    <row r="86" spans="3:3" s="187" customFormat="1"/>
    <row r="87" spans="3:3" s="187" customFormat="1"/>
    <row r="88" spans="3:3" s="187" customFormat="1"/>
    <row r="89" spans="3:3" s="187" customFormat="1"/>
    <row r="90" spans="3:3" s="187" customFormat="1"/>
    <row r="91" spans="3:3" s="187" customFormat="1"/>
    <row r="92" spans="3:3" s="187" customFormat="1"/>
    <row r="93" spans="3:3" s="187" customFormat="1"/>
    <row r="94" spans="3:3" s="187" customFormat="1"/>
    <row r="95" spans="3:3" s="187" customFormat="1"/>
    <row r="96" spans="3:3" s="187" customFormat="1">
      <c r="C96" s="428" t="s">
        <v>78</v>
      </c>
    </row>
    <row r="97" spans="3:3" s="187" customFormat="1">
      <c r="C97" s="428" t="s">
        <v>79</v>
      </c>
    </row>
    <row r="98" spans="3:3" s="187" customFormat="1"/>
    <row r="99" spans="3:3" s="187" customFormat="1"/>
    <row r="100" spans="3:3" s="187" customFormat="1"/>
    <row r="101" spans="3:3" s="187" customFormat="1"/>
    <row r="102" spans="3:3" s="187" customFormat="1"/>
    <row r="103" spans="3:3" s="187" customFormat="1"/>
    <row r="104" spans="3:3" s="187" customFormat="1"/>
    <row r="105" spans="3:3" s="187" customFormat="1"/>
    <row r="106" spans="3:3" s="187" customFormat="1"/>
    <row r="107" spans="3:3" s="187" customFormat="1"/>
    <row r="108" spans="3:3" s="187" customFormat="1"/>
    <row r="109" spans="3:3" s="187" customFormat="1"/>
    <row r="110" spans="3:3" s="187" customFormat="1"/>
    <row r="111" spans="3:3" s="187" customFormat="1"/>
    <row r="112" spans="3:3" s="187" customFormat="1"/>
    <row r="113" s="187" customFormat="1"/>
    <row r="114" s="187" customFormat="1"/>
    <row r="115" s="187" customFormat="1"/>
    <row r="116" s="187" customFormat="1"/>
    <row r="117" s="187" customFormat="1"/>
    <row r="118" s="187" customFormat="1"/>
    <row r="119" s="187" customFormat="1"/>
    <row r="120" s="187" customFormat="1"/>
    <row r="121" s="187" customFormat="1"/>
    <row r="122" s="187" customFormat="1"/>
    <row r="123" s="187" customFormat="1"/>
    <row r="124" s="187" customFormat="1"/>
    <row r="125" s="187" customFormat="1"/>
    <row r="126" s="187" customFormat="1"/>
    <row r="127" s="187" customFormat="1"/>
    <row r="128" s="187" customFormat="1"/>
    <row r="129" s="187" customFormat="1"/>
    <row r="130" s="187" customFormat="1"/>
    <row r="131" s="187" customFormat="1"/>
    <row r="132" s="187" customFormat="1"/>
    <row r="133" s="187" customFormat="1"/>
    <row r="134" s="187" customFormat="1"/>
    <row r="135" s="187" customFormat="1"/>
    <row r="136" s="187" customFormat="1"/>
    <row r="137" s="187" customFormat="1"/>
    <row r="138" s="187" customFormat="1"/>
    <row r="139" s="187" customFormat="1"/>
    <row r="140" s="187" customFormat="1"/>
    <row r="141" s="187" customFormat="1"/>
    <row r="142" s="187" customFormat="1"/>
    <row r="143" s="187" customFormat="1"/>
    <row r="144" s="187" customFormat="1"/>
    <row r="145" s="187" customFormat="1"/>
    <row r="146" s="187" customFormat="1"/>
    <row r="147" s="187" customFormat="1"/>
    <row r="148" s="187" customFormat="1"/>
    <row r="149" s="187" customFormat="1"/>
    <row r="150" s="187" customFormat="1"/>
    <row r="151" s="187" customFormat="1"/>
    <row r="152" s="187" customFormat="1"/>
    <row r="153" s="187" customFormat="1"/>
    <row r="154" s="187" customFormat="1"/>
    <row r="155" s="187" customFormat="1"/>
    <row r="156" s="187" customFormat="1"/>
    <row r="157" s="187" customFormat="1"/>
    <row r="158" s="187" customFormat="1"/>
    <row r="159" s="187" customFormat="1"/>
    <row r="160" s="187" customFormat="1"/>
    <row r="161" s="187" customFormat="1"/>
    <row r="162" s="187" customFormat="1"/>
    <row r="163" s="187" customFormat="1"/>
    <row r="164" s="187" customFormat="1"/>
    <row r="165" s="187" customFormat="1"/>
    <row r="166" s="187" customFormat="1"/>
    <row r="167" s="187" customFormat="1"/>
    <row r="168" s="187" customFormat="1"/>
    <row r="169" s="187" customFormat="1"/>
    <row r="170" s="187" customFormat="1"/>
    <row r="171" s="187" customFormat="1"/>
    <row r="172" s="187" customFormat="1"/>
    <row r="173" s="187" customFormat="1"/>
    <row r="174" s="187" customFormat="1"/>
    <row r="175" s="187" customFormat="1"/>
    <row r="176" s="187" customFormat="1"/>
    <row r="177" s="187" customFormat="1"/>
    <row r="178" s="187" customFormat="1"/>
    <row r="179" s="187" customFormat="1"/>
    <row r="180" s="187" customFormat="1"/>
    <row r="181" s="187" customFormat="1"/>
    <row r="182" s="187" customFormat="1"/>
    <row r="183" s="187" customFormat="1"/>
    <row r="184" s="187" customFormat="1"/>
    <row r="185" s="187" customFormat="1"/>
    <row r="186" s="187" customFormat="1"/>
    <row r="187" s="187" customFormat="1"/>
    <row r="188" s="187" customFormat="1"/>
    <row r="189" s="187" customFormat="1"/>
    <row r="190" s="187" customFormat="1"/>
    <row r="191" s="187" customFormat="1"/>
    <row r="192" s="187" customFormat="1"/>
    <row r="193" s="187" customFormat="1"/>
    <row r="194" s="187" customFormat="1"/>
    <row r="195" s="187" customFormat="1"/>
    <row r="196" s="187" customFormat="1"/>
    <row r="197" s="187" customFormat="1"/>
    <row r="198" s="187" customFormat="1"/>
    <row r="199" s="187" customFormat="1"/>
    <row r="200" s="187" customFormat="1"/>
    <row r="201" s="187" customFormat="1"/>
    <row r="202" s="187" customFormat="1"/>
    <row r="203" s="187" customFormat="1"/>
    <row r="204" s="187" customFormat="1"/>
    <row r="205" s="187" customFormat="1"/>
    <row r="206" s="187" customFormat="1"/>
    <row r="207" s="187" customFormat="1"/>
    <row r="208" s="187" customFormat="1"/>
    <row r="209" s="187" customFormat="1"/>
    <row r="210" s="187" customFormat="1"/>
    <row r="211" s="187" customFormat="1"/>
    <row r="212" s="187" customFormat="1"/>
    <row r="213" s="187" customFormat="1"/>
    <row r="214" s="187" customFormat="1"/>
    <row r="215" s="187" customFormat="1"/>
    <row r="216" s="187" customFormat="1"/>
    <row r="217" s="187" customFormat="1"/>
    <row r="218" s="187" customFormat="1"/>
    <row r="219" s="187" customFormat="1"/>
    <row r="220" s="187" customFormat="1"/>
    <row r="221" s="187" customFormat="1"/>
    <row r="222" s="187" customFormat="1"/>
    <row r="223" s="187" customFormat="1"/>
    <row r="224" s="187" customFormat="1"/>
    <row r="225" s="187" customFormat="1"/>
    <row r="226" s="187" customFormat="1"/>
    <row r="227" s="187" customFormat="1"/>
    <row r="228" s="187" customFormat="1"/>
  </sheetData>
  <mergeCells count="5">
    <mergeCell ref="C50:G50"/>
    <mergeCell ref="C46:J46"/>
    <mergeCell ref="C47:J47"/>
    <mergeCell ref="C48:J48"/>
    <mergeCell ref="C49:J49"/>
  </mergeCells>
  <printOptions horizontalCentered="1"/>
  <pageMargins left="0.70866141732283472" right="0.70866141732283472" top="0.74803149606299213" bottom="0.74803149606299213" header="0.74803149606299213" footer="0.35433070866141736"/>
  <pageSetup paperSize="9" scale="62" orientation="portrait" r:id="rId1"/>
  <headerFooter differentOddEven="1">
    <oddFooter>&amp;R&amp;G</oddFooter>
    <evenFooter>&amp;L&amp;G</evenFooter>
  </headerFooter>
  <ignoredErrors>
    <ignoredError sqref="C12" formula="1"/>
  </ignoredErrors>
  <drawing r:id="rId2"/>
  <legacyDrawingHF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Folha26">
    <pageSetUpPr fitToPage="1"/>
  </sheetPr>
  <dimension ref="B1:M233"/>
  <sheetViews>
    <sheetView showGridLines="0" zoomScaleNormal="100" zoomScaleSheetLayoutView="100" workbookViewId="0">
      <selection activeCell="B2" sqref="B2"/>
    </sheetView>
  </sheetViews>
  <sheetFormatPr defaultColWidth="9.140625" defaultRowHeight="15"/>
  <cols>
    <col min="1" max="1" width="2.42578125" style="185" customWidth="1"/>
    <col min="2" max="2" width="3.5703125" style="185" customWidth="1"/>
    <col min="3" max="3" width="9.85546875" style="185" customWidth="1"/>
    <col min="4" max="4" width="33.140625" style="185" customWidth="1"/>
    <col min="5" max="5" width="80" style="185" customWidth="1"/>
    <col min="6" max="6" width="12.5703125" style="185" customWidth="1"/>
    <col min="7" max="7" width="13.42578125" style="450" customWidth="1"/>
    <col min="8" max="8" width="11.5703125" style="185" customWidth="1"/>
    <col min="9" max="9" width="13.42578125" bestFit="1" customWidth="1"/>
    <col min="10" max="10" width="10.42578125" bestFit="1" customWidth="1"/>
    <col min="12" max="16384" width="9.140625" style="185"/>
  </cols>
  <sheetData>
    <row r="1" spans="2:13" s="50" customFormat="1" ht="15" customHeight="1">
      <c r="B1" s="49"/>
      <c r="G1" s="449"/>
      <c r="I1"/>
      <c r="J1"/>
      <c r="K1"/>
      <c r="L1"/>
    </row>
    <row r="2" spans="2:13" ht="24" customHeight="1">
      <c r="B2" s="8"/>
      <c r="C2" s="51" t="str">
        <f>IF(Indice_index!$Z$1=1,"22 - Utilização condicionada das dotações orçamentais do OT 2022","22 - Frozen allocations from the 2022 Transitional Budget")</f>
        <v>22 - Utilização condicionada das dotações orçamentais do OT 2022</v>
      </c>
      <c r="D2" s="51"/>
      <c r="E2" s="51"/>
      <c r="F2" s="51"/>
      <c r="G2" s="51"/>
      <c r="L2"/>
    </row>
    <row r="3" spans="2:13" s="187" customFormat="1" ht="30" customHeight="1">
      <c r="B3" s="184"/>
      <c r="C3" s="186"/>
      <c r="D3" s="186"/>
      <c r="G3" s="451"/>
      <c r="I3"/>
      <c r="J3"/>
      <c r="K3"/>
      <c r="L3"/>
    </row>
    <row r="4" spans="2:13" s="187" customFormat="1" ht="15" customHeight="1">
      <c r="B4" s="184"/>
      <c r="C4" s="1416" t="str">
        <f>IF(Indice_index!$Z$1=1,"Período: junho","Period: June")</f>
        <v>Período: junho</v>
      </c>
      <c r="D4" s="1417"/>
      <c r="E4" s="1418"/>
      <c r="F4" s="1419"/>
      <c r="G4" s="1419" t="str">
        <f>IF(Indice_index!$Z$1=1,"€ Milhões","€ Millions")</f>
        <v>€ Milhões</v>
      </c>
      <c r="I4"/>
      <c r="J4"/>
      <c r="K4"/>
      <c r="L4"/>
    </row>
    <row r="5" spans="2:13" s="187" customFormat="1">
      <c r="C5" s="1788" t="str">
        <f>IF(Indice_index!$Z$1=1,"Ministério","Ministry")</f>
        <v>Ministério</v>
      </c>
      <c r="D5" s="1788" t="str">
        <f>IF(Indice_index!$Z$1=1,"Programa Orçamental","Budgetary program")</f>
        <v>Programa Orçamental</v>
      </c>
      <c r="E5" s="1788" t="str">
        <f>IF(Indice_index!$Z$1=1,"Medida","Measure")</f>
        <v>Medida</v>
      </c>
      <c r="F5" s="1792">
        <v>2022</v>
      </c>
      <c r="G5" s="1792"/>
      <c r="I5"/>
      <c r="J5"/>
      <c r="K5"/>
      <c r="L5"/>
    </row>
    <row r="6" spans="2:13" s="187" customFormat="1" ht="30" customHeight="1">
      <c r="C6" s="1789"/>
      <c r="D6" s="1789"/>
      <c r="E6" s="1789"/>
      <c r="F6" s="1420" t="str">
        <f>IF(Indice_index!$Z$1=1,"Cativos iniciais","Initial frozen allocations")</f>
        <v>Cativos iniciais</v>
      </c>
      <c r="G6" s="1421" t="str">
        <f>IF(Indice_index!$Z$1=1,"Cativos atuais","Current frozen allocations")</f>
        <v>Cativos atuais</v>
      </c>
      <c r="I6"/>
      <c r="J6"/>
      <c r="K6"/>
      <c r="L6"/>
    </row>
    <row r="7" spans="2:13" s="187" customFormat="1">
      <c r="C7" s="1790"/>
      <c r="D7" s="1790"/>
      <c r="E7" s="1790"/>
      <c r="F7" s="1422" t="s">
        <v>65</v>
      </c>
      <c r="G7" s="1423" t="s">
        <v>64</v>
      </c>
      <c r="I7"/>
      <c r="J7"/>
      <c r="K7"/>
      <c r="L7"/>
    </row>
    <row r="8" spans="2:13" s="187" customFormat="1" ht="15" customHeight="1">
      <c r="C8" s="1424" t="str">
        <f>IF(Indice_index!$Z$1=1,"EGE","GCS")</f>
        <v>EGE</v>
      </c>
      <c r="D8" s="1424" t="str">
        <f>IF(Indice_index!$Z$1=1,"P001 - Órgãos de Soberania","P001 - Sovereignty Entities")</f>
        <v>P001 - Órgãos de Soberania</v>
      </c>
      <c r="E8" s="1425" t="str">
        <f>IF(Indice_index!$Z$1=1,"001 - Serv. Gerais da A.P. - Administração geral","001 - General public services - General Administration")</f>
        <v>001 - Serv. Gerais da A.P. - Administração geral</v>
      </c>
      <c r="F8" s="1426">
        <v>9.4291450000000001</v>
      </c>
      <c r="G8" s="1426">
        <v>0.51502800000000004</v>
      </c>
      <c r="H8" s="585"/>
      <c r="I8"/>
      <c r="J8"/>
      <c r="K8"/>
      <c r="L8" s="443"/>
      <c r="M8" s="443"/>
    </row>
    <row r="9" spans="2:13" s="187" customFormat="1" ht="15" customHeight="1">
      <c r="C9" s="1424"/>
      <c r="D9" s="1424"/>
      <c r="E9" s="1425" t="str">
        <f>IF(Indice_index!$Z$1=1,"012 - Segurança e ordem públicas - Sistema judiciário","012 - Public safety and order - Judicial system")</f>
        <v>012 - Segurança e ordem públicas - Sistema judiciário</v>
      </c>
      <c r="F9" s="1427">
        <v>1.926823</v>
      </c>
      <c r="G9" s="1427">
        <v>1.928714</v>
      </c>
      <c r="H9" s="585"/>
      <c r="I9"/>
      <c r="J9"/>
      <c r="K9"/>
      <c r="L9" s="443"/>
      <c r="M9" s="443"/>
    </row>
    <row r="10" spans="2:13" s="187" customFormat="1" ht="15" customHeight="1">
      <c r="C10" s="1424"/>
      <c r="D10" s="1428"/>
      <c r="E10" s="1425" t="str">
        <f>IF(Indice_index!$Z$1=1,"038 - Serviços culturais, recreativos e religiosos - Comunicação social","038 - Cultural, recreational and religious services - Media")</f>
        <v>038 - Serviços culturais, recreativos e religiosos - Comunicação social</v>
      </c>
      <c r="F10" s="1427">
        <v>0.306201</v>
      </c>
      <c r="G10" s="1427">
        <v>0</v>
      </c>
      <c r="H10" s="585"/>
      <c r="I10"/>
      <c r="J10"/>
      <c r="K10"/>
      <c r="L10" s="443"/>
      <c r="M10" s="443"/>
    </row>
    <row r="11" spans="2:13" s="187" customFormat="1" ht="15" customHeight="1">
      <c r="C11" s="1424"/>
      <c r="D11" s="1424"/>
      <c r="E11" s="1425" t="str">
        <f>IF(Indice_index!$Z$1=1,"095 - Contingência Covid 2019 - Prevenção, contenção, mitigação e tratamento","095 - Covid 2019 Contingency - Prevention, Containment, Mitigation and Treatment")</f>
        <v>095 - Contingência Covid 2019 - Prevenção, contenção, mitigação e tratamento</v>
      </c>
      <c r="F11" s="1427">
        <v>1.4388E-2</v>
      </c>
      <c r="G11" s="1427">
        <v>3.7190000000000001E-3</v>
      </c>
      <c r="H11" s="585"/>
      <c r="I11"/>
      <c r="J11"/>
      <c r="K11"/>
      <c r="L11" s="443"/>
      <c r="M11" s="443"/>
    </row>
    <row r="12" spans="2:13" s="187" customFormat="1" ht="15" customHeight="1">
      <c r="C12" s="1424"/>
      <c r="D12" s="1428"/>
      <c r="E12" s="1425" t="str">
        <f>IF(Indice_index!$Z$1=1,"096 - Contingência Covid 2019 - Garantir Normalidade","096 - Covid Contingency 2019 - Ensure Normality")</f>
        <v>096 - Contingência Covid 2019 - Garantir Normalidade</v>
      </c>
      <c r="F12" s="1427">
        <v>7.4999999999999993E-5</v>
      </c>
      <c r="G12" s="1427">
        <v>0</v>
      </c>
      <c r="H12" s="585"/>
      <c r="I12"/>
      <c r="J12"/>
      <c r="K12"/>
      <c r="L12" s="443"/>
      <c r="M12" s="443"/>
    </row>
    <row r="13" spans="2:13" s="187" customFormat="1" ht="15" customHeight="1">
      <c r="C13" s="1428"/>
      <c r="D13" s="1429"/>
      <c r="E13" s="1430" t="str">
        <f>D8</f>
        <v>P001 - Órgãos de Soberania</v>
      </c>
      <c r="F13" s="1431">
        <f>SUM(F8:F12)</f>
        <v>11.676632000000001</v>
      </c>
      <c r="G13" s="1431">
        <f>SUM(G8:G12)</f>
        <v>2.4474610000000001</v>
      </c>
      <c r="H13" s="585"/>
      <c r="I13"/>
      <c r="J13"/>
      <c r="K13"/>
      <c r="L13" s="443"/>
      <c r="M13" s="443"/>
    </row>
    <row r="14" spans="2:13" s="187" customFormat="1" ht="15" customHeight="1">
      <c r="C14" s="1424" t="str">
        <f>IF(Indice_index!$Z$1=1,"PCM","PRP")</f>
        <v>PCM</v>
      </c>
      <c r="D14" s="1424" t="str">
        <f>IF(Indice_index!$Z$1=1,"P002 - Governação","P002 - Government")</f>
        <v>P002 - Governação</v>
      </c>
      <c r="E14" s="1425" t="str">
        <f>IF(Indice_index!$Z$1=1,"001 - Serv. Gerais da A.P. - Administração geral","001 - General public services - General Administration")</f>
        <v>001 - Serv. Gerais da A.P. - Administração geral</v>
      </c>
      <c r="F14" s="1426">
        <v>11.572729000000001</v>
      </c>
      <c r="G14" s="1426">
        <v>2.739849</v>
      </c>
      <c r="H14" s="585"/>
      <c r="I14"/>
      <c r="J14"/>
      <c r="K14"/>
      <c r="L14" s="443"/>
      <c r="M14" s="443"/>
    </row>
    <row r="15" spans="2:13" s="187" customFormat="1" ht="15" customHeight="1">
      <c r="C15" s="1424"/>
      <c r="D15" s="1424"/>
      <c r="E15" s="1425" t="str">
        <f>IF(Indice_index!$Z$1=1,"011 - Segurança e ordem públicas - Forças de segurança","011 - Public safety and order - Security forces")</f>
        <v>011 - Segurança e ordem públicas - Forças de segurança</v>
      </c>
      <c r="F15" s="1427">
        <v>1.0662199999999999</v>
      </c>
      <c r="G15" s="1427">
        <v>1.0662199999999999</v>
      </c>
      <c r="H15" s="585"/>
      <c r="I15"/>
      <c r="J15"/>
      <c r="K15"/>
      <c r="L15" s="443"/>
      <c r="M15" s="443"/>
    </row>
    <row r="16" spans="2:13" s="187" customFormat="1" ht="15" customHeight="1">
      <c r="C16" s="1424"/>
      <c r="D16" s="1424"/>
      <c r="E16" s="1425" t="str">
        <f>IF(Indice_index!$Z$1=1,"014 - Segurança e ordem públicas - Protecção civil e luta contra incêndios","014 - Public safety and order - Civil Protection and  fire fighting")</f>
        <v>014 - Segurança e ordem públicas - Protecção civil e luta contra incêndios</v>
      </c>
      <c r="F16" s="1427">
        <v>1.5889470000000001</v>
      </c>
      <c r="G16" s="1427">
        <v>1.5889470000000001</v>
      </c>
      <c r="H16" s="585"/>
      <c r="I16"/>
      <c r="J16"/>
      <c r="K16"/>
      <c r="L16" s="443"/>
      <c r="M16" s="443"/>
    </row>
    <row r="17" spans="3:13" s="187" customFormat="1" ht="15" customHeight="1">
      <c r="C17" s="1424"/>
      <c r="D17" s="1424"/>
      <c r="E17" s="1425" t="str">
        <f>IF(Indice_index!$Z$1=1,"024 - Segurança e acção social - Administração e regulamentação","024 - Social Security and Action - Administration and regulations")</f>
        <v>024 - Segurança e acção social - Administração e regulamentação</v>
      </c>
      <c r="F17" s="1427">
        <v>4.5888999999999999E-2</v>
      </c>
      <c r="G17" s="1427">
        <v>4.5888999999999999E-2</v>
      </c>
      <c r="H17" s="585"/>
      <c r="I17"/>
      <c r="J17"/>
      <c r="K17"/>
      <c r="L17" s="443"/>
      <c r="M17" s="443"/>
    </row>
    <row r="18" spans="3:13" s="187" customFormat="1" ht="15" customHeight="1">
      <c r="C18" s="1424"/>
      <c r="D18" s="1424"/>
      <c r="E18" s="1425" t="str">
        <f>IF(Indice_index!$Z$1=1,"082 - Segurança e Ação Social - Violência doméstica - Prevenção e proteção à vítima","082 - Social Security and Action - domestic violence - Prevention and protection to victims")</f>
        <v>082 - Segurança e Ação Social - Violência doméstica - Prevenção e proteção à vítima</v>
      </c>
      <c r="F18" s="1427">
        <v>5.1249999999999997E-2</v>
      </c>
      <c r="G18" s="1427">
        <v>0</v>
      </c>
      <c r="H18" s="585"/>
      <c r="I18"/>
      <c r="J18"/>
      <c r="K18"/>
      <c r="L18" s="443"/>
      <c r="M18" s="443"/>
    </row>
    <row r="19" spans="3:13" s="187" customFormat="1" ht="15" customHeight="1">
      <c r="C19" s="1424"/>
      <c r="D19" s="1424"/>
      <c r="E19" s="1425" t="str">
        <f>IF(Indice_index!$Z$1=1,"095 - Contingência Covid 2019 - Prevenção, contenção, mitigação e tratamento","095 - Covid 2019 Contingency - Prevention, Containment, Mitigation and Treatment")</f>
        <v>095 - Contingência Covid 2019 - Prevenção, contenção, mitigação e tratamento</v>
      </c>
      <c r="F19" s="1427">
        <v>6.417E-3</v>
      </c>
      <c r="G19" s="1427">
        <v>6.417E-3</v>
      </c>
      <c r="H19" s="585"/>
      <c r="I19"/>
      <c r="J19"/>
      <c r="K19"/>
      <c r="L19" s="443"/>
      <c r="M19" s="443"/>
    </row>
    <row r="20" spans="3:13" s="187" customFormat="1" ht="15" customHeight="1">
      <c r="C20" s="1424"/>
      <c r="D20" s="1424"/>
      <c r="E20" s="1425" t="str">
        <f>IF(Indice_index!$Z$1=1,"096 - Contingência Covid 2019 - Garantir Normalidade","096 - Covid Contingency 2019 - Ensure Normality")</f>
        <v>096 - Contingência Covid 2019 - Garantir Normalidade</v>
      </c>
      <c r="F20" s="1427">
        <v>7.2791999999999996E-2</v>
      </c>
      <c r="G20" s="1427">
        <v>7.2791999999999996E-2</v>
      </c>
      <c r="H20" s="585"/>
      <c r="I20"/>
      <c r="J20"/>
      <c r="K20"/>
      <c r="L20" s="443"/>
      <c r="M20" s="443"/>
    </row>
    <row r="21" spans="3:13" s="187" customFormat="1" ht="15" customHeight="1">
      <c r="C21" s="1428"/>
      <c r="D21" s="1429"/>
      <c r="E21" s="1432" t="str">
        <f>C14</f>
        <v>PCM</v>
      </c>
      <c r="F21" s="1431">
        <f>SUM(F14:F20)</f>
        <v>14.404244000000002</v>
      </c>
      <c r="G21" s="1431">
        <f>SUM(G14:G20)</f>
        <v>5.5201139999999995</v>
      </c>
      <c r="H21" s="585"/>
      <c r="I21"/>
      <c r="J21"/>
      <c r="K21"/>
      <c r="L21" s="443"/>
      <c r="M21" s="443"/>
    </row>
    <row r="22" spans="3:13" s="187" customFormat="1" ht="15" customHeight="1">
      <c r="C22" s="1428" t="str">
        <f>IF(Indice_index!$Z$1=1,"MEAP","SPAM")</f>
        <v>MEAP</v>
      </c>
      <c r="D22" s="1424" t="str">
        <f>IF(Indice_index!$Z$1=1,"P002 - Governação","P002 - Government")</f>
        <v>P002 - Governação</v>
      </c>
      <c r="E22" s="1425" t="str">
        <f>IF(Indice_index!$Z$1=1,"001 - Serv. Gerais da A.P. - Administração geral","001 - General public services - General Administration")</f>
        <v>001 - Serv. Gerais da A.P. - Administração geral</v>
      </c>
      <c r="F22" s="1426">
        <v>5.1042180000000004</v>
      </c>
      <c r="G22" s="1426">
        <v>3.8369819999999999</v>
      </c>
      <c r="H22" s="585"/>
      <c r="I22"/>
      <c r="J22"/>
      <c r="K22"/>
      <c r="L22" s="443"/>
      <c r="M22" s="443"/>
    </row>
    <row r="23" spans="3:13" s="187" customFormat="1" ht="15" customHeight="1">
      <c r="C23" s="1428"/>
      <c r="D23" s="1424"/>
      <c r="E23" s="1425" t="str">
        <f>IF(Indice_index!$Z$1=1,"027 - Segurança e acção social - Acção social","027 - Social Security and Action - Social Action")</f>
        <v>027 - Segurança e acção social - Acção social</v>
      </c>
      <c r="F23" s="1427">
        <v>1.3423860000000001</v>
      </c>
      <c r="G23" s="1427">
        <v>1.3423860000000001</v>
      </c>
      <c r="H23" s="585"/>
      <c r="I23"/>
      <c r="J23"/>
      <c r="K23"/>
      <c r="L23" s="443"/>
      <c r="M23" s="443"/>
    </row>
    <row r="24" spans="3:13" s="187" customFormat="1" ht="15" customHeight="1">
      <c r="C24" s="1428"/>
      <c r="D24" s="1424"/>
      <c r="E24" s="1433" t="str">
        <f>IF(Indice_index!$Z$1=1,"028 - Habitação e serv. Colectivos - Administração e regulamentação","028 - Housing and Common services - Administration and regulations")</f>
        <v>028 - Habitação e serv. Colectivos - Administração e regulamentação</v>
      </c>
      <c r="F24" s="1427">
        <v>0.51890899999999995</v>
      </c>
      <c r="G24" s="1427">
        <v>0.51890899999999995</v>
      </c>
      <c r="H24" s="585"/>
      <c r="I24"/>
      <c r="J24"/>
      <c r="K24"/>
      <c r="L24" s="443"/>
      <c r="M24" s="443"/>
    </row>
    <row r="25" spans="3:13" s="187" customFormat="1" ht="15" customHeight="1">
      <c r="C25" s="1428"/>
      <c r="D25" s="1424"/>
      <c r="E25" s="1433" t="str">
        <f>IF(Indice_index!$Z$1=1,"031 - Habitação e serv. Colectivos - Ordenamento do território","031 - Housing and Common services - Land-use")</f>
        <v>031 - Habitação e serv. Colectivos - Ordenamento do território</v>
      </c>
      <c r="F25" s="1427">
        <v>0.24</v>
      </c>
      <c r="G25" s="1427">
        <v>0.24</v>
      </c>
      <c r="H25" s="585"/>
      <c r="I25"/>
      <c r="J25"/>
      <c r="K25"/>
      <c r="L25" s="443"/>
      <c r="M25" s="443"/>
    </row>
    <row r="26" spans="3:13" s="187" customFormat="1" ht="15" customHeight="1">
      <c r="C26" s="1428"/>
      <c r="D26" s="1424"/>
      <c r="E26" s="1433" t="str">
        <f>IF(Indice_index!$Z$1=1,"095 - Contingência Covid 2019 - Prevenção, contenção, mitigação e tratamento","095 - Covid 2019 Contingency - Prevention, Containment, Mitigation and Treatment")</f>
        <v>095 - Contingência Covid 2019 - Prevenção, contenção, mitigação e tratamento</v>
      </c>
      <c r="F26" s="1427">
        <v>7.1365999999999999E-2</v>
      </c>
      <c r="G26" s="1427">
        <v>1.4040000000000001E-3</v>
      </c>
      <c r="H26" s="585"/>
      <c r="I26"/>
      <c r="J26"/>
      <c r="K26"/>
      <c r="L26" s="443"/>
      <c r="M26" s="443"/>
    </row>
    <row r="27" spans="3:13" s="187" customFormat="1" ht="15" customHeight="1">
      <c r="C27" s="1428"/>
      <c r="D27" s="1424"/>
      <c r="E27" s="1433" t="str">
        <f>IF(Indice_index!$Z$1=1,"096 - Contingência Covid 2019 - Garantir Normalidade","096 - Covid Contingency 2019 - Ensure Normality")</f>
        <v>096 - Contingência Covid 2019 - Garantir Normalidade</v>
      </c>
      <c r="F27" s="1427">
        <v>5.5891999999999997E-2</v>
      </c>
      <c r="G27" s="1427">
        <v>1.727E-3</v>
      </c>
      <c r="H27" s="585"/>
      <c r="I27"/>
      <c r="J27"/>
      <c r="K27"/>
      <c r="L27" s="443"/>
      <c r="M27" s="443"/>
    </row>
    <row r="28" spans="3:13" s="187" customFormat="1" ht="15" customHeight="1">
      <c r="C28" s="1428"/>
      <c r="D28" s="1429"/>
      <c r="E28" s="1432" t="str">
        <f>C22</f>
        <v>MEAP</v>
      </c>
      <c r="F28" s="1431">
        <f>SUM(F22:F27)</f>
        <v>7.332771000000001</v>
      </c>
      <c r="G28" s="1431">
        <f>SUM(G22:G27)</f>
        <v>5.941408</v>
      </c>
      <c r="H28" s="585"/>
      <c r="I28"/>
      <c r="J28"/>
      <c r="K28"/>
      <c r="L28" s="443"/>
      <c r="M28" s="443"/>
    </row>
    <row r="29" spans="3:13" s="187" customFormat="1" ht="15" customHeight="1">
      <c r="C29" s="1428" t="str">
        <f>IF(Indice_index!$Z$1=1,"MP","MP")</f>
        <v>MP</v>
      </c>
      <c r="D29" s="1424" t="str">
        <f>IF(Indice_index!$Z$1=1,"P002 - Governação","P002 - Government")</f>
        <v>P002 - Governação</v>
      </c>
      <c r="E29" s="1425" t="str">
        <f>IF(Indice_index!$Z$1=1,"001 - Serv. Gerais da A.P. - Administração geral","001 - General public services - General Administration")</f>
        <v>001 - Serv. Gerais da A.P. - Administração geral</v>
      </c>
      <c r="F29" s="1427">
        <v>3.8086000000000002E-2</v>
      </c>
      <c r="G29" s="1427">
        <v>3.8086000000000002E-2</v>
      </c>
      <c r="H29" s="585"/>
      <c r="I29"/>
      <c r="J29"/>
      <c r="K29"/>
      <c r="L29" s="443"/>
      <c r="M29" s="443"/>
    </row>
    <row r="30" spans="3:13" s="187" customFormat="1" ht="15" customHeight="1">
      <c r="C30" s="1428"/>
      <c r="D30" s="1429"/>
      <c r="E30" s="1432" t="str">
        <f>C29</f>
        <v>MP</v>
      </c>
      <c r="F30" s="1431">
        <f>SUM(F29:F29)</f>
        <v>3.8086000000000002E-2</v>
      </c>
      <c r="G30" s="1431">
        <f>SUM(G29:G29)</f>
        <v>3.8086000000000002E-2</v>
      </c>
      <c r="H30" s="585"/>
      <c r="I30"/>
      <c r="J30"/>
      <c r="K30"/>
      <c r="L30" s="443"/>
      <c r="M30" s="443"/>
    </row>
    <row r="31" spans="3:13" s="187" customFormat="1" ht="15" customHeight="1">
      <c r="C31" s="1428" t="str">
        <f>IF(Indice_index!$Z$1=1,"MCT","MTC")</f>
        <v>MCT</v>
      </c>
      <c r="D31" s="1424" t="str">
        <f>IF(Indice_index!$Z$1=1,"P002 - Governação","P002 - Government")</f>
        <v>P002 - Governação</v>
      </c>
      <c r="E31" s="1425" t="str">
        <f>IF(Indice_index!$Z$1=1,"001 - Serv. Gerais da A.P. - Administração geral","001 - General public services - General Administration")</f>
        <v>001 - Serv. Gerais da A.P. - Administração geral</v>
      </c>
      <c r="F31" s="1427">
        <v>0.56905600000000001</v>
      </c>
      <c r="G31" s="1427">
        <v>0.14754100000000001</v>
      </c>
      <c r="H31" s="585"/>
      <c r="I31"/>
      <c r="J31"/>
      <c r="K31"/>
      <c r="L31" s="443"/>
      <c r="M31" s="443"/>
    </row>
    <row r="32" spans="3:13" s="187" customFormat="1" ht="15" customHeight="1">
      <c r="C32" s="1428"/>
      <c r="D32" s="1424"/>
      <c r="E32" s="1433" t="str">
        <f>IF(Indice_index!$Z$1=1,"028 - Habitação e serv. Colectivos - Administração e regulamentação","028 - Housing and Common services - Administration and regulations")</f>
        <v>028 - Habitação e serv. Colectivos - Administração e regulamentação</v>
      </c>
      <c r="F32" s="1427">
        <v>1.209579</v>
      </c>
      <c r="G32" s="1427">
        <v>0</v>
      </c>
      <c r="H32" s="585"/>
      <c r="I32"/>
      <c r="J32"/>
      <c r="K32"/>
      <c r="L32" s="443"/>
      <c r="M32" s="443"/>
    </row>
    <row r="33" spans="3:13" s="187" customFormat="1" ht="15" customHeight="1">
      <c r="C33" s="1428"/>
      <c r="D33" s="1424"/>
      <c r="E33" s="1433" t="str">
        <f>IF(Indice_index!$Z$1=1,"033 - Habitação e serv. Colectivos - Protecção do meio ambiente e conservação da natureza","033 - Housing and Common services - Protection of the Environment and conservation of nature")</f>
        <v>033 - Habitação e serv. Colectivos - Protecção do meio ambiente e conservação da natureza</v>
      </c>
      <c r="F33" s="1427">
        <v>2.1188210000000001</v>
      </c>
      <c r="G33" s="1427">
        <v>0</v>
      </c>
      <c r="H33" s="585"/>
      <c r="I33"/>
      <c r="J33"/>
      <c r="K33"/>
      <c r="L33" s="443"/>
      <c r="M33" s="443"/>
    </row>
    <row r="34" spans="3:13" s="187" customFormat="1" ht="15" customHeight="1">
      <c r="C34" s="1428"/>
      <c r="D34" s="1424"/>
      <c r="E34" s="1433" t="str">
        <f>IF(Indice_index!$Z$1=1,"095 - Contingência Covid 2019 - Prevenção, contenção, mitigação e tratamento","095 - Covid 2019 Contingency - Prevention, Containment, Mitigation and Treatment")</f>
        <v>095 - Contingência Covid 2019 - Prevenção, contenção, mitigação e tratamento</v>
      </c>
      <c r="F34" s="1427">
        <v>1.9310000000000001E-2</v>
      </c>
      <c r="G34" s="1427">
        <v>0</v>
      </c>
      <c r="H34" s="585"/>
      <c r="I34"/>
      <c r="J34"/>
      <c r="K34"/>
      <c r="L34" s="443"/>
      <c r="M34" s="443"/>
    </row>
    <row r="35" spans="3:13" s="187" customFormat="1" ht="15" customHeight="1">
      <c r="C35" s="1428"/>
      <c r="D35" s="1424"/>
      <c r="E35" s="1433" t="str">
        <f>IF(Indice_index!$Z$1=1,"096 - Contingência Covid 2019 - Garantir Normalidade","096 - Covid Contingency 2019 - Ensure Normality")</f>
        <v>096 - Contingência Covid 2019 - Garantir Normalidade</v>
      </c>
      <c r="F35" s="1427">
        <v>2.1210000000000001E-3</v>
      </c>
      <c r="G35" s="1427">
        <v>0</v>
      </c>
      <c r="H35" s="585"/>
      <c r="I35"/>
      <c r="J35"/>
      <c r="K35"/>
      <c r="L35" s="443"/>
      <c r="M35" s="443"/>
    </row>
    <row r="36" spans="3:13" s="187" customFormat="1" ht="15" customHeight="1">
      <c r="C36" s="1428"/>
      <c r="D36" s="1434"/>
      <c r="E36" s="1432" t="str">
        <f>C31</f>
        <v>MCT</v>
      </c>
      <c r="F36" s="1431">
        <f>SUM(F31:F35)</f>
        <v>3.9188869999999998</v>
      </c>
      <c r="G36" s="1431">
        <f>SUM(G31:G35)</f>
        <v>0.14754100000000001</v>
      </c>
      <c r="H36" s="585"/>
      <c r="I36"/>
      <c r="J36"/>
      <c r="K36"/>
      <c r="L36" s="443"/>
      <c r="M36" s="443"/>
    </row>
    <row r="37" spans="3:13" s="187" customFormat="1" ht="15" customHeight="1">
      <c r="C37" s="1428"/>
      <c r="D37" s="1429"/>
      <c r="E37" s="1435" t="str">
        <f>D31</f>
        <v>P002 - Governação</v>
      </c>
      <c r="F37" s="1431">
        <f>SUM(F21,F28,F30,F36)</f>
        <v>25.693988000000004</v>
      </c>
      <c r="G37" s="1431">
        <f>SUM(G21,G28,G30,G36)</f>
        <v>11.647148999999999</v>
      </c>
      <c r="H37" s="585"/>
      <c r="I37"/>
      <c r="J37"/>
      <c r="K37"/>
      <c r="L37" s="443"/>
      <c r="M37" s="443"/>
    </row>
    <row r="38" spans="3:13" s="187" customFormat="1" ht="15" customHeight="1">
      <c r="C38" s="1428" t="str">
        <f>IF(Indice_index!$Z$1=1,"METD","MEDT")</f>
        <v>METD</v>
      </c>
      <c r="D38" s="1424" t="str">
        <f>IF(Indice_index!$Z$1=1,"P003 - Economia","P003 - Economy")</f>
        <v>P003 - Economia</v>
      </c>
      <c r="E38" s="1433" t="str">
        <f>IF(Indice_index!$Z$1=1,"061 - Comércio e turismo - Comércio","061 - Trade and tourism - Trade")</f>
        <v>061 - Comércio e turismo - Comércio</v>
      </c>
      <c r="F38" s="1427">
        <v>8.9449999999999998E-3</v>
      </c>
      <c r="G38" s="1427">
        <v>8.9449999999999998E-3</v>
      </c>
      <c r="H38" s="585"/>
      <c r="I38"/>
      <c r="J38"/>
      <c r="K38"/>
      <c r="L38" s="443"/>
      <c r="M38" s="443"/>
    </row>
    <row r="39" spans="3:13" s="187" customFormat="1" ht="15" customHeight="1">
      <c r="C39" s="1428"/>
      <c r="D39" s="1424"/>
      <c r="E39" s="1433" t="str">
        <f>IF(Indice_index!$Z$1=1,"062 - Comércio e turismo - Turismo","062 - Trade and tourism - Tourism")</f>
        <v>062 - Comércio e turismo - Turismo</v>
      </c>
      <c r="F39" s="1427">
        <v>3.1411920000000002</v>
      </c>
      <c r="G39" s="1427">
        <v>2.7869250000000001</v>
      </c>
      <c r="H39" s="585"/>
      <c r="I39"/>
      <c r="J39"/>
      <c r="K39"/>
      <c r="L39" s="443"/>
      <c r="M39" s="443"/>
    </row>
    <row r="40" spans="3:13" s="187" customFormat="1" ht="15" customHeight="1">
      <c r="C40" s="1428"/>
      <c r="D40" s="1424"/>
      <c r="E40" s="1433" t="str">
        <f>IF(Indice_index!$Z$1=1,"063 - Outras funções económicas - Administração e regulamentação","063 - Outher economic functions - Administration e regulation")</f>
        <v>063 - Outras funções económicas - Administração e regulamentação</v>
      </c>
      <c r="F40" s="1427">
        <v>2.7290399999999999</v>
      </c>
      <c r="G40" s="1427">
        <v>2.9802900000000001</v>
      </c>
      <c r="H40" s="585"/>
      <c r="I40"/>
      <c r="J40"/>
      <c r="K40"/>
      <c r="L40" s="443"/>
      <c r="M40" s="443"/>
    </row>
    <row r="41" spans="3:13" s="187" customFormat="1" ht="15" customHeight="1">
      <c r="C41" s="1428"/>
      <c r="D41" s="1424"/>
      <c r="E41" s="1433" t="str">
        <f>IF(Indice_index!$Z$1=1,"065 - Outras funções económicas - Diversas não especificadas","065 - Other economic functions - Various unspecified")</f>
        <v>065 - Outras funções económicas - Diversas não especificadas</v>
      </c>
      <c r="F41" s="1427">
        <v>7.9535119999999999</v>
      </c>
      <c r="G41" s="1427">
        <v>7.960655</v>
      </c>
      <c r="H41" s="585"/>
      <c r="I41"/>
      <c r="J41"/>
      <c r="K41"/>
      <c r="L41" s="443"/>
      <c r="M41" s="443"/>
    </row>
    <row r="42" spans="3:13" s="187" customFormat="1" ht="15" customHeight="1">
      <c r="C42" s="1428"/>
      <c r="D42" s="1424"/>
      <c r="E42" s="1433" t="str">
        <f>IF(Indice_index!$Z$1=1,"068 - Outras funções - Diversas não especificadas","068 - Other functions - Various unspecified")</f>
        <v>068 - Outras funções - Diversas não especificadas</v>
      </c>
      <c r="F42" s="1427">
        <v>0.39325100000000002</v>
      </c>
      <c r="G42" s="1427">
        <v>0.39325100000000002</v>
      </c>
      <c r="H42" s="585"/>
      <c r="I42"/>
      <c r="J42"/>
      <c r="K42"/>
      <c r="L42" s="443"/>
      <c r="M42" s="443"/>
    </row>
    <row r="43" spans="3:13" s="187" customFormat="1" ht="15" customHeight="1">
      <c r="C43" s="1428"/>
      <c r="D43" s="1424"/>
      <c r="E43" s="1433" t="str">
        <f>IF(Indice_index!$Z$1=1,"082 - Segurança e Ação Social - Violência doméstica - Prevenção e proteção à vítima","082 - Social Security and Action - domestic violence - Prevention and protection to victims")</f>
        <v>082 - Segurança e Ação Social - Violência doméstica - Prevenção e proteção à vítima</v>
      </c>
      <c r="F43" s="1427">
        <v>1.2849999999999999E-3</v>
      </c>
      <c r="G43" s="1427">
        <v>0</v>
      </c>
      <c r="H43" s="585"/>
      <c r="I43"/>
      <c r="J43"/>
      <c r="K43"/>
      <c r="L43" s="443"/>
      <c r="M43" s="443"/>
    </row>
    <row r="44" spans="3:13" s="187" customFormat="1" ht="15" customHeight="1">
      <c r="C44" s="1428"/>
      <c r="D44" s="1424"/>
      <c r="E44" s="1433" t="str">
        <f>IF(Indice_index!$Z$1=1,"083 - Segurança e Ação Social - Integração da pessoa com deficiência","083 - Social Security and Action - Integration of the handicapped person")</f>
        <v>083 - Segurança e Ação Social - Integração da pessoa com deficiência</v>
      </c>
      <c r="F44" s="1427">
        <v>1.2849999999999999E-3</v>
      </c>
      <c r="G44" s="1427">
        <v>1.2849999999999999E-3</v>
      </c>
      <c r="H44" s="585"/>
      <c r="I44"/>
      <c r="J44"/>
      <c r="K44"/>
      <c r="L44" s="443"/>
      <c r="M44" s="443"/>
    </row>
    <row r="45" spans="3:13" s="187" customFormat="1" ht="15" customHeight="1">
      <c r="C45" s="1428"/>
      <c r="D45" s="1424"/>
      <c r="E45" s="1433" t="str">
        <f>IF(Indice_index!$Z$1=1,"086 - Comércio e Turismo - Imposto especial de jogo","086 - Trade and tourism - Special gambling tax")</f>
        <v>086 - Comércio e Turismo - Imposto especial de jogo</v>
      </c>
      <c r="F45" s="1427">
        <v>2.8429660000000001</v>
      </c>
      <c r="G45" s="1427">
        <v>1.441813</v>
      </c>
      <c r="H45" s="585"/>
      <c r="I45"/>
      <c r="J45"/>
      <c r="K45"/>
      <c r="L45" s="443"/>
      <c r="M45" s="443"/>
    </row>
    <row r="46" spans="3:13" s="187" customFormat="1" ht="15" customHeight="1">
      <c r="C46" s="1428"/>
      <c r="D46" s="1424"/>
      <c r="E46" s="1433" t="str">
        <f>IF(Indice_index!$Z$1=1,"095 - Contingência Covid 2019 - Prevenção, contenção, mitigação e tratamento","095 - Covid 2019 Contingency - Prevention, Containment, Mitigation and Treatment")</f>
        <v>095 - Contingência Covid 2019 - Prevenção, contenção, mitigação e tratamento</v>
      </c>
      <c r="F46" s="1427">
        <v>8.6690000000000003E-2</v>
      </c>
      <c r="G46" s="1427">
        <v>8.5856000000000002E-2</v>
      </c>
      <c r="H46" s="585"/>
      <c r="I46"/>
      <c r="J46"/>
      <c r="K46"/>
      <c r="L46" s="443"/>
      <c r="M46" s="443"/>
    </row>
    <row r="47" spans="3:13" s="187" customFormat="1" ht="15" customHeight="1">
      <c r="C47" s="1428"/>
      <c r="D47" s="1424"/>
      <c r="E47" s="1433" t="str">
        <f>IF(Indice_index!$Z$1=1,"096 - Contingência Covid 2019 - Garantir Normalidade","096 - Covid Contingency 2019 - Ensure Normality")</f>
        <v>096 - Contingência Covid 2019 - Garantir Normalidade</v>
      </c>
      <c r="F47" s="1427">
        <v>4.6462000000000003E-2</v>
      </c>
      <c r="G47" s="1427">
        <v>4.2812000000000003E-2</v>
      </c>
      <c r="H47" s="585"/>
      <c r="I47"/>
      <c r="J47"/>
      <c r="K47"/>
      <c r="L47" s="443"/>
      <c r="M47" s="443"/>
    </row>
    <row r="48" spans="3:13" s="187" customFormat="1" ht="15" customHeight="1">
      <c r="C48" s="1428"/>
      <c r="D48" s="1429"/>
      <c r="E48" s="1435" t="str">
        <f>D38</f>
        <v>P003 - Economia</v>
      </c>
      <c r="F48" s="1431">
        <f>SUM(F38:F47)</f>
        <v>17.204628</v>
      </c>
      <c r="G48" s="1431">
        <f>SUM(G38:G47)</f>
        <v>15.701831999999998</v>
      </c>
      <c r="H48" s="585"/>
      <c r="I48"/>
      <c r="J48"/>
      <c r="K48"/>
      <c r="L48" s="443"/>
      <c r="M48" s="443"/>
    </row>
    <row r="49" spans="3:13" s="187" customFormat="1" ht="15" customHeight="1">
      <c r="C49" s="1428" t="str">
        <f>IF(Indice_index!$Z$1=1,"MNE","MFA")</f>
        <v>MNE</v>
      </c>
      <c r="D49" s="1424" t="str">
        <f>IF(Indice_index!$Z$1=1,"P004 - Representação Externa","P004 - Foreign Affairs")</f>
        <v>P004 - Representação Externa</v>
      </c>
      <c r="E49" s="1425" t="str">
        <f>IF(Indice_index!$Z$1=1,"002 - Serv. Gerais da A.P. - Negócios estrangeiros","002 - General public services - Foreign affairs")</f>
        <v>002 - Serv. Gerais da A.P. - Negócios estrangeiros</v>
      </c>
      <c r="F49" s="1426">
        <v>25.112763999999999</v>
      </c>
      <c r="G49" s="1426">
        <v>22.958957999999999</v>
      </c>
      <c r="H49" s="585"/>
      <c r="I49"/>
      <c r="J49"/>
      <c r="K49"/>
      <c r="L49" s="443"/>
      <c r="M49" s="443"/>
    </row>
    <row r="50" spans="3:13" s="187" customFormat="1" ht="15" customHeight="1">
      <c r="C50" s="1428"/>
      <c r="D50" s="1424"/>
      <c r="E50" s="1425" t="str">
        <f>IF(Indice_index!$Z$1=1,"003 - Serv. Gerais da A.P. - Cooperação económica externa","003 - General public services - External economic cooperation")</f>
        <v>003 - Serv. Gerais da A.P. - Cooperação económica externa</v>
      </c>
      <c r="F50" s="1427">
        <v>3.9245000000000002E-2</v>
      </c>
      <c r="G50" s="1427">
        <v>3.9245000000000002E-2</v>
      </c>
      <c r="H50" s="585"/>
      <c r="I50"/>
      <c r="J50"/>
      <c r="K50"/>
      <c r="L50" s="443"/>
      <c r="M50" s="443"/>
    </row>
    <row r="51" spans="3:13" s="187" customFormat="1" ht="15" customHeight="1">
      <c r="C51" s="1428"/>
      <c r="D51" s="1424"/>
      <c r="E51" s="1425" t="str">
        <f>IF(Indice_index!$Z$1=1,"065 - Outras funções económicas - Diversas não especificadas","065 - Other economic functions - Various unspecified")</f>
        <v>065 - Outras funções económicas - Diversas não especificadas</v>
      </c>
      <c r="F51" s="1427">
        <v>5.4285579999999998</v>
      </c>
      <c r="G51" s="1427">
        <v>5.4285579999999998</v>
      </c>
      <c r="H51" s="585"/>
      <c r="I51"/>
      <c r="J51"/>
      <c r="K51"/>
      <c r="L51" s="443"/>
      <c r="M51" s="443"/>
    </row>
    <row r="52" spans="3:13" s="187" customFormat="1" ht="15" customHeight="1">
      <c r="C52" s="1428"/>
      <c r="D52" s="1424"/>
      <c r="E52" s="1433" t="str">
        <f>IF(Indice_index!$Z$1=1,"095 - Contingência Covid 2019 - Prevenção, contenção, mitigação e tratamento","095 - Covid 2019 Contingency - Prevention, Containment, Mitigation and Treatment")</f>
        <v>095 - Contingência Covid 2019 - Prevenção, contenção, mitigação e tratamento</v>
      </c>
      <c r="F52" s="1427">
        <v>0.71297100000000002</v>
      </c>
      <c r="G52" s="1427">
        <v>0.71297100000000002</v>
      </c>
      <c r="H52" s="585"/>
      <c r="I52"/>
      <c r="J52"/>
      <c r="K52"/>
      <c r="L52" s="443"/>
      <c r="M52" s="443"/>
    </row>
    <row r="53" spans="3:13" s="187" customFormat="1" ht="15" customHeight="1">
      <c r="C53" s="1428"/>
      <c r="D53" s="1424"/>
      <c r="E53" s="1433" t="str">
        <f>IF(Indice_index!$Z$1=1,"096 - Contingência Covid 2019 - Garantir Normalidade","096 - Covid Contingency 2019 - Ensure Normality")</f>
        <v>096 - Contingência Covid 2019 - Garantir Normalidade</v>
      </c>
      <c r="F53" s="1427">
        <v>4.3017E-2</v>
      </c>
      <c r="G53" s="1427">
        <v>4.3017E-2</v>
      </c>
      <c r="H53" s="585"/>
      <c r="I53"/>
      <c r="J53"/>
      <c r="K53"/>
      <c r="L53" s="443"/>
      <c r="M53" s="443"/>
    </row>
    <row r="54" spans="3:13" s="187" customFormat="1" ht="15" customHeight="1">
      <c r="C54" s="1428"/>
      <c r="D54" s="1429"/>
      <c r="E54" s="1435" t="str">
        <f>D49</f>
        <v>P004 - Representação Externa</v>
      </c>
      <c r="F54" s="1431">
        <f>SUM(F49:F53)</f>
        <v>31.336554999999997</v>
      </c>
      <c r="G54" s="1431">
        <f t="shared" ref="G54" si="0">SUM(G49:G53)</f>
        <v>29.182748999999998</v>
      </c>
      <c r="H54" s="585"/>
      <c r="I54"/>
      <c r="J54"/>
      <c r="K54"/>
      <c r="L54" s="443"/>
      <c r="M54" s="443"/>
    </row>
    <row r="55" spans="3:13" s="187" customFormat="1" ht="15" customHeight="1">
      <c r="C55" s="1428" t="str">
        <f>IF(Indice_index!$Z$1=1,"MF","MF")</f>
        <v>MF</v>
      </c>
      <c r="D55" s="1424" t="str">
        <f>IF(Indice_index!$Z$1=1,"P005 - Finanças","P005 - Finance and Public Administration")</f>
        <v>P005 - Finanças</v>
      </c>
      <c r="E55" s="1425" t="str">
        <f>IF(Indice_index!$Z$1=1,"001 - Serv. Gerais da A.P. - Administração geral","001 - General public services - General Administration")</f>
        <v>001 - Serv. Gerais da A.P. - Administração geral</v>
      </c>
      <c r="F55" s="1426">
        <v>49.170408000000002</v>
      </c>
      <c r="G55" s="1426">
        <v>49.767720759999996</v>
      </c>
      <c r="H55" s="585"/>
      <c r="I55"/>
      <c r="J55"/>
      <c r="K55"/>
      <c r="L55" s="443"/>
      <c r="M55" s="443"/>
    </row>
    <row r="56" spans="3:13" s="187" customFormat="1" ht="15" customHeight="1">
      <c r="C56" s="1428"/>
      <c r="D56" s="1424"/>
      <c r="E56" s="1425" t="str">
        <f>IF(Indice_index!$Z$1=1,"003 - Serv. Gerais da A.P. - Cooperação económica externa","003 - General public services - External economic cooperation")</f>
        <v>003 - Serv. Gerais da A.P. - Cooperação económica externa</v>
      </c>
      <c r="F56" s="1427">
        <v>4.3853999999999997E-2</v>
      </c>
      <c r="G56" s="1427">
        <v>4.3853999999999997E-2</v>
      </c>
      <c r="H56" s="585"/>
      <c r="I56"/>
      <c r="J56"/>
      <c r="K56"/>
      <c r="L56" s="443"/>
      <c r="M56" s="443"/>
    </row>
    <row r="57" spans="3:13" s="187" customFormat="1" ht="15" customHeight="1">
      <c r="C57" s="1428"/>
      <c r="D57" s="1424"/>
      <c r="E57" s="1425" t="str">
        <f>IF(Indice_index!$Z$1=1,"065 - Outras funções económicas - Diversas não especificadas","065 - Other economic functions - Various unspecified")</f>
        <v>065 - Outras funções económicas - Diversas não especificadas</v>
      </c>
      <c r="F57" s="1427">
        <v>49.695844999999998</v>
      </c>
      <c r="G57" s="1427">
        <v>49.969594999999998</v>
      </c>
      <c r="H57" s="585"/>
      <c r="I57"/>
      <c r="J57"/>
      <c r="K57"/>
      <c r="L57" s="443"/>
      <c r="M57" s="443"/>
    </row>
    <row r="58" spans="3:13" s="187" customFormat="1" ht="15" customHeight="1">
      <c r="C58" s="1428"/>
      <c r="D58" s="1424"/>
      <c r="E58" s="1433" t="str">
        <f>IF(Indice_index!$Z$1=1,"095 - Contingência Covid 2019 - Prevenção, contenção, mitigação e tratamento","095 - Covid 2019 Contingency - Prevention, Containment, Mitigation and Treatment")</f>
        <v>095 - Contingência Covid 2019 - Prevenção, contenção, mitigação e tratamento</v>
      </c>
      <c r="F58" s="1427">
        <v>0.289466</v>
      </c>
      <c r="G58" s="1427">
        <v>0.28550799999999998</v>
      </c>
      <c r="H58" s="585"/>
      <c r="I58"/>
      <c r="J58"/>
      <c r="K58"/>
      <c r="L58" s="443"/>
      <c r="M58" s="443"/>
    </row>
    <row r="59" spans="3:13" s="187" customFormat="1" ht="15" customHeight="1">
      <c r="C59" s="1428"/>
      <c r="D59" s="1424"/>
      <c r="E59" s="1433" t="str">
        <f>IF(Indice_index!$Z$1=1,"096 - Contingência Covid 2019 - Garantir Normalidade","096 - Covid Contingency 2019 - Ensure Normality")</f>
        <v>096 - Contingência Covid 2019 - Garantir Normalidade</v>
      </c>
      <c r="F59" s="1427">
        <v>0.233212</v>
      </c>
      <c r="G59" s="1427">
        <v>0.27696199999999999</v>
      </c>
      <c r="H59" s="585"/>
      <c r="I59"/>
      <c r="J59"/>
      <c r="K59"/>
      <c r="L59" s="443"/>
      <c r="M59" s="443"/>
    </row>
    <row r="60" spans="3:13" s="187" customFormat="1" ht="15" customHeight="1">
      <c r="C60" s="1428"/>
      <c r="D60" s="1429"/>
      <c r="E60" s="1435" t="str">
        <f>D55</f>
        <v>P005 - Finanças</v>
      </c>
      <c r="F60" s="1431">
        <f>SUM(F55:F59)</f>
        <v>99.43278500000001</v>
      </c>
      <c r="G60" s="1431">
        <f>SUM(G55:G59)</f>
        <v>100.34363975999999</v>
      </c>
      <c r="H60" s="585"/>
      <c r="I60"/>
      <c r="J60"/>
      <c r="K60"/>
      <c r="L60" s="443"/>
      <c r="M60" s="443"/>
    </row>
    <row r="61" spans="3:13" s="187" customFormat="1" ht="15" customHeight="1">
      <c r="C61" s="1428"/>
      <c r="D61" s="1436" t="str">
        <f>IF(Indice_index!$Z$1=1,"P006 - Gestão da Dívida Pública","P006 - Public Debt Management")</f>
        <v>P006 - Gestão da Dívida Pública</v>
      </c>
      <c r="E61" s="1437" t="str">
        <f>IF(Indice_index!$Z$1=1,"066 - Outras funções - Operações da dívida pública","066 - Other functions - Public debt operations")</f>
        <v>066 - Outras funções - Operações da dívida pública</v>
      </c>
      <c r="F61" s="1427">
        <v>9.8699999999999996E-2</v>
      </c>
      <c r="G61" s="1427">
        <v>9.8699999999999996E-2</v>
      </c>
      <c r="H61" s="585"/>
      <c r="I61"/>
      <c r="J61"/>
      <c r="K61"/>
      <c r="L61" s="443"/>
      <c r="M61" s="443"/>
    </row>
    <row r="62" spans="3:13" s="187" customFormat="1" ht="15" customHeight="1">
      <c r="C62" s="1428" t="str">
        <f>IF(Indice_index!$Z$1=1,"MDN","MND")</f>
        <v>MDN</v>
      </c>
      <c r="D62" s="1424" t="str">
        <f>IF(Indice_index!$Z$1=1,"P007 - Defesa","P007 - Defence")</f>
        <v>P007 - Defesa</v>
      </c>
      <c r="E62" s="1425" t="str">
        <f>IF(Indice_index!$Z$1=1,"004 - Serv. Gerais da A.P. - Investigação científica de carácter geral","004 - General public services - General scientific research")</f>
        <v>004 - Serv. Gerais da A.P. - Investigação científica de carácter geral</v>
      </c>
      <c r="F62" s="1426">
        <v>9.0999999999999998E-2</v>
      </c>
      <c r="G62" s="1426">
        <v>9.0999999999999998E-2</v>
      </c>
      <c r="H62" s="585"/>
      <c r="I62"/>
      <c r="J62"/>
      <c r="K62"/>
      <c r="L62" s="443"/>
      <c r="M62" s="443"/>
    </row>
    <row r="63" spans="3:13" s="187" customFormat="1" ht="15" customHeight="1">
      <c r="C63" s="1428"/>
      <c r="D63" s="1424"/>
      <c r="E63" s="1425" t="str">
        <f>IF(Indice_index!$Z$1=1,"005 - Defesa Nacional - Administração e regulamentação","005 - National Defence - Administration and regulations")</f>
        <v>005 - Defesa Nacional - Administração e regulamentação</v>
      </c>
      <c r="F63" s="1427">
        <v>6.3276000000000003</v>
      </c>
      <c r="G63" s="1427">
        <v>6.911238</v>
      </c>
      <c r="H63" s="585"/>
      <c r="I63"/>
      <c r="J63"/>
      <c r="K63"/>
      <c r="L63" s="443"/>
      <c r="M63" s="443"/>
    </row>
    <row r="64" spans="3:13" s="187" customFormat="1" ht="15" customHeight="1">
      <c r="C64" s="1428"/>
      <c r="D64" s="1424"/>
      <c r="E64" s="1425" t="str">
        <f>IF(Indice_index!$Z$1=1,"006 - Defesa Nacional - Investigação","006 - National Defence - Research")</f>
        <v>006 - Defesa Nacional - Investigação</v>
      </c>
      <c r="F64" s="1427">
        <v>0.12930900000000001</v>
      </c>
      <c r="G64" s="1427">
        <v>0.130385</v>
      </c>
      <c r="H64" s="585"/>
      <c r="I64"/>
      <c r="J64"/>
      <c r="K64"/>
      <c r="L64" s="443"/>
      <c r="M64" s="443"/>
    </row>
    <row r="65" spans="3:13" s="187" customFormat="1" ht="15" customHeight="1">
      <c r="C65" s="1428"/>
      <c r="D65" s="1424"/>
      <c r="E65" s="1425" t="str">
        <f>IF(Indice_index!$Z$1=1,"007 - Defesa Nacional - Forças Armadas","007 - National Defence - Armed Forces")</f>
        <v>007 - Defesa Nacional - Forças Armadas</v>
      </c>
      <c r="F65" s="1427">
        <v>55.457625</v>
      </c>
      <c r="G65" s="1427">
        <v>34.43713065</v>
      </c>
      <c r="H65" s="585"/>
      <c r="I65"/>
      <c r="J65"/>
      <c r="K65"/>
      <c r="L65" s="443"/>
      <c r="M65" s="443"/>
    </row>
    <row r="66" spans="3:13" s="187" customFormat="1" ht="15" customHeight="1">
      <c r="C66" s="1428"/>
      <c r="D66" s="1424"/>
      <c r="E66" s="1425" t="str">
        <f>IF(Indice_index!$Z$1=1,"008 - Defesa Nacional - Cooperação militar externa","008 - National Defence - Foreign military cooperation")</f>
        <v>008 - Defesa Nacional - Cooperação militar externa</v>
      </c>
      <c r="F66" s="1427">
        <v>1.2460420000000001</v>
      </c>
      <c r="G66" s="1427">
        <v>1.263949</v>
      </c>
      <c r="H66" s="585"/>
      <c r="I66"/>
      <c r="J66"/>
      <c r="K66"/>
      <c r="L66" s="443"/>
      <c r="M66" s="443"/>
    </row>
    <row r="67" spans="3:13" s="187" customFormat="1" ht="15" customHeight="1">
      <c r="C67" s="1428"/>
      <c r="D67" s="1424"/>
      <c r="E67" s="1425" t="str">
        <f>IF(Indice_index!$Z$1=1,"014 - Segurança e ordem públicas - Protecção civil e luta contra incêndios","014 - Public safety and order - Civil Protection and  fire fighting")</f>
        <v>014 - Segurança e ordem públicas - Protecção civil e luta contra incêndios</v>
      </c>
      <c r="F67" s="1427">
        <v>12.599636</v>
      </c>
      <c r="G67" s="1427">
        <v>0.113625</v>
      </c>
      <c r="H67" s="585"/>
      <c r="I67"/>
      <c r="J67"/>
      <c r="K67"/>
      <c r="L67" s="443"/>
      <c r="M67" s="443"/>
    </row>
    <row r="68" spans="3:13" s="187" customFormat="1" ht="15" customHeight="1">
      <c r="C68" s="1428"/>
      <c r="D68" s="1424"/>
      <c r="E68" s="1425" t="str">
        <f>IF(Indice_index!$Z$1=1,"017 - Educação - Estabelecimentos de ensino não superior","017 - Education - Non higher educations institutions")</f>
        <v>017 - Educação - Estabelecimentos de ensino não superior</v>
      </c>
      <c r="F68" s="1427">
        <v>0.145955</v>
      </c>
      <c r="G68" s="1427">
        <v>2.0955000000000001E-2</v>
      </c>
      <c r="H68" s="585"/>
      <c r="I68"/>
      <c r="J68"/>
      <c r="K68"/>
      <c r="L68" s="443"/>
      <c r="M68" s="443"/>
    </row>
    <row r="69" spans="3:13" s="187" customFormat="1" ht="15" customHeight="1">
      <c r="C69" s="1428"/>
      <c r="D69" s="1424"/>
      <c r="E69" s="1425" t="str">
        <f>IF(Indice_index!$Z$1=1,"018 - Educação - Estabelecimentos de ensino superior","018 - Education - Higher educations institutions")</f>
        <v>018 - Educação - Estabelecimentos de ensino superior</v>
      </c>
      <c r="F69" s="1427">
        <v>1.7583999999999999E-2</v>
      </c>
      <c r="G69" s="1427">
        <v>1.7583999999999999E-2</v>
      </c>
      <c r="H69" s="585"/>
      <c r="I69"/>
      <c r="J69"/>
      <c r="K69"/>
      <c r="L69" s="443"/>
      <c r="M69" s="443"/>
    </row>
    <row r="70" spans="3:13" s="187" customFormat="1" ht="15" customHeight="1">
      <c r="C70" s="1428"/>
      <c r="D70" s="1424"/>
      <c r="E70" s="1425" t="str">
        <f>IF(Indice_index!$Z$1=1,"022 - Saúde - Hospitais e clínicas","022 - Health - Hospitals and clinics")</f>
        <v>022 - Saúde - Hospitais e clínicas</v>
      </c>
      <c r="F70" s="1427">
        <v>0.26040200000000002</v>
      </c>
      <c r="G70" s="1427">
        <v>0.26040200000000002</v>
      </c>
      <c r="H70" s="585"/>
      <c r="I70"/>
      <c r="J70"/>
      <c r="K70"/>
      <c r="L70" s="443"/>
      <c r="M70" s="443"/>
    </row>
    <row r="71" spans="3:13" s="187" customFormat="1" ht="15" customHeight="1">
      <c r="C71" s="1428"/>
      <c r="D71" s="1424"/>
      <c r="E71" s="1433" t="str">
        <f>IF(Indice_index!$Z$1=1,"027 - Segurança e acção social - Acção social","027 - Social Security and Action - Social Action")</f>
        <v>027 - Segurança e acção social - Acção social</v>
      </c>
      <c r="F71" s="1427">
        <v>6.5390670000000002</v>
      </c>
      <c r="G71" s="1427">
        <v>5.3293E-2</v>
      </c>
      <c r="H71" s="585"/>
      <c r="I71"/>
      <c r="J71"/>
      <c r="K71"/>
      <c r="L71" s="443"/>
      <c r="M71" s="443"/>
    </row>
    <row r="72" spans="3:13" s="187" customFormat="1" ht="15" customHeight="1">
      <c r="C72" s="1428"/>
      <c r="D72" s="1424"/>
      <c r="E72" s="1425" t="str">
        <f>IF(Indice_index!$Z$1=1,"049 - Industria e energia - Indústrias transformadoras","049 - Industry and energy - Manufacturing industries")</f>
        <v>049 - Industria e energia - Indústrias transformadoras</v>
      </c>
      <c r="F72" s="1427">
        <v>15.520673</v>
      </c>
      <c r="G72" s="1427">
        <v>16.184035999999999</v>
      </c>
      <c r="H72" s="585"/>
      <c r="I72"/>
      <c r="J72"/>
      <c r="K72"/>
      <c r="L72" s="443"/>
      <c r="M72" s="443"/>
    </row>
    <row r="73" spans="3:13" s="187" customFormat="1" ht="15" customHeight="1">
      <c r="C73" s="1428"/>
      <c r="D73" s="1424"/>
      <c r="E73" s="1433" t="str">
        <f>IF(Indice_index!$Z$1=1,"095 - Contingência Covid 2019 - Prevenção, contenção, mitigação e tratamento","095 - Covid 2019 Contingency - Prevention, Containment, Mitigation and Treatment")</f>
        <v>095 - Contingência Covid 2019 - Prevenção, contenção, mitigação e tratamento</v>
      </c>
      <c r="F73" s="1427">
        <v>0.15746099999999999</v>
      </c>
      <c r="G73" s="1427">
        <v>0.15746099999999999</v>
      </c>
      <c r="H73" s="585"/>
      <c r="I73"/>
      <c r="J73"/>
      <c r="K73"/>
      <c r="L73" s="443"/>
      <c r="M73" s="443"/>
    </row>
    <row r="74" spans="3:13" s="187" customFormat="1" ht="15" customHeight="1">
      <c r="C74" s="1428"/>
      <c r="D74" s="1424"/>
      <c r="E74" s="1433" t="str">
        <f>IF(Indice_index!$Z$1=1,"096 - Contingência Covid 2019 - Garantir Normalidade","096 - Covid Contingency 2019 - Ensure Normality")</f>
        <v>096 - Contingência Covid 2019 - Garantir Normalidade</v>
      </c>
      <c r="F74" s="1427">
        <v>1.0281999999999999E-2</v>
      </c>
      <c r="G74" s="1427">
        <v>1.0281999999999999E-2</v>
      </c>
      <c r="H74" s="585"/>
      <c r="I74"/>
      <c r="J74"/>
      <c r="K74"/>
      <c r="L74" s="443"/>
      <c r="M74" s="443"/>
    </row>
    <row r="75" spans="3:13" s="187" customFormat="1" ht="15" customHeight="1">
      <c r="C75" s="1428"/>
      <c r="D75" s="1429"/>
      <c r="E75" s="1435" t="str">
        <f>D62</f>
        <v>P007 - Defesa</v>
      </c>
      <c r="F75" s="1438">
        <f>SUM(F62:F74)</f>
        <v>98.50263600000001</v>
      </c>
      <c r="G75" s="1438">
        <f>SUM(G62:G74)</f>
        <v>59.651340649999987</v>
      </c>
      <c r="H75" s="585"/>
      <c r="I75"/>
      <c r="J75"/>
      <c r="K75"/>
      <c r="L75" s="443"/>
      <c r="M75" s="443"/>
    </row>
    <row r="76" spans="3:13" s="187" customFormat="1" ht="15" customHeight="1">
      <c r="C76" s="1428" t="str">
        <f>IF(Indice_index!$Z$1=1,"MAI","MIA")</f>
        <v>MAI</v>
      </c>
      <c r="D76" s="1424" t="str">
        <f>IF(Indice_index!$Z$1=1,"P008 - Segurança Interna","P008 - Internal Security")</f>
        <v>P008 - Segurança Interna</v>
      </c>
      <c r="E76" s="1433" t="str">
        <f>IF(Indice_index!$Z$1=1,"009 - Segurança e ordem públicas - Administração e regulamentação","009 - Public safety and order - Administration and regulations")</f>
        <v>009 - Segurança e ordem públicas - Administração e regulamentação</v>
      </c>
      <c r="F76" s="1427">
        <v>6.3738349999999997</v>
      </c>
      <c r="G76" s="1427">
        <v>3.308789</v>
      </c>
      <c r="H76" s="585"/>
      <c r="I76"/>
      <c r="J76"/>
      <c r="K76"/>
      <c r="L76" s="443"/>
      <c r="M76" s="443"/>
    </row>
    <row r="77" spans="3:13" s="187" customFormat="1" ht="15" customHeight="1">
      <c r="C77" s="1428"/>
      <c r="D77" s="1424"/>
      <c r="E77" s="1439" t="str">
        <f>IF(Indice_index!$Z$1=1,"011 - Segurança e ordem públicas - Forças de segurança","011 - Public safety and order - Security forces")</f>
        <v>011 - Segurança e ordem públicas - Forças de segurança</v>
      </c>
      <c r="F77" s="1440">
        <v>26.828285999999999</v>
      </c>
      <c r="G77" s="1440">
        <v>25.016780000000001</v>
      </c>
      <c r="H77" s="585"/>
      <c r="I77"/>
      <c r="J77"/>
      <c r="K77"/>
      <c r="L77" s="443"/>
      <c r="M77" s="443"/>
    </row>
    <row r="78" spans="3:13" s="187" customFormat="1" ht="15" customHeight="1">
      <c r="C78" s="1428"/>
      <c r="D78" s="1424"/>
      <c r="E78" s="1439" t="str">
        <f>IF(Indice_index!$Z$1=1,"014 - Segurança e ordem públicas - Protecção civil e luta contra incêndios","014 - Public safety and order - Civil Protection and  fire fighting")</f>
        <v>014 - Segurança e ordem públicas - Protecção civil e luta contra incêndios</v>
      </c>
      <c r="F78" s="1440">
        <v>1.7789090000000001</v>
      </c>
      <c r="G78" s="1440">
        <v>1.7789090000000001</v>
      </c>
      <c r="H78" s="585"/>
      <c r="I78"/>
      <c r="J78"/>
      <c r="K78"/>
      <c r="L78" s="443"/>
      <c r="M78" s="443"/>
    </row>
    <row r="79" spans="3:13" s="187" customFormat="1" ht="15" customHeight="1">
      <c r="C79" s="1428"/>
      <c r="D79" s="1424"/>
      <c r="E79" s="1433" t="str">
        <f>IF(Indice_index!$Z$1=1,"017 - Educação - Estabelecimentos de ensino não superior","017 - Education - Non higher educations institutions")</f>
        <v>017 - Educação - Estabelecimentos de ensino não superior</v>
      </c>
      <c r="F79" s="1427">
        <v>1.7094400000000001</v>
      </c>
      <c r="G79" s="1427">
        <v>1.7094400000000001</v>
      </c>
      <c r="H79" s="585"/>
      <c r="I79"/>
      <c r="J79"/>
      <c r="K79"/>
      <c r="L79" s="443"/>
      <c r="M79" s="443"/>
    </row>
    <row r="80" spans="3:13" s="187" customFormat="1" ht="15" customHeight="1">
      <c r="C80" s="1428"/>
      <c r="D80" s="1424"/>
      <c r="E80" s="1433" t="str">
        <f>IF(Indice_index!$Z$1=1,"018 - Educação - Estabelecimentos de ensino superior","018 - Education - Higher educations institutions")</f>
        <v>018 - Educação - Estabelecimentos de ensino superior</v>
      </c>
      <c r="F80" s="1427">
        <v>0.91472900000000001</v>
      </c>
      <c r="G80" s="1427">
        <v>0.91472900000000001</v>
      </c>
      <c r="H80" s="585"/>
      <c r="I80"/>
      <c r="J80"/>
      <c r="K80"/>
      <c r="L80" s="443"/>
      <c r="M80" s="443"/>
    </row>
    <row r="81" spans="3:13" s="187" customFormat="1" ht="15" customHeight="1">
      <c r="C81" s="1428"/>
      <c r="D81" s="1424"/>
      <c r="E81" s="1433" t="str">
        <f>IF(Indice_index!$Z$1=1,"027 - Segurança e acção social - Acção social","027 - Social Security and Action - Social Action")</f>
        <v>027 - Segurança e acção social - Acção social</v>
      </c>
      <c r="F81" s="1427">
        <v>1.2847930000000001</v>
      </c>
      <c r="G81" s="1427">
        <v>1.2847930000000001</v>
      </c>
      <c r="H81" s="585"/>
      <c r="I81"/>
      <c r="J81"/>
      <c r="K81"/>
      <c r="L81" s="443"/>
      <c r="M81" s="443"/>
    </row>
    <row r="82" spans="3:13" s="187" customFormat="1" ht="15" customHeight="1">
      <c r="C82" s="1428"/>
      <c r="D82" s="1424"/>
      <c r="E82" s="1433" t="str">
        <f>IF(Indice_index!$Z$1=1,"082 - Segurança e Ação Social - Violência doméstica - Prevenção e proteção à vítima","082 - Social Security and Action - domestic violence - Prevention and protection to victims")</f>
        <v>082 - Segurança e Ação Social - Violência doméstica - Prevenção e proteção à vítima</v>
      </c>
      <c r="F82" s="1427">
        <v>9.1430999999999998E-2</v>
      </c>
      <c r="G82" s="1427">
        <v>9.1430999999999998E-2</v>
      </c>
      <c r="H82" s="585"/>
      <c r="I82"/>
      <c r="J82"/>
      <c r="K82"/>
      <c r="L82" s="443"/>
      <c r="M82" s="443"/>
    </row>
    <row r="83" spans="3:13" s="187" customFormat="1" ht="15" customHeight="1">
      <c r="C83" s="1428"/>
      <c r="D83" s="1424"/>
      <c r="E83" s="1441" t="str">
        <f>IF(Indice_index!$Z$1=1,"083 - Segurança e Ação Social - Integração da pessoa com deficiência","083 - Social Security and Action - Integration of the handicapped person")</f>
        <v>083 - Segurança e Ação Social - Integração da pessoa com deficiência</v>
      </c>
      <c r="F83" s="1427">
        <v>7.9199999999999995E-4</v>
      </c>
      <c r="G83" s="1427">
        <v>7.9199999999999995E-4</v>
      </c>
      <c r="H83" s="585"/>
      <c r="I83"/>
      <c r="J83"/>
      <c r="K83"/>
      <c r="L83" s="443"/>
      <c r="M83" s="443"/>
    </row>
    <row r="84" spans="3:13" s="187" customFormat="1" ht="24.75" customHeight="1">
      <c r="C84" s="1428"/>
      <c r="D84" s="1424"/>
      <c r="E84" s="1442" t="str">
        <f>IF(Indice_index!$Z$1=1,"087 - Segurança e ordem públicas - LPIEFSS - Sistemas de Tecnologia de Informação e Comunicação","087 - Public safety and order - Infrastructure and equipment planning law for security forces and services - Information and Communication Technology systems")</f>
        <v>087 - Segurança e ordem públicas - LPIEFSS - Sistemas de Tecnologia de Informação e Comunicação</v>
      </c>
      <c r="F84" s="1427">
        <v>6.272424</v>
      </c>
      <c r="G84" s="1427">
        <v>6.272424</v>
      </c>
      <c r="H84" s="585"/>
      <c r="I84"/>
      <c r="J84"/>
      <c r="K84"/>
      <c r="L84" s="443"/>
      <c r="M84" s="443"/>
    </row>
    <row r="85" spans="3:13" s="187" customFormat="1" ht="15" customHeight="1">
      <c r="C85" s="1428"/>
      <c r="D85" s="1424"/>
      <c r="E85" s="1443" t="str">
        <f>IF(Indice_index!$Z$1=1,"089 - Segurança e ordem públicas - LPIEFSS - Veículos","089 - Public safety and order - Infrastructure and equipment planning law for security forces and services - Vehicles")</f>
        <v>089 - Segurança e ordem públicas - LPIEFSS - Veículos</v>
      </c>
      <c r="F85" s="1427">
        <v>1.9375</v>
      </c>
      <c r="G85" s="1427">
        <v>1.9375</v>
      </c>
      <c r="H85" s="585"/>
      <c r="I85"/>
      <c r="J85"/>
      <c r="K85"/>
      <c r="L85" s="443"/>
      <c r="M85" s="443"/>
    </row>
    <row r="86" spans="3:13" s="187" customFormat="1" ht="15" customHeight="1">
      <c r="C86" s="1428"/>
      <c r="D86" s="1424"/>
      <c r="E86" s="1443" t="str">
        <f>IF(Indice_index!$Z$1=1,"092 - Segurança e ordem públicas - LPIEFSS - Equipamentomde Apoio Atividade Operacional","092 - Public safety and order - Infrastructure and equipment planning law for security forces and services - Support equipment to Operational Activity")</f>
        <v>092 - Segurança e ordem públicas - LPIEFSS - Equipamentomde Apoio Atividade Operacional</v>
      </c>
      <c r="F86" s="1427">
        <v>0.125</v>
      </c>
      <c r="G86" s="1427">
        <v>0.125</v>
      </c>
      <c r="H86" s="585"/>
      <c r="I86"/>
      <c r="J86"/>
      <c r="K86"/>
      <c r="L86" s="443"/>
      <c r="M86" s="443"/>
    </row>
    <row r="87" spans="3:13" s="187" customFormat="1" ht="15" customHeight="1">
      <c r="C87" s="1428"/>
      <c r="D87" s="1424"/>
      <c r="E87" s="1443" t="str">
        <f>IF(Indice_index!$Z$1=1,"093 - Segurança e ordem públicas - LPIEFSS - Equipamento para funções Especializadas","093 - Public safety and order - Infrastructure and equipment planning law for security forces and services - Specialised function equipment")</f>
        <v>093 - Segurança e ordem públicas - LPIEFSS - Equipamento para funções Especializadas</v>
      </c>
      <c r="F87" s="1427">
        <v>0.28999999999999998</v>
      </c>
      <c r="G87" s="1427">
        <v>0.28999999999999998</v>
      </c>
      <c r="H87" s="585"/>
      <c r="I87"/>
      <c r="J87"/>
      <c r="K87"/>
      <c r="L87" s="443"/>
      <c r="M87" s="443"/>
    </row>
    <row r="88" spans="3:13" s="187" customFormat="1" ht="15" customHeight="1">
      <c r="C88" s="1428"/>
      <c r="D88" s="1424"/>
      <c r="E88" s="1433" t="str">
        <f>IF(Indice_index!$Z$1=1,"095 - Contingência Covid 2019 - Prevenção, contenção, mitigação e tratamento","095 - Covid 2019 Contingency - Prevention, Containment, Mitigation and Treatment")</f>
        <v>095 - Contingência Covid 2019 - Prevenção, contenção, mitigação e tratamento</v>
      </c>
      <c r="F88" s="1427">
        <v>0.46963199999999999</v>
      </c>
      <c r="G88" s="1427">
        <v>0.47481200000000001</v>
      </c>
      <c r="H88" s="585"/>
      <c r="I88"/>
      <c r="J88"/>
      <c r="K88"/>
      <c r="L88" s="443"/>
      <c r="M88" s="443"/>
    </row>
    <row r="89" spans="3:13" s="187" customFormat="1" ht="15" customHeight="1">
      <c r="C89" s="1428"/>
      <c r="D89" s="1424"/>
      <c r="E89" s="1433" t="str">
        <f>IF(Indice_index!$Z$1=1,"096 - Contingência Covid 2019 - Garantir Normalidade","096 - Covid Contingency 2019 - Ensure Normality")</f>
        <v>096 - Contingência Covid 2019 - Garantir Normalidade</v>
      </c>
      <c r="F89" s="1427">
        <v>0.112326</v>
      </c>
      <c r="G89" s="1427">
        <v>0.112326</v>
      </c>
      <c r="H89" s="585"/>
      <c r="I89"/>
      <c r="J89"/>
      <c r="K89"/>
      <c r="L89" s="443"/>
      <c r="M89" s="443"/>
    </row>
    <row r="90" spans="3:13" s="187" customFormat="1" ht="15" customHeight="1">
      <c r="C90" s="1428"/>
      <c r="D90" s="1424"/>
      <c r="E90" s="1442" t="str">
        <f>IF(Indice_index!$Z$1=1,"100 - Iniciativas de  Ação Climática","100 - Climate Action Iniciatives")</f>
        <v>100 - Iniciativas de  Ação Climática</v>
      </c>
      <c r="F90" s="1427">
        <v>5.3436999999999998E-2</v>
      </c>
      <c r="G90" s="1427">
        <v>5.3436999999999998E-2</v>
      </c>
      <c r="H90" s="585"/>
      <c r="I90"/>
      <c r="J90"/>
      <c r="K90"/>
      <c r="L90" s="443"/>
      <c r="M90" s="443"/>
    </row>
    <row r="91" spans="3:13" s="187" customFormat="1" ht="15" customHeight="1">
      <c r="C91" s="1428"/>
      <c r="D91" s="1429"/>
      <c r="E91" s="1435" t="str">
        <f>D76</f>
        <v>P008 - Segurança Interna</v>
      </c>
      <c r="F91" s="1431">
        <f>SUM(F76:F90)</f>
        <v>48.242533999999999</v>
      </c>
      <c r="G91" s="1431">
        <f>SUM(G76:G90)</f>
        <v>43.371162000000005</v>
      </c>
      <c r="H91" s="585"/>
      <c r="I91"/>
      <c r="J91"/>
      <c r="K91"/>
      <c r="L91" s="443"/>
      <c r="M91" s="443"/>
    </row>
    <row r="92" spans="3:13" s="187" customFormat="1" ht="15" customHeight="1">
      <c r="C92" s="1428" t="str">
        <f>IF(Indice_index!$Z$1=1,"MJ","MJ")</f>
        <v>MJ</v>
      </c>
      <c r="D92" s="1424" t="str">
        <f>IF(Indice_index!$Z$1=1,"P009 - Justiça","P009 - Justice")</f>
        <v>P009 - Justiça</v>
      </c>
      <c r="E92" s="1425" t="str">
        <f>IF(Indice_index!$Z$1=1,"001 - Serv. Gerais da A.P. - Administração geral","001 - General public services - General Administration")</f>
        <v>001 - Serv. Gerais da A.P. - Administração geral</v>
      </c>
      <c r="F92" s="1426">
        <v>1.1169039999999999</v>
      </c>
      <c r="G92" s="1426">
        <v>1.1169039999999999</v>
      </c>
      <c r="H92" s="585"/>
      <c r="I92"/>
      <c r="J92"/>
      <c r="K92"/>
      <c r="L92" s="443"/>
      <c r="M92" s="443"/>
    </row>
    <row r="93" spans="3:13" s="187" customFormat="1" ht="15" customHeight="1">
      <c r="C93" s="1428"/>
      <c r="D93" s="1424"/>
      <c r="E93" s="1433" t="str">
        <f>IF(Indice_index!$Z$1=1,"009 - Segurança e ordem públicas - Administração e regulamentação","009 - Public safety and order - Administration and regulations")</f>
        <v>009 - Segurança e ordem públicas - Administração e regulamentação</v>
      </c>
      <c r="F93" s="1427">
        <v>15.957697</v>
      </c>
      <c r="G93" s="1427">
        <v>19.229396000000001</v>
      </c>
      <c r="H93" s="585"/>
      <c r="I93"/>
      <c r="J93"/>
      <c r="K93"/>
      <c r="L93" s="443"/>
      <c r="M93" s="443"/>
    </row>
    <row r="94" spans="3:13" s="187" customFormat="1" ht="15" customHeight="1">
      <c r="C94" s="1428"/>
      <c r="D94" s="1424"/>
      <c r="E94" s="1433" t="str">
        <f>IF(Indice_index!$Z$1=1,"010 - Segurança e ordem públicas - Investigação","010 - Public safety and order - Research")</f>
        <v>010 - Segurança e ordem públicas - Investigação</v>
      </c>
      <c r="F94" s="1427">
        <v>2.009306</v>
      </c>
      <c r="G94" s="1427">
        <v>2.009306</v>
      </c>
      <c r="H94" s="585"/>
      <c r="I94"/>
      <c r="J94"/>
      <c r="K94"/>
      <c r="L94" s="443"/>
      <c r="M94" s="443"/>
    </row>
    <row r="95" spans="3:13" s="187" customFormat="1" ht="15" customHeight="1">
      <c r="C95" s="1428"/>
      <c r="D95" s="1424"/>
      <c r="E95" s="1433" t="str">
        <f>IF(Indice_index!$Z$1=1,"012 - Segurança e ordem públicas - Sistema judiciário","012 - Public safety and order - Judicial system")</f>
        <v>012 - Segurança e ordem públicas - Sistema judiciário</v>
      </c>
      <c r="F95" s="1427">
        <v>12.964924999999999</v>
      </c>
      <c r="G95" s="1427">
        <v>12.968397</v>
      </c>
      <c r="H95" s="585"/>
      <c r="I95"/>
      <c r="J95"/>
      <c r="K95"/>
      <c r="L95" s="443"/>
      <c r="M95" s="443"/>
    </row>
    <row r="96" spans="3:13" s="187" customFormat="1" ht="15" customHeight="1">
      <c r="C96" s="1428"/>
      <c r="D96" s="1424"/>
      <c r="E96" s="1433" t="str">
        <f>IF(Indice_index!$Z$1=1,"013 - Segurança e ordem públicas - Sistema prisional, de reinserção social e de menores","013 - Public safety and order - Prison, social reintegration and of minors system")</f>
        <v>013 - Segurança e ordem públicas - Sistema prisional, de reinserção social e de menores</v>
      </c>
      <c r="F96" s="1427">
        <v>13.813948999999999</v>
      </c>
      <c r="G96" s="1427">
        <v>13.822875</v>
      </c>
      <c r="H96" s="585"/>
      <c r="I96"/>
      <c r="J96"/>
      <c r="K96"/>
      <c r="L96" s="443"/>
      <c r="M96" s="443"/>
    </row>
    <row r="97" spans="3:13" s="187" customFormat="1" ht="15" customHeight="1">
      <c r="C97" s="1428"/>
      <c r="D97" s="1424"/>
      <c r="E97" s="1433" t="str">
        <f>IF(Indice_index!$Z$1=1,"063 - Outras funções económicas - Administração e regulamentação","063 - Outher economic functions - Administration e regulation")</f>
        <v>063 - Outras funções económicas - Administração e regulamentação</v>
      </c>
      <c r="F97" s="1427">
        <v>1.517201</v>
      </c>
      <c r="G97" s="1427">
        <v>1.517212</v>
      </c>
      <c r="H97" s="585"/>
      <c r="I97"/>
      <c r="J97"/>
      <c r="K97"/>
      <c r="L97" s="443"/>
      <c r="M97" s="443"/>
    </row>
    <row r="98" spans="3:13" s="187" customFormat="1" ht="15" customHeight="1">
      <c r="C98" s="1428"/>
      <c r="D98" s="1424"/>
      <c r="E98" s="1433" t="str">
        <f>IF(Indice_index!$Z$1=1,"065 - Outras funções económicas - Diversas não especificadas","065 - Other economic functions - Various unspecified")</f>
        <v>065 - Outras funções económicas - Diversas não especificadas</v>
      </c>
      <c r="F98" s="1427">
        <v>0.36249999999999999</v>
      </c>
      <c r="G98" s="1427">
        <v>0.36249999999999999</v>
      </c>
      <c r="H98" s="585"/>
      <c r="I98"/>
      <c r="J98"/>
      <c r="K98"/>
      <c r="L98" s="443"/>
      <c r="M98" s="443"/>
    </row>
    <row r="99" spans="3:13" s="187" customFormat="1" ht="15" customHeight="1">
      <c r="C99" s="1428"/>
      <c r="D99" s="1424"/>
      <c r="E99" s="1433" t="str">
        <f>IF(Indice_index!$Z$1=1,"082 - Segurança e Ação Social - Violência doméstica - Prevenção e proteção à vítima","082 - Social Security and Action - domestic violence - Prevention and protection to victims")</f>
        <v>082 - Segurança e Ação Social - Violência doméstica - Prevenção e proteção à vítima</v>
      </c>
      <c r="F99" s="1427">
        <v>4.8515000000000003E-2</v>
      </c>
      <c r="G99" s="1427">
        <v>0</v>
      </c>
      <c r="H99" s="585"/>
      <c r="I99"/>
      <c r="J99"/>
      <c r="K99"/>
      <c r="L99" s="443"/>
      <c r="M99" s="443"/>
    </row>
    <row r="100" spans="3:13" s="187" customFormat="1" ht="15" customHeight="1">
      <c r="C100" s="1428"/>
      <c r="D100" s="1424"/>
      <c r="E100" s="1433" t="str">
        <f>IF(Indice_index!$Z$1=1,"095 - Contingência Covid 2019 - Prevenção, contenção, mitigação e tratamento","095 - Covid 2019 Contingency - Prevention, Containment, Mitigation and Treatment")</f>
        <v>095 - Contingência Covid 2019 - Prevenção, contenção, mitigação e tratamento</v>
      </c>
      <c r="F100" s="1427">
        <v>0.50002999999999997</v>
      </c>
      <c r="G100" s="1427">
        <v>0.50002999999999997</v>
      </c>
      <c r="H100" s="585"/>
      <c r="I100"/>
      <c r="J100"/>
      <c r="K100"/>
      <c r="L100" s="443"/>
      <c r="M100" s="443"/>
    </row>
    <row r="101" spans="3:13" s="187" customFormat="1" ht="15" customHeight="1">
      <c r="C101" s="1428"/>
      <c r="D101" s="1424"/>
      <c r="E101" s="1433" t="str">
        <f>IF(Indice_index!$Z$1=1,"096 - Contingência Covid 2019 - Garantir Normalidade","096 - Covid Contingency 2019 - Ensure Normality")</f>
        <v>096 - Contingência Covid 2019 - Garantir Normalidade</v>
      </c>
      <c r="F101" s="1427">
        <v>0.244534</v>
      </c>
      <c r="G101" s="1427">
        <v>0.245278</v>
      </c>
      <c r="H101" s="585"/>
      <c r="I101"/>
      <c r="J101"/>
      <c r="K101"/>
      <c r="L101" s="443"/>
      <c r="M101" s="443"/>
    </row>
    <row r="102" spans="3:13" s="187" customFormat="1" ht="15" customHeight="1">
      <c r="C102" s="1428"/>
      <c r="D102" s="1429"/>
      <c r="E102" s="1435" t="str">
        <f>D92</f>
        <v>P009 - Justiça</v>
      </c>
      <c r="F102" s="1438">
        <f>SUM(F92:F101)</f>
        <v>48.535561000000001</v>
      </c>
      <c r="G102" s="1438">
        <f>SUM(G92:G101)</f>
        <v>51.771898</v>
      </c>
      <c r="H102" s="585"/>
      <c r="I102"/>
      <c r="J102"/>
      <c r="K102"/>
      <c r="L102" s="443"/>
      <c r="M102" s="443"/>
    </row>
    <row r="103" spans="3:13" s="187" customFormat="1" ht="15" customHeight="1">
      <c r="C103" s="1428" t="str">
        <f>IF(Indice_index!$Z$1=1,"MC","MC")</f>
        <v>MC</v>
      </c>
      <c r="D103" s="1424" t="str">
        <f>IF(Indice_index!$Z$1=1,"P012 - Cultura","P012 - Culture")</f>
        <v>P012 - Cultura</v>
      </c>
      <c r="E103" s="1433" t="str">
        <f>IF(Indice_index!$Z$1=1,"036 - Serviços culturais, recreativos e religiosos - Cultura","036 - Cultural, recreational and religious services - Culture")</f>
        <v>036 - Serviços culturais, recreativos e religiosos - Cultura</v>
      </c>
      <c r="F103" s="1427">
        <v>27.048166999999999</v>
      </c>
      <c r="G103" s="1427">
        <v>25.235215</v>
      </c>
      <c r="H103" s="585"/>
      <c r="I103"/>
      <c r="J103"/>
      <c r="K103"/>
      <c r="L103" s="443"/>
      <c r="M103" s="443"/>
    </row>
    <row r="104" spans="3:13" s="187" customFormat="1" ht="15" customHeight="1">
      <c r="C104" s="1428"/>
      <c r="D104" s="1424"/>
      <c r="E104" s="1425" t="str">
        <f>IF(Indice_index!$Z$1=1,"038 - Serviços culturais, recreativos e religiosos - Comunicação social","038 - Cultural, recreational and religious services - Media")</f>
        <v>038 - Serviços culturais, recreativos e religiosos - Comunicação social</v>
      </c>
      <c r="F104" s="1427">
        <v>20.700402</v>
      </c>
      <c r="G104" s="1427">
        <v>0</v>
      </c>
      <c r="H104" s="585"/>
      <c r="I104"/>
      <c r="J104"/>
      <c r="K104"/>
      <c r="L104" s="443"/>
      <c r="M104" s="443"/>
    </row>
    <row r="105" spans="3:13" s="187" customFormat="1" ht="15" customHeight="1">
      <c r="C105" s="1428"/>
      <c r="D105" s="1424"/>
      <c r="E105" s="1433" t="str">
        <f>IF(Indice_index!$Z$1=1,"095 - Contingência Covid 2019 - Prevenção, contenção, mitigação e tratamento","095 - Covid 2019 Contingency - Prevention, Containment, Mitigation and Treatment")</f>
        <v>095 - Contingência Covid 2019 - Prevenção, contenção, mitigação e tratamento</v>
      </c>
      <c r="F105" s="1427">
        <v>0.789439</v>
      </c>
      <c r="G105" s="1427">
        <v>0.789439</v>
      </c>
      <c r="H105" s="585"/>
      <c r="I105"/>
      <c r="J105"/>
      <c r="K105"/>
      <c r="L105" s="443"/>
      <c r="M105" s="443"/>
    </row>
    <row r="106" spans="3:13" s="187" customFormat="1" ht="15" customHeight="1">
      <c r="C106" s="1428"/>
      <c r="D106" s="1424"/>
      <c r="E106" s="1433" t="str">
        <f>IF(Indice_index!$Z$1=1,"096 - Contingência Covid 2019 - Garantir Normalidade","096 - Covid Contingency 2019 - Ensure Normality")</f>
        <v>096 - Contingência Covid 2019 - Garantir Normalidade</v>
      </c>
      <c r="F106" s="1427">
        <v>7.9231999999999997E-2</v>
      </c>
      <c r="G106" s="1427">
        <v>3.1531999999999998E-2</v>
      </c>
      <c r="H106" s="585"/>
      <c r="I106"/>
      <c r="J106"/>
      <c r="K106"/>
      <c r="L106" s="443"/>
      <c r="M106" s="443"/>
    </row>
    <row r="107" spans="3:13" s="187" customFormat="1" ht="15" customHeight="1">
      <c r="C107" s="1428"/>
      <c r="D107" s="1444"/>
      <c r="E107" s="1424" t="str">
        <f>D103</f>
        <v>P012 - Cultura</v>
      </c>
      <c r="F107" s="1445">
        <f>SUM(F103:F106)</f>
        <v>48.617240000000002</v>
      </c>
      <c r="G107" s="1445">
        <f>SUM(G103:G106)</f>
        <v>26.056186</v>
      </c>
      <c r="H107" s="585"/>
      <c r="I107"/>
      <c r="J107"/>
      <c r="K107"/>
      <c r="L107" s="443"/>
      <c r="M107" s="443"/>
    </row>
    <row r="108" spans="3:13" s="187" customFormat="1" ht="15" customHeight="1">
      <c r="C108" s="1428"/>
      <c r="D108" s="1435"/>
      <c r="E108" s="1425" t="str">
        <f>IF(Indice_index!$Z$1=1,"P012 - Cultura, excluindo RTP","P012 - Culture, excluding RTP, the Portuguese public broadcaster")</f>
        <v>P012 - Cultura, excluindo RTP</v>
      </c>
      <c r="F108" s="1431">
        <v>27.869138000000003</v>
      </c>
      <c r="G108" s="1431">
        <f>G107</f>
        <v>26.056186</v>
      </c>
      <c r="H108" s="585"/>
      <c r="I108"/>
      <c r="J108"/>
      <c r="K108"/>
      <c r="L108" s="443"/>
      <c r="M108" s="443"/>
    </row>
    <row r="109" spans="3:13" s="187" customFormat="1" ht="15" customHeight="1">
      <c r="C109" s="1428" t="str">
        <f>IF(Indice_index!$Z$1=1,"MCTES","MSHE")</f>
        <v>MCTES</v>
      </c>
      <c r="D109" s="1446" t="str">
        <f>IF(Indice_index!$Z$1=1,"P013 - Ciência, Tecnologia e Ens. Superior","P013 - Science and Higher Education")</f>
        <v>P013 - Ciência, Tecnologia e Ens. Superior</v>
      </c>
      <c r="E109" s="1425" t="str">
        <f>IF(Indice_index!$Z$1=1,"001 - Serv. Gerais da A.P. - Administração geral","001 - General public services - General Administration")</f>
        <v>001 - Serv. Gerais da A.P. - Administração geral</v>
      </c>
      <c r="F109" s="1426">
        <v>0.49701000000000001</v>
      </c>
      <c r="G109" s="1426">
        <v>0.49701000000000001</v>
      </c>
      <c r="H109" s="585"/>
      <c r="I109"/>
      <c r="J109"/>
      <c r="K109"/>
      <c r="L109" s="443"/>
      <c r="M109" s="443"/>
    </row>
    <row r="110" spans="3:13" s="187" customFormat="1" ht="15" customHeight="1">
      <c r="C110" s="1428"/>
      <c r="D110" s="1447"/>
      <c r="E110" s="1433" t="str">
        <f>IF(Indice_index!$Z$1=1,"004 - Serv. Gerais da A.P. - Investigação científica de carácter geral","004 - General public services - General scientific research")</f>
        <v>004 - Serv. Gerais da A.P. - Investigação científica de carácter geral</v>
      </c>
      <c r="F110" s="1427">
        <v>9.9788000000000002E-2</v>
      </c>
      <c r="G110" s="1427">
        <v>0.106949</v>
      </c>
      <c r="H110" s="585"/>
      <c r="I110"/>
      <c r="J110"/>
      <c r="K110"/>
      <c r="L110" s="443"/>
      <c r="M110" s="443"/>
    </row>
    <row r="111" spans="3:13" s="187" customFormat="1" ht="15" customHeight="1">
      <c r="C111" s="1428"/>
      <c r="D111" s="1424"/>
      <c r="E111" s="1433" t="str">
        <f>IF(Indice_index!$Z$1=1,"015 - Educação - Administração e regulamentação","015 - Education - Administration and regulations")</f>
        <v>015 - Educação - Administração e regulamentação</v>
      </c>
      <c r="F111" s="1427">
        <v>0.311975</v>
      </c>
      <c r="G111" s="1427">
        <v>0.25669724999999999</v>
      </c>
      <c r="H111" s="585"/>
      <c r="I111"/>
      <c r="J111"/>
      <c r="K111"/>
      <c r="L111" s="443"/>
      <c r="M111" s="443"/>
    </row>
    <row r="112" spans="3:13" s="187" customFormat="1" ht="15" customHeight="1">
      <c r="C112" s="1428"/>
      <c r="D112" s="1424"/>
      <c r="E112" s="1433" t="str">
        <f>IF(Indice_index!$Z$1=1,"016 - Educação – Investigação","016 - Education - Research")</f>
        <v>016 - Educação – Investigação</v>
      </c>
      <c r="F112" s="1427">
        <v>4.7953999999999997E-2</v>
      </c>
      <c r="G112" s="1427">
        <v>4.7953999999999997E-2</v>
      </c>
      <c r="H112" s="585"/>
      <c r="I112"/>
      <c r="J112"/>
      <c r="K112"/>
      <c r="L112" s="443"/>
      <c r="M112" s="443"/>
    </row>
    <row r="113" spans="3:13" s="187" customFormat="1" ht="15" customHeight="1">
      <c r="C113" s="1428"/>
      <c r="D113" s="1424"/>
      <c r="E113" s="1433" t="str">
        <f>IF(Indice_index!$Z$1=1,"018 - Educação - Estabelecimentos de ensino superior","018 - Education - Higher educations institutions")</f>
        <v>018 - Educação - Estabelecimentos de ensino superior</v>
      </c>
      <c r="F113" s="1427">
        <v>9.5940000000000001E-3</v>
      </c>
      <c r="G113" s="1427">
        <v>0</v>
      </c>
      <c r="H113" s="585"/>
      <c r="I113"/>
      <c r="J113"/>
      <c r="K113"/>
      <c r="L113" s="443"/>
      <c r="M113" s="443"/>
    </row>
    <row r="114" spans="3:13" s="187" customFormat="1" ht="15" customHeight="1">
      <c r="C114" s="1428"/>
      <c r="D114" s="1424"/>
      <c r="E114" s="1433" t="str">
        <f>IF(Indice_index!$Z$1=1,"019 - Educação - Serviços auxiliares de ensino","019 - Education - Educational ancillary services")</f>
        <v>019 - Educação - Serviços auxiliares de ensino</v>
      </c>
      <c r="F114" s="1427">
        <v>8.3030999999999994E-2</v>
      </c>
      <c r="G114" s="1427">
        <v>0</v>
      </c>
      <c r="H114" s="585"/>
      <c r="I114"/>
      <c r="J114"/>
      <c r="K114"/>
      <c r="L114" s="443"/>
      <c r="M114" s="443"/>
    </row>
    <row r="115" spans="3:13" s="187" customFormat="1" ht="15" customHeight="1">
      <c r="C115" s="1428"/>
      <c r="D115" s="1424"/>
      <c r="E115" s="1433" t="str">
        <f>IF(Indice_index!$Z$1=1,"095 - Contingência Covid 2019 - Prevenção, contenção, mitigação e tratamento","095 - Covid 2019 Contingency - Prevention, Containment, Mitigation and Treatment")</f>
        <v>095 - Contingência Covid 2019 - Prevenção, contenção, mitigação e tratamento</v>
      </c>
      <c r="F115" s="1427">
        <v>5.1180000000000003E-2</v>
      </c>
      <c r="G115" s="1427">
        <v>0.05</v>
      </c>
      <c r="H115" s="585"/>
      <c r="I115"/>
      <c r="J115"/>
      <c r="K115"/>
      <c r="L115" s="443"/>
      <c r="M115" s="443"/>
    </row>
    <row r="116" spans="3:13" s="187" customFormat="1" ht="15" customHeight="1">
      <c r="C116" s="1428"/>
      <c r="D116" s="1424"/>
      <c r="E116" s="1433" t="str">
        <f>IF(Indice_index!$Z$1=1,"096 - Contingência Covid 2019 - Garantir Normalidade","096 - Covid Contingency 2019 - Ensure Normality")</f>
        <v>096 - Contingência Covid 2019 - Garantir Normalidade</v>
      </c>
      <c r="F116" s="1427">
        <v>2.6849999999999999E-3</v>
      </c>
      <c r="G116" s="1427">
        <v>2.6849999999999999E-3</v>
      </c>
      <c r="H116" s="585"/>
      <c r="I116"/>
      <c r="J116"/>
      <c r="K116"/>
      <c r="L116" s="443"/>
      <c r="M116" s="443"/>
    </row>
    <row r="117" spans="3:13" s="187" customFormat="1" ht="15" customHeight="1">
      <c r="C117" s="1428"/>
      <c r="D117" s="1444"/>
      <c r="E117" s="1424" t="str">
        <f>D109</f>
        <v>P013 - Ciência, Tecnologia e Ens. Superior</v>
      </c>
      <c r="F117" s="1448">
        <f>SUM(F109:F116)</f>
        <v>1.1032170000000001</v>
      </c>
      <c r="G117" s="1448">
        <f t="shared" ref="G117" si="1">SUM(G109:G116)</f>
        <v>0.96129525000000005</v>
      </c>
      <c r="H117" s="585"/>
      <c r="I117"/>
      <c r="J117"/>
      <c r="K117"/>
      <c r="L117" s="443"/>
      <c r="M117" s="443"/>
    </row>
    <row r="118" spans="3:13" s="187" customFormat="1" ht="15" customHeight="1">
      <c r="C118" s="1428"/>
      <c r="D118" s="1435"/>
      <c r="E118" s="1425" t="str">
        <f>IF(Indice_index!$Z$1=1,"Instituições de Ensino Superior","Higher Education Institutions")</f>
        <v>Instituições de Ensino Superior</v>
      </c>
      <c r="F118" s="1431">
        <v>0</v>
      </c>
      <c r="G118" s="1431">
        <v>0</v>
      </c>
      <c r="H118" s="585"/>
      <c r="I118"/>
      <c r="J118"/>
      <c r="K118"/>
      <c r="L118" s="443"/>
      <c r="M118" s="443"/>
    </row>
    <row r="119" spans="3:13" s="187" customFormat="1" ht="15" customHeight="1">
      <c r="C119" s="1428" t="str">
        <f>IF(Indice_index!$Z$1=1,"MEd","MEd")</f>
        <v>MEd</v>
      </c>
      <c r="D119" s="1446" t="str">
        <f>IF(Indice_index!$Z$1=1,"P014 - Ensino Básico e Secundário e Adm. Escolar","P014 - Basic and Secondary Education and School Administration")</f>
        <v>P014 - Ensino Básico e Secundário e Adm. Escolar</v>
      </c>
      <c r="E119" s="1425" t="str">
        <f>IF(Indice_index!$Z$1=1,"003 - Serv. Gerais da A.P. - Cooperação económica externa","003 - General public services - External economic cooperation")</f>
        <v>003 - Serv. Gerais da A.P. - Cooperação económica externa</v>
      </c>
      <c r="F119" s="1426">
        <v>0.62456800000000001</v>
      </c>
      <c r="G119" s="1426">
        <v>0.62456800000000001</v>
      </c>
      <c r="H119" s="585"/>
      <c r="I119"/>
      <c r="J119"/>
      <c r="K119"/>
      <c r="L119" s="443"/>
      <c r="M119" s="443"/>
    </row>
    <row r="120" spans="3:13" s="187" customFormat="1" ht="15" customHeight="1">
      <c r="C120" s="1428"/>
      <c r="D120" s="1447"/>
      <c r="E120" s="1433" t="str">
        <f>IF(Indice_index!$Z$1=1,"015 - Educação - Administração e regulamentação","015 - Education - Administration and regulations")</f>
        <v>015 - Educação - Administração e regulamentação</v>
      </c>
      <c r="F120" s="1427">
        <v>12.099042000000001</v>
      </c>
      <c r="G120" s="1427">
        <v>11.0696739</v>
      </c>
      <c r="H120" s="585"/>
      <c r="I120"/>
      <c r="J120"/>
      <c r="K120"/>
      <c r="L120" s="443"/>
      <c r="M120" s="443"/>
    </row>
    <row r="121" spans="3:13" s="187" customFormat="1" ht="15" customHeight="1">
      <c r="C121" s="1428"/>
      <c r="D121" s="1424"/>
      <c r="E121" s="1433" t="str">
        <f>IF(Indice_index!$Z$1=1,"017 - Educação - Estabelecimentos de ensino não superior","017 - Education - Non higher educations institutions")</f>
        <v>017 - Educação - Estabelecimentos de ensino não superior</v>
      </c>
      <c r="F121" s="1427">
        <v>9.8319600000000005</v>
      </c>
      <c r="G121" s="1427">
        <v>9.8565640000000005</v>
      </c>
      <c r="H121" s="585"/>
      <c r="I121"/>
      <c r="J121"/>
      <c r="K121"/>
      <c r="L121" s="443"/>
      <c r="M121" s="443"/>
    </row>
    <row r="122" spans="3:13" s="187" customFormat="1" ht="15" customHeight="1">
      <c r="C122" s="1428"/>
      <c r="D122" s="1424"/>
      <c r="E122" s="1433" t="str">
        <f>IF(Indice_index!$Z$1=1,"019 - Educação - Serviços auxiliares de ensino","019 - Education - Educational ancillary services")</f>
        <v>019 - Educação - Serviços auxiliares de ensino</v>
      </c>
      <c r="F122" s="1427">
        <v>5.8192950000000003</v>
      </c>
      <c r="G122" s="1427">
        <v>5.8192950000000003</v>
      </c>
      <c r="H122" s="585"/>
      <c r="I122"/>
      <c r="J122"/>
      <c r="K122"/>
      <c r="L122" s="443"/>
      <c r="M122" s="443"/>
    </row>
    <row r="123" spans="3:13" s="187" customFormat="1" ht="15" customHeight="1">
      <c r="C123" s="1428"/>
      <c r="D123" s="1424"/>
      <c r="E123" s="1433" t="str">
        <f>IF(Indice_index!$Z$1=1,"037 - Serviços culturais, recreativos e religiosos - Desporto, recreio e lazer","037 - Cultural, recreational and religious services - Sports, recreation and leisure")</f>
        <v>037 - Serviços culturais, recreativos e religiosos - Desporto, recreio e lazer</v>
      </c>
      <c r="F123" s="1427">
        <v>0.76096299999999995</v>
      </c>
      <c r="G123" s="1427">
        <v>0.72161259999999994</v>
      </c>
      <c r="H123" s="585"/>
      <c r="I123"/>
      <c r="J123"/>
      <c r="K123"/>
      <c r="L123" s="443"/>
      <c r="M123" s="443"/>
    </row>
    <row r="124" spans="3:13" s="187" customFormat="1" ht="15" customHeight="1">
      <c r="C124" s="1428"/>
      <c r="D124" s="1424"/>
      <c r="E124" s="1433" t="str">
        <f>IF(Indice_index!$Z$1=1,"095 - Contingência Covid 2019 - Prevenção, contenção, mitigação e tratamento","095 - Covid 2019 Contingency - Prevention, Containment, Mitigation and Treatment")</f>
        <v>095 - Contingência Covid 2019 - Prevenção, contenção, mitigação e tratamento</v>
      </c>
      <c r="F124" s="1427">
        <v>6.2259000000000002E-2</v>
      </c>
      <c r="G124" s="1427">
        <v>6.1509000000000001E-2</v>
      </c>
      <c r="H124" s="585"/>
      <c r="I124"/>
      <c r="J124"/>
      <c r="K124"/>
      <c r="L124" s="443"/>
      <c r="M124" s="443"/>
    </row>
    <row r="125" spans="3:13" s="187" customFormat="1" ht="15" customHeight="1">
      <c r="C125" s="1428"/>
      <c r="D125" s="1424"/>
      <c r="E125" s="1433" t="str">
        <f>IF(Indice_index!$Z$1=1,"096 - Contingência Covid 2019 - Garantir Normalidade","096 - Covid Contingency 2019 - Ensure Normality")</f>
        <v>096 - Contingência Covid 2019 - Garantir Normalidade</v>
      </c>
      <c r="F125" s="1427">
        <v>8.5679999999999992E-3</v>
      </c>
      <c r="G125" s="1427">
        <v>7.8180000000000003E-3</v>
      </c>
      <c r="H125" s="585"/>
      <c r="I125"/>
      <c r="J125"/>
      <c r="K125"/>
      <c r="L125" s="443"/>
      <c r="M125" s="443"/>
    </row>
    <row r="126" spans="3:13" s="187" customFormat="1" ht="15" customHeight="1">
      <c r="C126" s="1428"/>
      <c r="D126" s="1444"/>
      <c r="E126" s="1424" t="str">
        <f>D119</f>
        <v>P014 - Ensino Básico e Secundário e Adm. Escolar</v>
      </c>
      <c r="F126" s="1445">
        <f>SUM(F119:F125)</f>
        <v>29.206655000000005</v>
      </c>
      <c r="G126" s="1445">
        <f>SUM(G119:G125)</f>
        <v>28.161040500000002</v>
      </c>
      <c r="H126" s="585"/>
      <c r="I126"/>
      <c r="J126"/>
      <c r="K126"/>
      <c r="L126" s="443"/>
      <c r="M126" s="443"/>
    </row>
    <row r="127" spans="3:13" s="187" customFormat="1" ht="15" customHeight="1">
      <c r="C127" s="1428"/>
      <c r="D127" s="1435"/>
      <c r="E127" s="1425" t="str">
        <f>IF(Indice_index!$Z$1=1,"Estabelecimentos de Educação e Ensino Básico e Secundário","Education establishments and primary and secondary education")</f>
        <v>Estabelecimentos de Educação e Ensino Básico e Secundário</v>
      </c>
      <c r="F127" s="1431">
        <v>0</v>
      </c>
      <c r="G127" s="1431">
        <v>0</v>
      </c>
      <c r="H127" s="585"/>
      <c r="I127"/>
      <c r="J127"/>
      <c r="K127"/>
      <c r="L127" s="443"/>
      <c r="M127" s="443"/>
    </row>
    <row r="128" spans="3:13" s="187" customFormat="1" ht="15" customHeight="1">
      <c r="C128" s="1428" t="str">
        <f>IF(Indice_index!$Z$1=1,"MTSSS","MLSSF")</f>
        <v>MTSSS</v>
      </c>
      <c r="D128" s="1446" t="str">
        <f>IF(Indice_index!$Z$1=1,"P015 - Trabalho, Solidariedade e Seg. Social","P015 - Work, Solidarity and Social Security")</f>
        <v>P015 - Trabalho, Solidariedade e Seg. Social</v>
      </c>
      <c r="E128" s="1425" t="str">
        <f>IF(Indice_index!$Z$1=1,"001 - Serv. Gerais da A.P. - Administração geral","001 - General public services - General Administration")</f>
        <v>001 - Serv. Gerais da A.P. - Administração geral</v>
      </c>
      <c r="F128" s="1426">
        <v>5.3149000000000002E-2</v>
      </c>
      <c r="G128" s="1426">
        <v>5.3149000000000002E-2</v>
      </c>
      <c r="H128" s="585"/>
      <c r="I128"/>
      <c r="J128"/>
      <c r="K128"/>
      <c r="L128" s="443"/>
      <c r="M128" s="443"/>
    </row>
    <row r="129" spans="3:13" s="187" customFormat="1" ht="15" customHeight="1">
      <c r="C129" s="1428"/>
      <c r="D129" s="1447"/>
      <c r="E129" s="1433" t="str">
        <f>IF(Indice_index!$Z$1=1,"003 - Serv. Gerais da A.P. - Cooperação económica externa","003 - General public services - External economic cooperation")</f>
        <v>003 - Serv. Gerais da A.P. - Cooperação económica externa</v>
      </c>
      <c r="F129" s="1427">
        <v>0.33606799999999998</v>
      </c>
      <c r="G129" s="1427">
        <v>0.33606799999999998</v>
      </c>
      <c r="H129" s="585"/>
      <c r="I129"/>
      <c r="J129"/>
      <c r="K129"/>
      <c r="L129" s="443"/>
      <c r="M129" s="443"/>
    </row>
    <row r="130" spans="3:13" s="187" customFormat="1" ht="15" customHeight="1">
      <c r="C130" s="1428"/>
      <c r="D130" s="1424"/>
      <c r="E130" s="1433" t="str">
        <f>IF(Indice_index!$Z$1=1,"024 - Segurança e acção social - Administração e regulamentação","024 - Social Security and Action - Administration and regulations")</f>
        <v>024 - Segurança e acção social - Administração e regulamentação</v>
      </c>
      <c r="F130" s="1427">
        <v>0.59371700000000005</v>
      </c>
      <c r="G130" s="1427">
        <v>0.64139999999999997</v>
      </c>
      <c r="H130" s="585"/>
      <c r="I130"/>
      <c r="J130"/>
      <c r="K130"/>
      <c r="L130" s="443"/>
      <c r="M130" s="443"/>
    </row>
    <row r="131" spans="3:13" s="187" customFormat="1" ht="15" customHeight="1">
      <c r="C131" s="1428"/>
      <c r="D131" s="1424"/>
      <c r="E131" s="1433" t="str">
        <f>IF(Indice_index!$Z$1=1,"026 - Segurança e acção social - Segurança social","026 - Social Security and Action - Social Security")</f>
        <v>026 - Segurança e acção social - Segurança social</v>
      </c>
      <c r="F131" s="1427">
        <v>9.3975220000000004</v>
      </c>
      <c r="G131" s="1427">
        <v>9.3975220000000004</v>
      </c>
      <c r="H131" s="585"/>
      <c r="I131"/>
      <c r="J131"/>
      <c r="K131"/>
      <c r="L131" s="443"/>
      <c r="M131" s="443"/>
    </row>
    <row r="132" spans="3:13" s="187" customFormat="1" ht="15" customHeight="1">
      <c r="C132" s="1428"/>
      <c r="D132" s="1424"/>
      <c r="E132" s="1433" t="str">
        <f>IF(Indice_index!$Z$1=1,"027 - Segurança e acção social - Acção social","027 - Social Security and Action - Social Action")</f>
        <v>027 - Segurança e acção social - Acção social</v>
      </c>
      <c r="F132" s="1427">
        <v>16.982510999999999</v>
      </c>
      <c r="G132" s="1427">
        <v>16.984393000000001</v>
      </c>
      <c r="H132" s="585"/>
      <c r="I132"/>
      <c r="J132"/>
      <c r="K132"/>
      <c r="L132" s="443"/>
      <c r="M132" s="443"/>
    </row>
    <row r="133" spans="3:13" s="187" customFormat="1" ht="15" customHeight="1">
      <c r="C133" s="1428"/>
      <c r="D133" s="1424"/>
      <c r="E133" s="1433" t="str">
        <f>IF(Indice_index!$Z$1=1,"064 - Outras funções económicas - Relações gerais do trabalho","064 - Other economic functions - General labor relations")</f>
        <v>064 - Outras funções económicas - Relações gerais do trabalho</v>
      </c>
      <c r="F133" s="1427">
        <v>14.359382</v>
      </c>
      <c r="G133" s="1427">
        <v>14.546896500000001</v>
      </c>
      <c r="H133" s="585"/>
      <c r="I133"/>
      <c r="J133"/>
      <c r="K133"/>
      <c r="L133" s="443"/>
      <c r="M133" s="443"/>
    </row>
    <row r="134" spans="3:13" s="187" customFormat="1" ht="15" customHeight="1">
      <c r="C134" s="1428"/>
      <c r="D134" s="1424"/>
      <c r="E134" s="1433" t="str">
        <f>IF(Indice_index!$Z$1=1,"065 - Outras funções económicas - Diversas não especificadas","065 - Other economic functions - Various unspecified")</f>
        <v>065 - Outras funções económicas - Diversas não especificadas</v>
      </c>
      <c r="F134" s="1427">
        <v>0.14274500000000001</v>
      </c>
      <c r="G134" s="1427">
        <v>0.16158900000000001</v>
      </c>
      <c r="H134" s="585"/>
      <c r="I134"/>
      <c r="J134"/>
      <c r="K134"/>
      <c r="L134" s="443"/>
      <c r="M134" s="443"/>
    </row>
    <row r="135" spans="3:13" s="187" customFormat="1" ht="15" customHeight="1">
      <c r="C135" s="1428"/>
      <c r="D135" s="1424"/>
      <c r="E135" s="1433" t="str">
        <f>IF(Indice_index!$Z$1=1,"082 - Segurança e Ação Social - Violência doméstica - Prevenção e proteção à vítima","082 - Social Security and Action - domestic violence - Prevention and protection to victims")</f>
        <v>082 - Segurança e Ação Social - Violência doméstica - Prevenção e proteção à vítima</v>
      </c>
      <c r="F135" s="1427">
        <v>0.12621399999999999</v>
      </c>
      <c r="G135" s="1427">
        <v>0</v>
      </c>
      <c r="H135" s="585"/>
      <c r="I135"/>
      <c r="J135"/>
      <c r="K135"/>
      <c r="L135" s="443"/>
      <c r="M135" s="443"/>
    </row>
    <row r="136" spans="3:13" s="187" customFormat="1" ht="15" customHeight="1">
      <c r="C136" s="1428"/>
      <c r="D136" s="1424"/>
      <c r="E136" s="1433" t="str">
        <f>IF(Indice_index!$Z$1=1,"083 - Segurança e Ação Social - Integração da pessoa com deficiência","083 - Social Security and Action - Integration of the handicapped person")</f>
        <v>083 - Segurança e Ação Social - Integração da pessoa com deficiência</v>
      </c>
      <c r="F136" s="1427">
        <v>0.36926199999999998</v>
      </c>
      <c r="G136" s="1427">
        <v>0.42693599999999998</v>
      </c>
      <c r="H136" s="585"/>
      <c r="I136"/>
      <c r="J136"/>
      <c r="K136"/>
      <c r="L136" s="443"/>
      <c r="M136" s="443"/>
    </row>
    <row r="137" spans="3:13" s="187" customFormat="1" ht="15" customHeight="1">
      <c r="C137" s="1428"/>
      <c r="D137" s="1424"/>
      <c r="E137" s="1433" t="str">
        <f>IF(Indice_index!$Z$1=1,"095 - Contingência Covid 2019 - Prevenção, contenção, mitigação e tratamento","095 - Covid 2019 Contingency - Prevention, Containment, Mitigation and Treatment")</f>
        <v>095 - Contingência Covid 2019 - Prevenção, contenção, mitigação e tratamento</v>
      </c>
      <c r="F137" s="1427">
        <v>2.1504810000000001</v>
      </c>
      <c r="G137" s="1427">
        <v>2.1513629999999999</v>
      </c>
      <c r="H137" s="585"/>
      <c r="I137"/>
      <c r="J137"/>
      <c r="K137"/>
      <c r="L137" s="443"/>
      <c r="M137" s="443"/>
    </row>
    <row r="138" spans="3:13" s="187" customFormat="1" ht="15" customHeight="1">
      <c r="C138" s="1428"/>
      <c r="D138" s="1424"/>
      <c r="E138" s="1433" t="str">
        <f>IF(Indice_index!$Z$1=1,"096 - Contingência Covid 2019 - Garantir Normalidade","096 - Covid Contingency 2019 - Ensure Normality")</f>
        <v>096 - Contingência Covid 2019 - Garantir Normalidade</v>
      </c>
      <c r="F138" s="1427">
        <v>0.182505</v>
      </c>
      <c r="G138" s="1427">
        <v>0.182505</v>
      </c>
      <c r="H138" s="585"/>
      <c r="I138"/>
      <c r="J138"/>
      <c r="K138"/>
      <c r="L138" s="443"/>
      <c r="M138" s="443"/>
    </row>
    <row r="139" spans="3:13" s="187" customFormat="1" ht="15" customHeight="1">
      <c r="C139" s="1428"/>
      <c r="D139" s="1429"/>
      <c r="E139" s="1435" t="str">
        <f>D128</f>
        <v>P015 - Trabalho, Solidariedade e Seg. Social</v>
      </c>
      <c r="F139" s="1438">
        <f>SUM(F128:F138)</f>
        <v>44.693555999999987</v>
      </c>
      <c r="G139" s="1438">
        <f>SUM(G128:G138)</f>
        <v>44.881821499999994</v>
      </c>
      <c r="H139" s="585"/>
      <c r="I139"/>
      <c r="J139"/>
      <c r="K139"/>
      <c r="L139" s="443"/>
      <c r="M139" s="443"/>
    </row>
    <row r="140" spans="3:13" s="187" customFormat="1" ht="15" customHeight="1">
      <c r="C140" s="1428" t="str">
        <f>IF(Indice_index!$Z$1=1,"MS","MH")</f>
        <v>MS</v>
      </c>
      <c r="D140" s="1424" t="str">
        <f>IF(Indice_index!$Z$1=1,"P016 - Saúde","P016 - Health")</f>
        <v>P016 - Saúde</v>
      </c>
      <c r="E140" s="1425" t="str">
        <f>IF(Indice_index!$Z$1=1,"020 - Saúde - Administração e regulamentação","020 - Health - Administration and regulations")</f>
        <v>020 - Saúde - Administração e regulamentação</v>
      </c>
      <c r="F140" s="1426">
        <v>0.64958199999999999</v>
      </c>
      <c r="G140" s="1426">
        <v>0.74858199999999997</v>
      </c>
      <c r="H140" s="585"/>
      <c r="I140"/>
      <c r="J140"/>
      <c r="K140"/>
      <c r="L140" s="443"/>
      <c r="M140" s="443"/>
    </row>
    <row r="141" spans="3:13" s="187" customFormat="1" ht="15" customHeight="1">
      <c r="C141" s="1428"/>
      <c r="D141" s="1428"/>
      <c r="E141" s="1433" t="str">
        <f>IF(Indice_index!$Z$1=1,"095 - Contingência Covid 2019 - Prevenção, contenção, mitigação e tratamento","095 - Covid 2019 Contingency - Prevention, Containment, Mitigation and Treatment")</f>
        <v>095 - Contingência Covid 2019 - Prevenção, contenção, mitigação e tratamento</v>
      </c>
      <c r="F141" s="1427">
        <v>7.0829999999999999E-3</v>
      </c>
      <c r="G141" s="1427">
        <v>7.0829999999999999E-3</v>
      </c>
      <c r="H141" s="585"/>
      <c r="I141"/>
      <c r="J141"/>
      <c r="K141"/>
      <c r="L141" s="443"/>
      <c r="M141" s="443"/>
    </row>
    <row r="142" spans="3:13" s="187" customFormat="1" ht="15" customHeight="1">
      <c r="C142" s="1428"/>
      <c r="D142" s="1424"/>
      <c r="E142" s="1433" t="str">
        <f>IF(Indice_index!$Z$1=1,"096 - Contingência Covid 2019 - Garantir Normalidade","096 - Covid Contingency 2019 - Ensure Normality")</f>
        <v>096 - Contingência Covid 2019 - Garantir Normalidade</v>
      </c>
      <c r="F142" s="1427">
        <v>6.5899999999999997E-4</v>
      </c>
      <c r="G142" s="1427">
        <v>6.5899999999999997E-4</v>
      </c>
      <c r="H142" s="585"/>
      <c r="I142"/>
      <c r="J142"/>
      <c r="K142"/>
      <c r="L142" s="443"/>
      <c r="M142" s="443"/>
    </row>
    <row r="143" spans="3:13" s="187" customFormat="1" ht="15" customHeight="1">
      <c r="C143" s="1428"/>
      <c r="D143" s="1444"/>
      <c r="E143" s="1424" t="str">
        <f>D140</f>
        <v>P016 - Saúde</v>
      </c>
      <c r="F143" s="1445">
        <f>SUM(F140:F142)</f>
        <v>0.65732399999999991</v>
      </c>
      <c r="G143" s="1445">
        <f t="shared" ref="G143" si="2">SUM(G140:G142)</f>
        <v>0.75632399999999989</v>
      </c>
      <c r="H143" s="585"/>
      <c r="I143"/>
      <c r="J143"/>
      <c r="K143"/>
      <c r="L143" s="443"/>
      <c r="M143" s="443"/>
    </row>
    <row r="144" spans="3:13" s="187" customFormat="1" ht="15" customHeight="1">
      <c r="C144" s="1428"/>
      <c r="D144" s="1435"/>
      <c r="E144" s="1425" t="str">
        <f>IF(Indice_index!$Z$1=1,"Serviço Nacional de Saúde","National Health Service")</f>
        <v>Serviço Nacional de Saúde</v>
      </c>
      <c r="F144" s="1431">
        <v>0</v>
      </c>
      <c r="G144" s="1431">
        <v>0</v>
      </c>
      <c r="H144" s="585"/>
      <c r="I144"/>
      <c r="J144"/>
      <c r="K144"/>
      <c r="L144" s="443"/>
      <c r="M144" s="443"/>
    </row>
    <row r="145" spans="3:13" s="187" customFormat="1" ht="15" customHeight="1">
      <c r="C145" s="1428" t="str">
        <f>IF(Indice_index!$Z$1=1,"MAAC","MECA")</f>
        <v>MAAC</v>
      </c>
      <c r="D145" s="1428" t="str">
        <f>IF(Indice_index!$Z$1=1,"P017 - Ambiente e Ação Climática","P017 -  Environment and Climate Action")</f>
        <v>P017 - Ambiente e Ação Climática</v>
      </c>
      <c r="E145" s="1433" t="str">
        <f>IF(Indice_index!$Z$1=1,"031 - Habitação e serv. Colectivos - Ordenamento do território","031 - Housing and Common services - Land-use")</f>
        <v>031 - Habitação e serv. Colectivos - Ordenamento do território</v>
      </c>
      <c r="F145" s="1427">
        <v>0.93306199999999995</v>
      </c>
      <c r="G145" s="1427">
        <v>0.94142000000000003</v>
      </c>
      <c r="H145" s="585"/>
      <c r="I145"/>
      <c r="J145"/>
      <c r="K145"/>
      <c r="L145" s="443"/>
      <c r="M145" s="443"/>
    </row>
    <row r="146" spans="3:13" s="187" customFormat="1" ht="15" customHeight="1">
      <c r="C146" s="1428"/>
      <c r="D146" s="1428"/>
      <c r="E146" s="1433" t="str">
        <f>IF(Indice_index!$Z$1=1,"033 - Habitação e serv. Colectivos - Protecção do meio ambiente e conservação da natureza","033 - Housing and Common services - Protection of the Environment and conservation of nature")</f>
        <v>033 - Habitação e serv. Colectivos - Protecção do meio ambiente e conservação da natureza</v>
      </c>
      <c r="F146" s="1427">
        <v>12.671352000000001</v>
      </c>
      <c r="G146" s="1427">
        <v>12.671352000000001</v>
      </c>
      <c r="H146" s="585"/>
      <c r="I146"/>
      <c r="J146"/>
      <c r="K146"/>
      <c r="L146" s="443"/>
      <c r="M146" s="443"/>
    </row>
    <row r="147" spans="3:13" s="187" customFormat="1" ht="15" customHeight="1">
      <c r="C147" s="1428"/>
      <c r="D147" s="1424"/>
      <c r="E147" s="1433" t="str">
        <f>IF(Indice_index!$Z$1=1,"043 - Agricultura, pecuária, silv, caça, pesca - Silvicultura","043 - Crops, livestock, forestry, fisheries - Forestry")</f>
        <v>043 - Agricultura, pecuária, silv, caça, pesca - Silvicultura</v>
      </c>
      <c r="F147" s="1427">
        <v>5.4694180000000001</v>
      </c>
      <c r="G147" s="1427">
        <v>5.6004180000000003</v>
      </c>
      <c r="H147" s="585"/>
      <c r="I147"/>
      <c r="J147"/>
      <c r="K147"/>
      <c r="L147" s="443"/>
      <c r="M147" s="443"/>
    </row>
    <row r="148" spans="3:13" s="187" customFormat="1" ht="15" customHeight="1">
      <c r="C148" s="1428"/>
      <c r="D148" s="1424"/>
      <c r="E148" s="1433" t="str">
        <f>IF(Indice_index!$Z$1=1,"046 - Industria e energia - administração e regulamentação","046 - Industry and energy - Administration and regulations")</f>
        <v>046 - Industria e energia - administração e regulamentação</v>
      </c>
      <c r="F148" s="1427">
        <v>2.898711</v>
      </c>
      <c r="G148" s="1427">
        <v>3.146741</v>
      </c>
      <c r="H148" s="585"/>
      <c r="I148"/>
      <c r="J148"/>
      <c r="K148"/>
      <c r="L148" s="443"/>
      <c r="M148" s="443"/>
    </row>
    <row r="149" spans="3:13" s="187" customFormat="1" ht="15" customHeight="1">
      <c r="C149" s="1428"/>
      <c r="D149" s="1424"/>
      <c r="E149" s="1433" t="str">
        <f>IF(Indice_index!$Z$1=1,"047 - Industria e energia - Investigação","047 - Industry and energy - Research")</f>
        <v>047 - Industria e energia - Investigação</v>
      </c>
      <c r="F149" s="1427">
        <v>1.3555600000000001</v>
      </c>
      <c r="G149" s="1427">
        <v>1.3555600000000001</v>
      </c>
      <c r="H149" s="585"/>
      <c r="I149"/>
      <c r="J149"/>
      <c r="K149"/>
      <c r="L149" s="443"/>
      <c r="M149" s="443"/>
    </row>
    <row r="150" spans="3:13" s="187" customFormat="1" ht="15" customHeight="1">
      <c r="C150" s="1428"/>
      <c r="D150" s="1424"/>
      <c r="E150" s="1433" t="str">
        <f>IF(Indice_index!$Z$1=1,"051 - Industria e energia - Combustíveis, electricidade e outras fontes de energia","051 - Industry e energy - Fuel, electricity and other sources of energy ")</f>
        <v>051 - Industria e energia - Combustíveis, electricidade e outras fontes de energia</v>
      </c>
      <c r="F150" s="1427">
        <v>5.8749320000000003</v>
      </c>
      <c r="G150" s="1427">
        <v>5.8749320000000003</v>
      </c>
      <c r="H150" s="585"/>
      <c r="I150"/>
      <c r="J150"/>
      <c r="K150"/>
      <c r="L150" s="443"/>
      <c r="M150" s="443"/>
    </row>
    <row r="151" spans="3:13" s="187" customFormat="1" ht="15" customHeight="1">
      <c r="C151" s="1428"/>
      <c r="D151" s="1424"/>
      <c r="E151" s="1433" t="str">
        <f>IF(Indice_index!$Z$1=1,"055 - Transportes e comunicações - Transportes ferroviários","055 - Transport and Communications - Rail transport")</f>
        <v>055 - Transportes e comunicações - Transportes ferroviários</v>
      </c>
      <c r="F151" s="1427">
        <v>22.078951</v>
      </c>
      <c r="G151" s="1427">
        <v>22.078951</v>
      </c>
      <c r="H151" s="585"/>
      <c r="I151"/>
      <c r="J151"/>
      <c r="K151"/>
      <c r="L151" s="443"/>
      <c r="M151" s="443"/>
    </row>
    <row r="152" spans="3:13" s="187" customFormat="1" ht="15" customHeight="1">
      <c r="C152" s="1428"/>
      <c r="D152" s="1424"/>
      <c r="E152" s="1433" t="str">
        <f>IF(Indice_index!$Z$1=1,"057 - Transportes e comunicações - Transportes marítimos e fluviais","057 - Transport and Communications - Water transport")</f>
        <v>057 - Transportes e comunicações - Transportes marítimos e fluviais</v>
      </c>
      <c r="F152" s="1427">
        <v>7.2330199999999998</v>
      </c>
      <c r="G152" s="1427">
        <v>7.2330199999999998</v>
      </c>
      <c r="H152" s="585"/>
      <c r="I152"/>
      <c r="J152"/>
      <c r="K152"/>
      <c r="L152" s="443"/>
      <c r="M152" s="443"/>
    </row>
    <row r="153" spans="3:13" s="187" customFormat="1" ht="15" customHeight="1">
      <c r="C153" s="1428"/>
      <c r="D153" s="1424"/>
      <c r="E153" s="1433" t="str">
        <f>IF(Indice_index!$Z$1=1,"063 - Outras funções económicas - Administração e regulamentação","063 - Outher economic functions - Administration e regulation")</f>
        <v>063 - Outras funções económicas - Administração e regulamentação</v>
      </c>
      <c r="F153" s="1427">
        <v>4.0650839999999997</v>
      </c>
      <c r="G153" s="1427">
        <v>5.0651380000000001</v>
      </c>
      <c r="H153" s="585"/>
      <c r="I153"/>
      <c r="J153"/>
      <c r="K153"/>
      <c r="L153" s="443"/>
      <c r="M153" s="443"/>
    </row>
    <row r="154" spans="3:13" s="187" customFormat="1" ht="15" customHeight="1">
      <c r="C154" s="1428"/>
      <c r="D154" s="1424"/>
      <c r="E154" s="1433" t="str">
        <f>IF(Indice_index!$Z$1=1,"065 - Outras funções económicas - Diversas não especificadas","065 - Other economic functions - Various unspecified")</f>
        <v>065 - Outras funções económicas - Diversas não especificadas</v>
      </c>
      <c r="F154" s="1426">
        <v>1.6000000000000001E-4</v>
      </c>
      <c r="G154" s="1426">
        <v>1.6000000000000001E-4</v>
      </c>
      <c r="H154" s="585"/>
      <c r="I154"/>
      <c r="J154"/>
      <c r="K154"/>
      <c r="L154" s="443"/>
      <c r="M154" s="443"/>
    </row>
    <row r="155" spans="3:13" s="187" customFormat="1" ht="15" customHeight="1">
      <c r="C155" s="1428"/>
      <c r="D155" s="1424"/>
      <c r="E155" s="1433" t="str">
        <f>IF(Indice_index!$Z$1=1,"095 - Contingência Covid 2019 - Prevenção, contenção, mitigação e tratamento","095 - Covid 2019 Contingency - Prevention, Containment, Mitigation and Treatment")</f>
        <v>095 - Contingência Covid 2019 - Prevenção, contenção, mitigação e tratamento</v>
      </c>
      <c r="F155" s="1427">
        <v>2.5655000000000001E-2</v>
      </c>
      <c r="G155" s="1427">
        <v>2.5655000000000001E-2</v>
      </c>
      <c r="H155" s="585"/>
      <c r="I155"/>
      <c r="J155"/>
      <c r="K155"/>
      <c r="L155" s="443"/>
      <c r="M155" s="443"/>
    </row>
    <row r="156" spans="3:13" s="187" customFormat="1" ht="15" customHeight="1">
      <c r="C156" s="1428"/>
      <c r="D156" s="1424"/>
      <c r="E156" s="1425" t="str">
        <f>IF(Indice_index!$Z$1=1,"096 - Contingência Covid 2019 - Garantir Normalidade","096 - Covid Contingency 2019 - Ensure Normality")</f>
        <v>096 - Contingência Covid 2019 - Garantir Normalidade</v>
      </c>
      <c r="F156" s="1426">
        <v>0.52321499999999999</v>
      </c>
      <c r="G156" s="1426">
        <v>0.52321499999999999</v>
      </c>
      <c r="H156" s="585"/>
      <c r="I156"/>
      <c r="J156"/>
      <c r="K156"/>
      <c r="L156" s="443"/>
      <c r="M156" s="443"/>
    </row>
    <row r="157" spans="3:13" s="187" customFormat="1" ht="15" customHeight="1">
      <c r="C157" s="1428"/>
      <c r="D157" s="1424"/>
      <c r="E157" s="1425" t="str">
        <f>IF(Indice_index!$Z$1=1,"101 - Plano Nacional de Gestão Integrada de Fogos Rurais","101 - National Plan on Integrated Rural Fire Management")</f>
        <v>101 - Plano Nacional de Gestão Integrada de Fogos Rurais</v>
      </c>
      <c r="F157" s="1426">
        <v>0</v>
      </c>
      <c r="G157" s="1426">
        <v>0.36249999999999999</v>
      </c>
      <c r="H157" s="585"/>
      <c r="I157"/>
      <c r="J157"/>
      <c r="K157"/>
      <c r="L157" s="443"/>
      <c r="M157" s="443"/>
    </row>
    <row r="158" spans="3:13" s="187" customFormat="1" ht="15" customHeight="1">
      <c r="C158" s="1428"/>
      <c r="D158" s="1429"/>
      <c r="E158" s="1435" t="str">
        <f>D145</f>
        <v>P017 - Ambiente e Ação Climática</v>
      </c>
      <c r="F158" s="1431">
        <f>SUM(F145:F157)</f>
        <v>63.12912</v>
      </c>
      <c r="G158" s="1431">
        <f>SUM(G145:G157)</f>
        <v>64.87906199999999</v>
      </c>
      <c r="H158" s="585"/>
      <c r="I158"/>
      <c r="J158"/>
      <c r="K158"/>
      <c r="L158" s="443"/>
      <c r="M158" s="443"/>
    </row>
    <row r="159" spans="3:13" s="187" customFormat="1" ht="15" customHeight="1">
      <c r="C159" s="1428" t="str">
        <f>IF(Indice_index!$Z$1=1,"MIH","MIH")</f>
        <v>MIH</v>
      </c>
      <c r="D159" s="1424" t="str">
        <f>IF(Indice_index!$Z$1=1,"P018 - Infraestruturas e Habitação","P018 - Infrastructures and Housing")</f>
        <v>P018 - Infraestruturas e Habitação</v>
      </c>
      <c r="E159" s="1425" t="str">
        <f>IF(Indice_index!$Z$1=1,"001 - Serv. Gerais da A.P. - Administração geral","001 - General public services - General Administration")</f>
        <v>001 - Serv. Gerais da A.P. - Administração geral</v>
      </c>
      <c r="F159" s="1426">
        <v>0.63731400000000005</v>
      </c>
      <c r="G159" s="1426">
        <v>0.42488300000000001</v>
      </c>
      <c r="H159" s="585"/>
      <c r="I159"/>
      <c r="J159"/>
      <c r="K159"/>
      <c r="L159" s="443"/>
      <c r="M159" s="443"/>
    </row>
    <row r="160" spans="3:13" s="187" customFormat="1" ht="15" customHeight="1">
      <c r="C160" s="1428"/>
      <c r="D160" s="1424"/>
      <c r="E160" s="1433" t="str">
        <f>IF(Indice_index!$Z$1=1,"004 - Serv. Gerais da A.P. - Investigação científica de carácter geral","004 - General public services - General scientific research")</f>
        <v>004 - Serv. Gerais da A.P. - Investigação científica de carácter geral</v>
      </c>
      <c r="F160" s="1427">
        <v>8.7499999999999994E-2</v>
      </c>
      <c r="G160" s="1427">
        <v>8.7499999999999994E-2</v>
      </c>
      <c r="H160" s="585"/>
      <c r="I160"/>
      <c r="J160"/>
      <c r="K160"/>
      <c r="L160" s="443"/>
      <c r="M160" s="443"/>
    </row>
    <row r="161" spans="3:13" s="187" customFormat="1" ht="15" customHeight="1">
      <c r="C161" s="1428"/>
      <c r="D161" s="1424"/>
      <c r="E161" s="1433" t="str">
        <f>IF(Indice_index!$Z$1=1,"030 - Habitação e serv. Colectivos - Habitação","030 - Housing and Common services - Housing")</f>
        <v>030 - Habitação e serv. Colectivos - Habitação</v>
      </c>
      <c r="F161" s="1427">
        <v>15.364978000000001</v>
      </c>
      <c r="G161" s="1427">
        <v>15.474621000000001</v>
      </c>
      <c r="H161" s="585"/>
      <c r="I161"/>
      <c r="J161"/>
      <c r="K161"/>
      <c r="L161" s="443"/>
      <c r="M161" s="443"/>
    </row>
    <row r="162" spans="3:13" s="187" customFormat="1" ht="15" customHeight="1">
      <c r="C162" s="1428"/>
      <c r="D162" s="1424"/>
      <c r="E162" s="1433" t="str">
        <f>IF(Indice_index!$Z$1=1,"052 - Transportes e comunicações - Administração e regulamentação","052 - Transport and Communications - Administration and regulations")</f>
        <v>052 - Transportes e comunicações - Administração e regulamentação</v>
      </c>
      <c r="F162" s="1427">
        <v>15.656647</v>
      </c>
      <c r="G162" s="1427">
        <v>15.733324</v>
      </c>
      <c r="H162" s="585"/>
      <c r="I162"/>
      <c r="J162"/>
      <c r="K162"/>
      <c r="L162" s="443"/>
      <c r="M162" s="443"/>
    </row>
    <row r="163" spans="3:13" s="187" customFormat="1" ht="15" customHeight="1">
      <c r="C163" s="1428"/>
      <c r="D163" s="1424"/>
      <c r="E163" s="1433" t="str">
        <f>IF(Indice_index!$Z$1=1,"054 - Transportes e comunicações - Transportes rodoviários","054 - Transport and Communications - Road transport")</f>
        <v>054 - Transportes e comunicações - Transportes rodoviários</v>
      </c>
      <c r="F163" s="1427">
        <v>3.3847559999999999</v>
      </c>
      <c r="G163" s="1427">
        <v>3.3847559999999999</v>
      </c>
      <c r="H163" s="585"/>
      <c r="I163"/>
      <c r="J163"/>
      <c r="K163"/>
      <c r="L163" s="443"/>
      <c r="M163" s="443"/>
    </row>
    <row r="164" spans="3:13" s="187" customFormat="1" ht="15" customHeight="1">
      <c r="C164" s="1428"/>
      <c r="D164" s="1424"/>
      <c r="E164" s="1433" t="str">
        <f>IF(Indice_index!$Z$1=1,"055 - Transportes e comunicações - Transportes ferroviários","055 - Transport and Communications - Rail transport")</f>
        <v>055 - Transportes e comunicações - Transportes ferroviários</v>
      </c>
      <c r="F164" s="1427">
        <v>52.249031000000002</v>
      </c>
      <c r="G164" s="1427">
        <v>52.249031000000002</v>
      </c>
      <c r="H164" s="585"/>
      <c r="I164"/>
      <c r="J164"/>
      <c r="K164"/>
      <c r="L164" s="443"/>
      <c r="M164" s="443"/>
    </row>
    <row r="165" spans="3:13" s="187" customFormat="1" ht="15" customHeight="1">
      <c r="C165" s="1428"/>
      <c r="D165" s="1424"/>
      <c r="E165" s="1433" t="str">
        <f>IF(Indice_index!$Z$1=1,"057 - Transportes e comunicações - Transportes marítimos e fluviais","057 - Transport and Communications - Water transport")</f>
        <v>057 - Transportes e comunicações - Transportes marítimos e fluviais</v>
      </c>
      <c r="F165" s="1427">
        <v>0.5625</v>
      </c>
      <c r="G165" s="1427">
        <v>0</v>
      </c>
      <c r="H165" s="585"/>
      <c r="I165"/>
      <c r="J165"/>
      <c r="K165"/>
      <c r="L165" s="443"/>
      <c r="M165" s="443"/>
    </row>
    <row r="166" spans="3:13" s="187" customFormat="1" ht="15" customHeight="1">
      <c r="C166" s="1428"/>
      <c r="D166" s="1424"/>
      <c r="E166" s="1433" t="str">
        <f>IF(Indice_index!$Z$1=1,"063 - Outras funções económicas - Administração e regulamentação","063 - Outher economic functions - Administration e regulation")</f>
        <v>063 - Outras funções económicas - Administração e regulamentação</v>
      </c>
      <c r="F166" s="1427">
        <v>1.15882</v>
      </c>
      <c r="G166" s="1427">
        <v>1.177762</v>
      </c>
      <c r="H166" s="585"/>
      <c r="I166"/>
      <c r="J166"/>
      <c r="K166"/>
      <c r="L166" s="443"/>
      <c r="M166" s="443"/>
    </row>
    <row r="167" spans="3:13" s="187" customFormat="1" ht="15" customHeight="1">
      <c r="C167" s="1428"/>
      <c r="D167" s="1424"/>
      <c r="E167" s="1433" t="str">
        <f>IF(Indice_index!$Z$1=1,"095 - Contingência Covid 2019 - Prevenção, contenção, mitigação e tratamento","095 - Covid 2019 Contingency - Prevention, Containment, Mitigation and Treatment")</f>
        <v>095 - Contingência Covid 2019 - Prevenção, contenção, mitigação e tratamento</v>
      </c>
      <c r="F167" s="1427">
        <v>0.21398300000000001</v>
      </c>
      <c r="G167" s="1427">
        <v>0.21398300000000001</v>
      </c>
      <c r="H167" s="585"/>
      <c r="I167"/>
      <c r="J167"/>
      <c r="K167"/>
      <c r="L167" s="443"/>
      <c r="M167" s="443"/>
    </row>
    <row r="168" spans="3:13" s="187" customFormat="1" ht="15" customHeight="1">
      <c r="C168" s="1428"/>
      <c r="D168" s="1424"/>
      <c r="E168" s="1433" t="str">
        <f>IF(Indice_index!$Z$1=1,"096 - Contingência Covid 2019 - Garantir Normalidade","096 - Covid Contingency 2019 - Ensure Normality")</f>
        <v>096 - Contingência Covid 2019 - Garantir Normalidade</v>
      </c>
      <c r="F168" s="1427">
        <v>0.26324799999999998</v>
      </c>
      <c r="G168" s="1427">
        <v>0.26324799999999998</v>
      </c>
      <c r="H168" s="585"/>
      <c r="I168"/>
      <c r="J168"/>
      <c r="K168"/>
      <c r="L168" s="443"/>
      <c r="M168" s="443"/>
    </row>
    <row r="169" spans="3:13" s="187" customFormat="1" ht="15" customHeight="1">
      <c r="C169" s="1428"/>
      <c r="D169" s="1429"/>
      <c r="E169" s="1435" t="str">
        <f>D159</f>
        <v>P018 - Infraestruturas e Habitação</v>
      </c>
      <c r="F169" s="1438">
        <f>SUM(F159:F168)</f>
        <v>89.578777000000002</v>
      </c>
      <c r="G169" s="1438">
        <f>SUM(G159:G168)</f>
        <v>89.009108000000012</v>
      </c>
      <c r="H169" s="585"/>
      <c r="I169"/>
      <c r="J169"/>
      <c r="K169"/>
      <c r="L169" s="443"/>
      <c r="M169" s="443"/>
    </row>
    <row r="170" spans="3:13" s="187" customFormat="1" ht="15" customHeight="1">
      <c r="C170" s="1428" t="str">
        <f>IF(Indice_index!$Z$1=1,"MA","MA")</f>
        <v>MA</v>
      </c>
      <c r="D170" s="1424" t="str">
        <f>IF(Indice_index!$Z$1=1,"P020 - Agricultura","P020 - Agriculture")</f>
        <v>P020 - Agricultura</v>
      </c>
      <c r="E170" s="1433" t="str">
        <f>IF(Indice_index!$Z$1=1,"040 - Agricultura, pecuária, silv, caça, pesca - Administração e regulamentação","040 - Crops, livestock, forestry, fisheries - Administration and regulations")</f>
        <v>040 - Agricultura, pecuária, silv, caça, pesca - Administração e regulamentação</v>
      </c>
      <c r="F170" s="1427">
        <v>3.6731609999999999</v>
      </c>
      <c r="G170" s="1427">
        <v>3.7318989999999999</v>
      </c>
      <c r="H170" s="585"/>
      <c r="I170"/>
      <c r="J170"/>
      <c r="K170"/>
      <c r="L170" s="443"/>
      <c r="M170" s="443"/>
    </row>
    <row r="171" spans="3:13" s="187" customFormat="1" ht="15" customHeight="1">
      <c r="C171" s="1428"/>
      <c r="D171" s="1424"/>
      <c r="E171" s="1433" t="str">
        <f>IF(Indice_index!$Z$1=1,"041 - Agricultura, pecuária, silv, caça, pesca - Investigação","041 - Crops, livestock, forestry, fisheries - Research")</f>
        <v>041 - Agricultura, pecuária, silv, caça, pesca - Investigação</v>
      </c>
      <c r="F171" s="1427">
        <v>3.7187999999999999E-2</v>
      </c>
      <c r="G171" s="1427">
        <v>3.7187999999999999E-2</v>
      </c>
      <c r="H171" s="585"/>
      <c r="I171"/>
      <c r="J171"/>
      <c r="K171"/>
      <c r="L171" s="443"/>
      <c r="M171" s="443"/>
    </row>
    <row r="172" spans="3:13" s="187" customFormat="1" ht="15" customHeight="1">
      <c r="C172" s="1428"/>
      <c r="D172" s="1424"/>
      <c r="E172" s="1433" t="str">
        <f>IF(Indice_index!$Z$1=1,"042 - Agricultura, pecuária, silv, caça, pesca - Agricultura e pecuária","042 - Crops, livestock, forestry, fisheries - Crops and livestock")</f>
        <v>042 - Agricultura, pecuária, silv, caça, pesca - Agricultura e pecuária</v>
      </c>
      <c r="F172" s="1427">
        <v>22.532931000000001</v>
      </c>
      <c r="G172" s="1427">
        <v>11.906485999999999</v>
      </c>
      <c r="H172" s="585"/>
      <c r="I172"/>
      <c r="J172"/>
      <c r="K172"/>
      <c r="L172" s="443"/>
      <c r="M172" s="443"/>
    </row>
    <row r="173" spans="3:13" s="187" customFormat="1" ht="15" customHeight="1">
      <c r="C173" s="1428"/>
      <c r="D173" s="1424"/>
      <c r="E173" s="1433" t="str">
        <f>IF(Indice_index!$Z$1=1,"045 - Agricultura, pecuária, silv, caça, pesca – Pesca","045 - Crops, livestock, forestry, fisheries – Fisheries")</f>
        <v>045 - Agricultura, pecuária, silv, caça, pesca – Pesca</v>
      </c>
      <c r="F173" s="1427">
        <v>0.122588</v>
      </c>
      <c r="G173" s="1427">
        <v>0.122588</v>
      </c>
      <c r="H173" s="585"/>
      <c r="I173"/>
      <c r="J173"/>
      <c r="K173"/>
      <c r="L173" s="443"/>
      <c r="M173" s="443"/>
    </row>
    <row r="174" spans="3:13" s="187" customFormat="1" ht="15" customHeight="1">
      <c r="C174" s="1428"/>
      <c r="D174" s="1424"/>
      <c r="E174" s="1433" t="str">
        <f>IF(Indice_index!$Z$1=1,"095 - Contingência Covid 2019 - Prevenção, contenção, mitigação e tratamento","095 - Covid 2019 Contingency - Prevention, Containment, Mitigation and Treatment")</f>
        <v>095 - Contingência Covid 2019 - Prevenção, contenção, mitigação e tratamento</v>
      </c>
      <c r="F174" s="1427">
        <v>0.14990100000000001</v>
      </c>
      <c r="G174" s="1427">
        <v>0.122666</v>
      </c>
      <c r="H174" s="585"/>
      <c r="I174"/>
      <c r="J174"/>
      <c r="K174"/>
      <c r="L174" s="443"/>
      <c r="M174" s="443"/>
    </row>
    <row r="175" spans="3:13" s="187" customFormat="1" ht="15" customHeight="1">
      <c r="C175" s="1428"/>
      <c r="D175" s="1424"/>
      <c r="E175" s="1433" t="str">
        <f>IF(Indice_index!$Z$1=1,"096 - Contingência Covid 2019 - Garantir Normalidade","096 - Covid Contingency 2019 - Ensure Normality")</f>
        <v>096 - Contingência Covid 2019 - Garantir Normalidade</v>
      </c>
      <c r="F175" s="1427">
        <v>2.9572999999999999E-2</v>
      </c>
      <c r="G175" s="1427">
        <v>2.9572999999999999E-2</v>
      </c>
      <c r="H175" s="585"/>
      <c r="I175"/>
      <c r="J175"/>
      <c r="K175"/>
      <c r="L175" s="443"/>
      <c r="M175" s="443"/>
    </row>
    <row r="176" spans="3:13" s="187" customFormat="1" ht="15" customHeight="1">
      <c r="C176" s="1428"/>
      <c r="D176" s="1429"/>
      <c r="E176" s="1435" t="str">
        <f>D170</f>
        <v>P020 - Agricultura</v>
      </c>
      <c r="F176" s="1431">
        <f>SUM(F170:F175)</f>
        <v>26.545342000000002</v>
      </c>
      <c r="G176" s="1431">
        <f>SUM(G170:G175)</f>
        <v>15.9504</v>
      </c>
      <c r="H176" s="585"/>
      <c r="I176"/>
      <c r="J176"/>
      <c r="K176"/>
      <c r="L176" s="443"/>
      <c r="M176" s="443"/>
    </row>
    <row r="177" spans="3:13" s="187" customFormat="1" ht="15" customHeight="1">
      <c r="C177" s="1428" t="str">
        <f>IF(Indice_index!$Z$1=1,"MM","MS")</f>
        <v>MM</v>
      </c>
      <c r="D177" s="1424" t="str">
        <f>IF(Indice_index!$Z$1=1,"P021 - Mar","P021 - Sea")</f>
        <v>P021 - Mar</v>
      </c>
      <c r="E177" s="1433" t="str">
        <f>IF(Indice_index!$Z$1=1,"004 - Serv. Gerais da A.P. - Investigação científica de carácter geral","004 - General public services - General scientific research")</f>
        <v>004 - Serv. Gerais da A.P. - Investigação científica de carácter geral</v>
      </c>
      <c r="F177" s="1426">
        <v>0.139098</v>
      </c>
      <c r="G177" s="1426">
        <v>0.139098</v>
      </c>
      <c r="H177" s="585"/>
      <c r="I177"/>
      <c r="J177"/>
      <c r="K177"/>
      <c r="L177" s="443"/>
      <c r="M177" s="443"/>
    </row>
    <row r="178" spans="3:13" s="187" customFormat="1" ht="15" customHeight="1">
      <c r="C178" s="1428"/>
      <c r="D178" s="1424"/>
      <c r="E178" s="1433" t="str">
        <f>IF(Indice_index!$Z$1=1,"040 - Agricultura, pecuária, silv, caça, pesca - Administração e regulamentação","040 - Crops, livestock, forestry, fisheries - Administration and regulations")</f>
        <v>040 - Agricultura, pecuária, silv, caça, pesca - Administração e regulamentação</v>
      </c>
      <c r="F178" s="1427">
        <v>5.154471</v>
      </c>
      <c r="G178" s="1427">
        <v>0.82411699999999999</v>
      </c>
      <c r="H178" s="585"/>
      <c r="I178"/>
      <c r="J178"/>
      <c r="K178"/>
      <c r="L178" s="443"/>
      <c r="M178" s="443"/>
    </row>
    <row r="179" spans="3:13" s="187" customFormat="1" ht="15" customHeight="1">
      <c r="C179" s="1428"/>
      <c r="D179" s="1424"/>
      <c r="E179" s="1433" t="str">
        <f>IF(Indice_index!$Z$1=1,"045 - Agricultura, pecuária, silv, caça, pesca – Pesca","045 - Crops, livestock, forestry, fisheries – Fisheries")</f>
        <v>045 - Agricultura, pecuária, silv, caça, pesca – Pesca</v>
      </c>
      <c r="F179" s="1427">
        <v>0.87151999999999996</v>
      </c>
      <c r="G179" s="1427">
        <v>0.829183</v>
      </c>
      <c r="H179" s="585"/>
      <c r="I179"/>
      <c r="J179"/>
      <c r="K179"/>
      <c r="L179" s="443"/>
      <c r="M179" s="443"/>
    </row>
    <row r="180" spans="3:13" s="187" customFormat="1" ht="15" customHeight="1">
      <c r="C180" s="1428"/>
      <c r="D180" s="1424"/>
      <c r="E180" s="1433" t="str">
        <f>IF(Indice_index!$Z$1=1,"057 - Transportes e comunicações - Transportes marítimos e fluviais","057 - Transport and Communications - Water transport")</f>
        <v>057 - Transportes e comunicações - Transportes marítimos e fluviais</v>
      </c>
      <c r="F180" s="1427">
        <v>0.55246200000000001</v>
      </c>
      <c r="G180" s="1427">
        <v>0.55246200000000001</v>
      </c>
      <c r="H180" s="585"/>
      <c r="I180"/>
      <c r="J180"/>
      <c r="K180"/>
      <c r="L180" s="443"/>
      <c r="M180" s="443"/>
    </row>
    <row r="181" spans="3:13" s="187" customFormat="1" ht="15" customHeight="1">
      <c r="C181" s="1428"/>
      <c r="D181" s="1424"/>
      <c r="E181" s="1433" t="str">
        <f>IF(Indice_index!$Z$1=1,"095 - Contingência Covid 2019 - Prevenção, contenção, mitigação e tratamento","095 - Covid 2019 Contingency - Prevention, Containment, Mitigation and Treatment")</f>
        <v>095 - Contingência Covid 2019 - Prevenção, contenção, mitigação e tratamento</v>
      </c>
      <c r="F181" s="1427">
        <v>1.5640000000000001E-3</v>
      </c>
      <c r="G181" s="1427">
        <v>0</v>
      </c>
      <c r="H181" s="585"/>
      <c r="I181"/>
      <c r="J181"/>
      <c r="K181"/>
      <c r="L181" s="443"/>
      <c r="M181" s="443"/>
    </row>
    <row r="182" spans="3:13" s="187" customFormat="1" ht="15" customHeight="1">
      <c r="C182" s="1428"/>
      <c r="D182" s="1424"/>
      <c r="E182" s="1433" t="str">
        <f>IF(Indice_index!$Z$1=1,"096 - Contingência Covid 2019 - Garantir Normalidade","096 - Covid Contingency 2019 - Ensure Normality")</f>
        <v>096 - Contingência Covid 2019 - Garantir Normalidade</v>
      </c>
      <c r="F182" s="1427">
        <v>5.2989999999999999E-3</v>
      </c>
      <c r="G182" s="1427">
        <v>5.2170000000000003E-3</v>
      </c>
      <c r="H182" s="585"/>
      <c r="I182"/>
      <c r="J182"/>
      <c r="K182"/>
      <c r="L182" s="443"/>
      <c r="M182" s="443"/>
    </row>
    <row r="183" spans="3:13" s="187" customFormat="1" ht="15" customHeight="1" thickBot="1">
      <c r="C183" s="1428"/>
      <c r="D183" s="1444"/>
      <c r="E183" s="1424" t="str">
        <f>D177</f>
        <v>P021 - Mar</v>
      </c>
      <c r="F183" s="1445">
        <f>SUM(F177:F182)</f>
        <v>6.7244140000000003</v>
      </c>
      <c r="G183" s="1445">
        <f>SUM(G177:G182)</f>
        <v>2.3500769999999997</v>
      </c>
      <c r="H183" s="585"/>
      <c r="I183"/>
      <c r="J183"/>
      <c r="K183"/>
      <c r="L183" s="443"/>
      <c r="M183" s="443"/>
    </row>
    <row r="184" spans="3:13" s="187" customFormat="1" ht="15" customHeight="1" thickBot="1">
      <c r="C184" s="1786" t="str">
        <f>IF(Indice_index!$Z$1=1,"TOTAL Cativos","TOTAL frozen allocations")</f>
        <v>TOTAL Cativos</v>
      </c>
      <c r="D184" s="1787"/>
      <c r="E184" s="1787"/>
      <c r="F184" s="1449">
        <f>F13+F37+F48+F54+F60+F61+F75+F91+F102+F107+F117+F126+F139+F143+F158+F169+F176+F183</f>
        <v>690.97966400000007</v>
      </c>
      <c r="G184" s="1449">
        <f>G13+G37+G48+G54+G60+G61+G75+G91+G102+G107+G117+G126+G139+G143+G158+G169+G176+G183</f>
        <v>587.22124566000002</v>
      </c>
      <c r="H184" s="586"/>
      <c r="I184" s="509"/>
      <c r="J184" s="644"/>
      <c r="K184"/>
      <c r="L184" s="443"/>
      <c r="M184" s="443"/>
    </row>
    <row r="185" spans="3:13" s="187" customFormat="1" ht="15.75" customHeight="1">
      <c r="C185" s="247"/>
      <c r="D185" s="247"/>
      <c r="E185" s="247"/>
      <c r="F185" s="247"/>
      <c r="G185" s="452"/>
      <c r="I185"/>
      <c r="J185"/>
      <c r="K185"/>
    </row>
    <row r="186" spans="3:13" s="187" customFormat="1" ht="19.5" thickBot="1">
      <c r="C186" s="1791" t="str">
        <f>IF(Indice_index!$Z$1=1,"Reserva","Reserve")</f>
        <v>Reserva</v>
      </c>
      <c r="D186" s="1791"/>
      <c r="E186" s="1791"/>
      <c r="F186" s="1791"/>
      <c r="G186" s="452"/>
      <c r="I186"/>
      <c r="J186"/>
      <c r="K186"/>
    </row>
    <row r="187" spans="3:13" s="187" customFormat="1">
      <c r="C187" s="1417"/>
      <c r="D187" s="1417"/>
      <c r="E187" s="1417"/>
      <c r="F187" s="1450"/>
      <c r="G187" s="452"/>
      <c r="I187"/>
      <c r="J187"/>
      <c r="K187"/>
    </row>
    <row r="188" spans="3:13" s="187" customFormat="1">
      <c r="C188" s="1416" t="str">
        <f>C4</f>
        <v>Período: junho</v>
      </c>
      <c r="D188" s="1417"/>
      <c r="E188" s="1417"/>
      <c r="F188" s="1419"/>
      <c r="G188" s="1419" t="str">
        <f>IF(Indice_index!$Z$1=1,"€ Milhões","€ Millions")</f>
        <v>€ Milhões</v>
      </c>
      <c r="I188"/>
      <c r="J188"/>
      <c r="K188"/>
    </row>
    <row r="189" spans="3:13" s="187" customFormat="1">
      <c r="C189" s="1788" t="str">
        <f>IF(Indice_index!$Z$1=1,"Ministério","Ministry")</f>
        <v>Ministério</v>
      </c>
      <c r="D189" s="1788" t="str">
        <f>IF(Indice_index!$Z$1=1,"Programa Orçamental","Budgetary program")</f>
        <v>Programa Orçamental</v>
      </c>
      <c r="E189" s="1788" t="str">
        <f>IF(Indice_index!$Z$1=1,"Reserva","Reserve")</f>
        <v>Reserva</v>
      </c>
      <c r="F189" s="1792"/>
      <c r="G189" s="1792"/>
      <c r="I189"/>
      <c r="J189"/>
      <c r="K189"/>
    </row>
    <row r="190" spans="3:13" s="187" customFormat="1" ht="20.25" customHeight="1">
      <c r="C190" s="1789"/>
      <c r="D190" s="1789"/>
      <c r="E190" s="1789"/>
      <c r="F190" s="1420" t="str">
        <f>IF(Indice_index!$Z$1=1,"Cativos iniciais","Initial frozen allocations")</f>
        <v>Cativos iniciais</v>
      </c>
      <c r="G190" s="1421" t="str">
        <f>IF(Indice_index!$Z$1=1,"Cativos atuais","Current frozen allocations")</f>
        <v>Cativos atuais</v>
      </c>
      <c r="H190" s="185"/>
      <c r="I190"/>
      <c r="J190"/>
      <c r="K190"/>
    </row>
    <row r="191" spans="3:13">
      <c r="C191" s="1790"/>
      <c r="D191" s="1790"/>
      <c r="E191" s="1790"/>
      <c r="F191" s="1451" t="s">
        <v>65</v>
      </c>
      <c r="G191" s="1452" t="s">
        <v>64</v>
      </c>
      <c r="L191" s="187"/>
    </row>
    <row r="192" spans="3:13" ht="15" customHeight="1">
      <c r="C192" s="1453" t="str">
        <f>+C8</f>
        <v>EGE</v>
      </c>
      <c r="D192" s="1453" t="str">
        <f>+D8</f>
        <v>P001 - Órgãos de Soberania</v>
      </c>
      <c r="E192" s="1454" t="str">
        <f>IF(Indice_index!$Z$1=1,"Reserva Orçamental","Reserve")</f>
        <v>Reserva Orçamental</v>
      </c>
      <c r="F192" s="1455">
        <v>4.8827179999999997</v>
      </c>
      <c r="G192" s="1455">
        <v>4.4634119999999999</v>
      </c>
    </row>
    <row r="193" spans="3:12" ht="15" customHeight="1">
      <c r="C193" s="1456" t="str">
        <f>+C14</f>
        <v>PCM</v>
      </c>
      <c r="D193" s="1456" t="str">
        <f>+D14</f>
        <v>P002 - Governação</v>
      </c>
      <c r="E193" s="1457" t="str">
        <f>IF(Indice_index!$Z$1=1,"Reserva Orçamental","Reserve")</f>
        <v>Reserva Orçamental</v>
      </c>
      <c r="F193" s="1458">
        <v>2.6672769999999999</v>
      </c>
      <c r="G193" s="1458">
        <v>2.1638199999999999</v>
      </c>
    </row>
    <row r="194" spans="3:12" ht="15" customHeight="1">
      <c r="C194" s="1456" t="str">
        <f>+C22</f>
        <v>MEAP</v>
      </c>
      <c r="D194" s="1456" t="str">
        <f>+D22</f>
        <v>P002 - Governação</v>
      </c>
      <c r="E194" s="1457" t="str">
        <f>IF(Indice_index!$Z$1=1,"Reserva Orçamental","Reserve")</f>
        <v>Reserva Orçamental</v>
      </c>
      <c r="F194" s="1458">
        <v>0.82151399999999997</v>
      </c>
      <c r="G194" s="1458">
        <v>0.66095300000000001</v>
      </c>
    </row>
    <row r="195" spans="3:12" ht="15" customHeight="1">
      <c r="C195" s="1456" t="str">
        <f>+C29</f>
        <v>MP</v>
      </c>
      <c r="D195" s="1456" t="str">
        <f>+D29</f>
        <v>P002 - Governação</v>
      </c>
      <c r="E195" s="1457" t="str">
        <f>IF(Indice_index!$Z$1=1,"Reserva Orçamental","Reserve")</f>
        <v>Reserva Orçamental</v>
      </c>
      <c r="F195" s="1458">
        <v>0.65252399999999999</v>
      </c>
      <c r="G195" s="1458">
        <v>0.65252399999999999</v>
      </c>
    </row>
    <row r="196" spans="3:12" ht="15" customHeight="1">
      <c r="C196" s="1456" t="str">
        <f>+C31</f>
        <v>MCT</v>
      </c>
      <c r="D196" s="1456" t="str">
        <f>+D31</f>
        <v>P002 - Governação</v>
      </c>
      <c r="E196" s="1457" t="str">
        <f>IF(Indice_index!$Z$1=1,"Reserva Orçamental","Reserve")</f>
        <v>Reserva Orçamental</v>
      </c>
      <c r="F196" s="1458">
        <v>0.42214400000000002</v>
      </c>
      <c r="G196" s="1458">
        <v>0</v>
      </c>
    </row>
    <row r="197" spans="3:12" ht="15" customHeight="1">
      <c r="C197" s="1456" t="str">
        <f>C38</f>
        <v>METD</v>
      </c>
      <c r="D197" s="1456" t="str">
        <f>D38</f>
        <v>P003 - Economia</v>
      </c>
      <c r="E197" s="1457" t="str">
        <f>IF(Indice_index!$Z$1=1,"Reserva Orçamental","Reserve")</f>
        <v>Reserva Orçamental</v>
      </c>
      <c r="F197" s="1458">
        <v>14.030802</v>
      </c>
      <c r="G197" s="1458">
        <v>13.930802</v>
      </c>
    </row>
    <row r="198" spans="3:12" ht="15" customHeight="1">
      <c r="C198" s="1456" t="str">
        <f>+C49</f>
        <v>MNE</v>
      </c>
      <c r="D198" s="1456" t="str">
        <f>+D49</f>
        <v>P004 - Representação Externa</v>
      </c>
      <c r="E198" s="1457" t="str">
        <f>IF(Indice_index!$Z$1=1,"Reserva Orçamental","Reserve")</f>
        <v>Reserva Orçamental</v>
      </c>
      <c r="F198" s="1458">
        <v>8.2154830000000008</v>
      </c>
      <c r="G198" s="1458">
        <v>8.2154830000000008</v>
      </c>
    </row>
    <row r="199" spans="3:12" ht="15" customHeight="1">
      <c r="C199" s="1456" t="str">
        <f>+C55</f>
        <v>MF</v>
      </c>
      <c r="D199" s="1456" t="str">
        <f>+D55</f>
        <v>P005 - Finanças</v>
      </c>
      <c r="E199" s="1457" t="str">
        <f>IF(Indice_index!$Z$1=1,"Reserva Orçamental","Reserve")</f>
        <v>Reserva Orçamental</v>
      </c>
      <c r="F199" s="1458">
        <v>33.319355000000002</v>
      </c>
      <c r="G199" s="1458">
        <v>33.319355000000002</v>
      </c>
    </row>
    <row r="200" spans="3:12" ht="15" customHeight="1">
      <c r="C200" s="1456" t="str">
        <f>+C62</f>
        <v>MDN</v>
      </c>
      <c r="D200" s="1456" t="str">
        <f>+D62</f>
        <v>P007 - Defesa</v>
      </c>
      <c r="E200" s="1457" t="str">
        <f>IF(Indice_index!$Z$1=1,"Reserva Orçamental","Reserve")</f>
        <v>Reserva Orçamental</v>
      </c>
      <c r="F200" s="1458">
        <v>39.862482999999997</v>
      </c>
      <c r="G200" s="1458">
        <v>32.264187999999997</v>
      </c>
    </row>
    <row r="201" spans="3:12" ht="15" customHeight="1">
      <c r="C201" s="1456" t="str">
        <f>C76</f>
        <v>MAI</v>
      </c>
      <c r="D201" s="1456" t="str">
        <f>D76</f>
        <v>P008 - Segurança Interna</v>
      </c>
      <c r="E201" s="1457" t="str">
        <f>IF(Indice_index!$Z$1=1,"Reserva Orçamental","Reserve")</f>
        <v>Reserva Orçamental</v>
      </c>
      <c r="F201" s="1458">
        <v>45.669536999999998</v>
      </c>
      <c r="G201" s="1458">
        <v>45.669536999999998</v>
      </c>
    </row>
    <row r="202" spans="3:12" ht="15" customHeight="1">
      <c r="C202" s="1456" t="str">
        <f>+C92</f>
        <v>MJ</v>
      </c>
      <c r="D202" s="1456" t="str">
        <f>+D92</f>
        <v>P009 - Justiça</v>
      </c>
      <c r="E202" s="1457" t="str">
        <f>IF(Indice_index!$Z$1=1,"Reserva Orçamental","Reserve")</f>
        <v>Reserva Orçamental</v>
      </c>
      <c r="F202" s="1458">
        <v>34.953803000000001</v>
      </c>
      <c r="G202" s="1458">
        <v>34.947428000000002</v>
      </c>
    </row>
    <row r="203" spans="3:12" ht="15" customHeight="1">
      <c r="C203" s="1456" t="str">
        <f>+C103</f>
        <v>MC</v>
      </c>
      <c r="D203" s="1456" t="str">
        <f>+D103</f>
        <v>P012 - Cultura</v>
      </c>
      <c r="E203" s="1457" t="str">
        <f>IF(Indice_index!$Z$1=1,"Reserva Orçamental","Reserve")</f>
        <v>Reserva Orçamental</v>
      </c>
      <c r="F203" s="1458">
        <v>6.4839869999999999</v>
      </c>
      <c r="G203" s="1458">
        <v>5.1021939999999999</v>
      </c>
    </row>
    <row r="204" spans="3:12" ht="15" customHeight="1">
      <c r="C204" s="1456" t="str">
        <f>+C109</f>
        <v>MCTES</v>
      </c>
      <c r="D204" s="1456" t="str">
        <f>+D109</f>
        <v>P013 - Ciência, Tecnologia e Ens. Superior</v>
      </c>
      <c r="E204" s="1457" t="str">
        <f>IF(Indice_index!$Z$1=1,"Reserva Orçamental","Reserve")</f>
        <v>Reserva Orçamental</v>
      </c>
      <c r="F204" s="1458">
        <v>10.508226000000001</v>
      </c>
      <c r="G204" s="1458">
        <v>1.6311586999999992</v>
      </c>
    </row>
    <row r="205" spans="3:12" s="420" customFormat="1" ht="15" customHeight="1">
      <c r="C205" s="1459" t="str">
        <f>+C119</f>
        <v>MEd</v>
      </c>
      <c r="D205" s="1459" t="str">
        <f>+D119</f>
        <v>P014 - Ensino Básico e Secundário e Adm. Escolar</v>
      </c>
      <c r="E205" s="1460" t="str">
        <f>IF(Indice_index!$Z$1=1,"Reserva Orçamental","Reserve")</f>
        <v>Reserva Orçamental</v>
      </c>
      <c r="F205" s="1458">
        <v>3.9356040000000001</v>
      </c>
      <c r="G205" s="1458">
        <v>3.9356040000000001</v>
      </c>
      <c r="I205"/>
      <c r="J205"/>
      <c r="K205"/>
      <c r="L205" s="185"/>
    </row>
    <row r="206" spans="3:12" ht="15" customHeight="1">
      <c r="C206" s="1456" t="str">
        <f>+C128</f>
        <v>MTSSS</v>
      </c>
      <c r="D206" s="1456" t="str">
        <f>+D128</f>
        <v>P015 - Trabalho, Solidariedade e Seg. Social</v>
      </c>
      <c r="E206" s="1457" t="str">
        <f>IF(Indice_index!$Z$1=1,"Reserva Orçamental","Reserve")</f>
        <v>Reserva Orçamental</v>
      </c>
      <c r="F206" s="1458">
        <v>25.010014000000002</v>
      </c>
      <c r="G206" s="1458">
        <v>25.010014000000002</v>
      </c>
      <c r="L206" s="420"/>
    </row>
    <row r="207" spans="3:12" ht="15" customHeight="1">
      <c r="C207" s="1456" t="str">
        <f>C140</f>
        <v>MS</v>
      </c>
      <c r="D207" s="1456" t="str">
        <f>D140</f>
        <v>P016 - Saúde</v>
      </c>
      <c r="E207" s="1457" t="str">
        <f>IF(Indice_index!$Z$1=1,"Reserva Orçamental","Reserve")</f>
        <v>Reserva Orçamental</v>
      </c>
      <c r="F207" s="1458">
        <v>1.698588</v>
      </c>
      <c r="G207" s="1458">
        <v>1.698588</v>
      </c>
    </row>
    <row r="208" spans="3:12" ht="15" customHeight="1">
      <c r="C208" s="1456" t="str">
        <f>C145</f>
        <v>MAAC</v>
      </c>
      <c r="D208" s="1456" t="str">
        <f>D145</f>
        <v>P017 - Ambiente e Ação Climática</v>
      </c>
      <c r="E208" s="1457" t="str">
        <f>IF(Indice_index!$Z$1=1,"Reserva Orçamental","Reserve")</f>
        <v>Reserva Orçamental</v>
      </c>
      <c r="F208" s="1458">
        <v>19.628831999999999</v>
      </c>
      <c r="G208" s="1458">
        <v>19.628831999999999</v>
      </c>
    </row>
    <row r="209" spans="3:12" ht="15" customHeight="1">
      <c r="C209" s="1456" t="str">
        <f>C159</f>
        <v>MIH</v>
      </c>
      <c r="D209" s="1456" t="str">
        <f>D159</f>
        <v>P018 - Infraestruturas e Habitação</v>
      </c>
      <c r="E209" s="1457" t="str">
        <f>IF(Indice_index!$Z$1=1,"Reserva Orçamental","Reserve")</f>
        <v>Reserva Orçamental</v>
      </c>
      <c r="F209" s="1458">
        <v>57.886015999999998</v>
      </c>
      <c r="G209" s="1458">
        <v>57.052405</v>
      </c>
    </row>
    <row r="210" spans="3:12" ht="15" customHeight="1">
      <c r="C210" s="1456" t="str">
        <f>C170</f>
        <v>MA</v>
      </c>
      <c r="D210" s="1456" t="str">
        <f>D170</f>
        <v>P020 - Agricultura</v>
      </c>
      <c r="E210" s="1457" t="str">
        <f>IF(Indice_index!$Z$1=1,"Reserva Orçamental","Reserve")</f>
        <v>Reserva Orçamental</v>
      </c>
      <c r="F210" s="1458">
        <v>9.7119060000000008</v>
      </c>
      <c r="G210" s="1458">
        <v>9.5990529999999996</v>
      </c>
    </row>
    <row r="211" spans="3:12" ht="15" customHeight="1" thickBot="1">
      <c r="C211" s="1461" t="str">
        <f>C177</f>
        <v>MM</v>
      </c>
      <c r="D211" s="1461" t="str">
        <f>D177</f>
        <v>P021 - Mar</v>
      </c>
      <c r="E211" s="1462" t="str">
        <f>IF(Indice_index!$Z$1=1,"Reserva Orçamental","Reserve")</f>
        <v>Reserva Orçamental</v>
      </c>
      <c r="F211" s="1463">
        <v>1.299566</v>
      </c>
      <c r="G211" s="1463">
        <v>0.89183100000000004</v>
      </c>
    </row>
    <row r="212" spans="3:12" ht="15" customHeight="1" thickBot="1">
      <c r="C212" s="1786" t="s">
        <v>63</v>
      </c>
      <c r="D212" s="1787"/>
      <c r="E212" s="1787"/>
      <c r="F212" s="1464">
        <f>SUM(F192:F211)</f>
        <v>321.66037900000003</v>
      </c>
      <c r="G212" s="1465">
        <f t="shared" ref="G212" si="3">SUM(G192:G211)</f>
        <v>300.83718170000003</v>
      </c>
    </row>
    <row r="213" spans="3:12" ht="4.5" customHeight="1" thickBot="1">
      <c r="C213" s="1466"/>
      <c r="D213" s="1467"/>
      <c r="E213" s="1467"/>
      <c r="F213" s="1468"/>
      <c r="G213" s="1469"/>
    </row>
    <row r="214" spans="3:12" ht="15" customHeight="1" thickBot="1">
      <c r="C214" s="1786" t="str">
        <f>IF(Indice_index!$Z$1=1,"TOTAL Cativos + Reserva 2022","TOTAL Frozen allocations + Reserve 2022")</f>
        <v>TOTAL Cativos + Reserva 2022</v>
      </c>
      <c r="D214" s="1787"/>
      <c r="E214" s="1787"/>
      <c r="F214" s="1464">
        <f>F212+F184</f>
        <v>1012.6400430000001</v>
      </c>
      <c r="G214" s="1465">
        <f>G212+G184</f>
        <v>888.05842736</v>
      </c>
      <c r="I214" s="525"/>
      <c r="K214" s="624"/>
      <c r="L214" s="624"/>
    </row>
    <row r="215" spans="3:12" ht="15" customHeight="1" thickBot="1">
      <c r="C215" s="1470"/>
      <c r="D215" s="1470"/>
      <c r="E215" s="1470"/>
      <c r="F215" s="1467"/>
      <c r="G215" s="1471"/>
    </row>
    <row r="216" spans="3:12" ht="15" customHeight="1" thickBot="1">
      <c r="C216" s="1786" t="str">
        <f>IF(Indice_index!$Z$1=1,"Por memória Total Cativos + Reserva 2021","Memo item: Total Frozen allocations + Reserve 2021")</f>
        <v>Por memória Total Cativos + Reserva 2021</v>
      </c>
      <c r="D216" s="1787"/>
      <c r="E216" s="1787"/>
      <c r="F216" s="1449">
        <v>1014.713043</v>
      </c>
      <c r="G216" s="1472">
        <v>831.37656875000016</v>
      </c>
    </row>
    <row r="217" spans="3:12" ht="4.5" customHeight="1">
      <c r="C217" s="1466"/>
      <c r="D217" s="1467"/>
      <c r="E217" s="1467"/>
      <c r="F217" s="1467"/>
      <c r="G217" s="1471"/>
    </row>
    <row r="218" spans="3:12" ht="15" customHeight="1">
      <c r="C218" s="863" t="str">
        <f>IF(Indice_index!$Z$1=1,"Notas:","Notes:")</f>
        <v>Notas:</v>
      </c>
      <c r="D218" s="1473"/>
      <c r="E218" s="1473"/>
      <c r="F218" s="1473"/>
      <c r="G218" s="452"/>
    </row>
    <row r="219" spans="3:12" ht="36" customHeight="1">
      <c r="C219" s="1796" t="str">
        <f>IF(Indice_index!$Z$1=1,_xlfn.CONCAT("- Decorrente do regime transitório de execução orçamental, definido na Lei de Enquadramento Orçamental (aprovada pela Lei n.º 151/2015, de 11 de setembro, na sua atual redação)"," e regulamentado pelo Decreto-Lei n.º 126-C/2021, de 31 de dezembro, a informação que se divulga sobre a utilização condicionada das dotações orçamentais tem fundamento na Lei do Orçamento do Estado para 2021 (Lei n.º 75-B/2020, de 31 de dezembro),"," a qual será objeto de revisão para os seus valores definitivos após a entrada em vigor da Lei do Orçamento do Estado para 2022."),_xlfn.CONCAT("- Arising from the transitional regime of budget execution, defined in the Budgetary Framework Law (approved by Law No. 151/2015, of 11 September, in its current wording)"," and regulated by Decree-Law No. 126-C/2021, of 31 December , the information disclosed on the conditional use of budget appropriations is based on the 2021 State Budget Law (Law nº 75-B/2020, of 31 December),"," which will be revised to its definitive values after the entry into force of the 2022 State Budget Law."))</f>
        <v>- Decorrente do regime transitório de execução orçamental, definido na Lei de Enquadramento Orçamental (aprovada pela Lei n.º 151/2015, de 11 de setembro, na sua atual redação) e regulamentado pelo Decreto-Lei n.º 126-C/2021, de 31 de dezembro, a informação que se divulga sobre a utilização condicionada das dotações orçamentais tem fundamento na Lei do Orçamento do Estado para 2021 (Lei n.º 75-B/2020, de 31 de dezembro), a qual será objeto de revisão para os seus valores definitivos após a entrada em vigor da Lei do Orçamento do Estado para 2022.</v>
      </c>
      <c r="D219" s="1796"/>
      <c r="E219" s="1796"/>
      <c r="F219" s="1796"/>
      <c r="G219" s="1794"/>
    </row>
    <row r="220" spans="3:12" ht="15" customHeight="1">
      <c r="C220" s="1795" t="str">
        <f>IF(Indice_index!$Z$1=1,"- Valores não consolidados. Apenas expurgados dos cativos que incidem sobre a transferência do Orçamento do Estado destinada aos Serviços e Fundos Autónomos.","- Non-consolidated data: frozen allocations that affect State Budget transfers for Autonomus Services and Funds are removed.")</f>
        <v>- Valores não consolidados. Apenas expurgados dos cativos que incidem sobre a transferência do Orçamento do Estado destinada aos Serviços e Fundos Autónomos.</v>
      </c>
      <c r="D220" s="1795"/>
      <c r="E220" s="1795"/>
      <c r="F220" s="1795"/>
      <c r="G220" s="1794"/>
      <c r="I220" s="524"/>
    </row>
    <row r="221" spans="3:12" ht="15" customHeight="1">
      <c r="C221" s="1793" t="str">
        <f>IF(Indice_index!$Z$1=1,"- Face à natureza da dotação relativa à Reserva, que não tem uma finalidade pré-estabelecida, a mesma foi expurgada das Medidas.","- Due to the particular nature of the Reserve, with no pre-established purpose, it has been removed from the Measures identified above.")</f>
        <v>- Face à natureza da dotação relativa à Reserva, que não tem uma finalidade pré-estabelecida, a mesma foi expurgada das Medidas.</v>
      </c>
      <c r="D221" s="1794"/>
      <c r="E221" s="1794"/>
      <c r="F221" s="1794"/>
      <c r="G221" s="1794"/>
    </row>
    <row r="222" spans="3:12" ht="4.5" customHeight="1">
      <c r="C222" s="1797" t="str">
        <f>IF(Indice_index!$Z$1=1,"Fonte: Direção-Geral do Orçamento","Source: Budget General Directorate")</f>
        <v>Fonte: Direção-Geral do Orçamento</v>
      </c>
      <c r="D222" s="1794"/>
      <c r="E222" s="1794"/>
      <c r="F222" s="1794"/>
      <c r="G222" s="1794"/>
      <c r="L222" s="247"/>
    </row>
    <row r="223" spans="3:12" ht="15" customHeight="1">
      <c r="C223" s="1794"/>
      <c r="D223" s="1794"/>
      <c r="E223" s="1794"/>
      <c r="F223" s="1794"/>
      <c r="G223" s="1794"/>
    </row>
    <row r="224" spans="3:12">
      <c r="F224" s="247"/>
      <c r="G224" s="452"/>
    </row>
    <row r="225" spans="3:7">
      <c r="C225" s="625"/>
      <c r="G225" s="452"/>
    </row>
    <row r="226" spans="3:7">
      <c r="G226" s="452"/>
    </row>
    <row r="227" spans="3:7">
      <c r="G227" s="452"/>
    </row>
    <row r="228" spans="3:7">
      <c r="C228" s="415"/>
      <c r="G228" s="452"/>
    </row>
    <row r="229" spans="3:7">
      <c r="G229" s="452"/>
    </row>
    <row r="230" spans="3:7">
      <c r="C230" s="247"/>
      <c r="G230" s="452"/>
    </row>
    <row r="231" spans="3:7">
      <c r="G231" s="453"/>
    </row>
    <row r="232" spans="3:7">
      <c r="G232" s="453"/>
    </row>
    <row r="233" spans="3:7">
      <c r="G233" s="453"/>
    </row>
  </sheetData>
  <mergeCells count="17">
    <mergeCell ref="C221:G221"/>
    <mergeCell ref="C220:G220"/>
    <mergeCell ref="C219:G219"/>
    <mergeCell ref="C222:G223"/>
    <mergeCell ref="C216:E216"/>
    <mergeCell ref="C214:E214"/>
    <mergeCell ref="C5:C7"/>
    <mergeCell ref="D5:D7"/>
    <mergeCell ref="E5:E7"/>
    <mergeCell ref="C184:E184"/>
    <mergeCell ref="C186:F186"/>
    <mergeCell ref="F5:G5"/>
    <mergeCell ref="F189:G189"/>
    <mergeCell ref="C212:E212"/>
    <mergeCell ref="C189:C191"/>
    <mergeCell ref="D189:D191"/>
    <mergeCell ref="E189:E191"/>
  </mergeCells>
  <printOptions horizontalCentered="1"/>
  <pageMargins left="0.70866141732283472" right="0.70866141732283472" top="0.74803149606299213" bottom="0.74803149606299213" header="0.74803149606299213" footer="0.35433070866141736"/>
  <pageSetup paperSize="9" scale="56" fitToHeight="3" orientation="portrait" r:id="rId1"/>
  <headerFooter differentOddEven="1">
    <oddFooter>&amp;R&amp;G</oddFooter>
    <evenFooter>&amp;L&amp;G</evenFooter>
  </headerFooter>
  <rowBreaks count="2" manualBreakCount="2">
    <brk id="90" max="6" man="1"/>
    <brk id="168" max="6" man="1"/>
  </rowBreaks>
  <ignoredErrors>
    <ignoredError sqref="F7:G7 F191:G191" numberStoredAsText="1"/>
    <ignoredError sqref="F183:F184 F75:F182 G183:G184 G75:G182" formulaRange="1"/>
    <ignoredError sqref="E30 E60 E10" formula="1"/>
  </ignoredErrors>
  <drawing r:id="rId2"/>
  <legacyDrawingHF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2CBCD-19CF-484E-B100-BECC95C65E46}">
  <sheetPr>
    <pageSetUpPr fitToPage="1"/>
  </sheetPr>
  <dimension ref="B1:L180"/>
  <sheetViews>
    <sheetView showGridLines="0" zoomScaleNormal="100" workbookViewId="0">
      <selection activeCell="B2" sqref="B2"/>
    </sheetView>
  </sheetViews>
  <sheetFormatPr defaultColWidth="9.140625" defaultRowHeight="15"/>
  <cols>
    <col min="1" max="1" width="2.42578125" style="185" customWidth="1"/>
    <col min="2" max="2" width="3.5703125" style="185" customWidth="1"/>
    <col min="3" max="3" width="9.85546875" style="185" customWidth="1"/>
    <col min="4" max="4" width="33.140625" style="185" customWidth="1"/>
    <col min="5" max="5" width="70.140625" style="185" bestFit="1" customWidth="1"/>
    <col min="6" max="6" width="12.5703125" style="185" customWidth="1"/>
    <col min="7" max="7" width="11.5703125" style="185" customWidth="1"/>
    <col min="8" max="8" width="13.42578125" bestFit="1" customWidth="1"/>
    <col min="9" max="9" width="10.42578125" bestFit="1" customWidth="1"/>
    <col min="11" max="16384" width="9.140625" style="185"/>
  </cols>
  <sheetData>
    <row r="1" spans="2:12" s="50" customFormat="1" ht="15" customHeight="1">
      <c r="B1" s="49"/>
      <c r="H1"/>
      <c r="I1"/>
      <c r="J1"/>
      <c r="K1"/>
    </row>
    <row r="2" spans="2:12" ht="24" customHeight="1">
      <c r="B2" s="8"/>
      <c r="C2" s="51" t="str">
        <f>IF(Indice_index!$Z$1=1,"23 - Utilização condicionada das dotações orçamentais do OE 2022","23 - Frozen allocations from the 2022 State Budget")</f>
        <v>23 - Utilização condicionada das dotações orçamentais do OE 2022</v>
      </c>
      <c r="D2" s="51"/>
      <c r="E2" s="51"/>
      <c r="F2" s="51"/>
      <c r="K2"/>
    </row>
    <row r="3" spans="2:12" s="187" customFormat="1" ht="30" customHeight="1">
      <c r="B3" s="184"/>
      <c r="C3" s="186"/>
      <c r="D3" s="186"/>
      <c r="H3"/>
      <c r="I3"/>
      <c r="J3"/>
      <c r="K3"/>
    </row>
    <row r="4" spans="2:12" s="187" customFormat="1" ht="15" customHeight="1">
      <c r="B4" s="184"/>
      <c r="C4" s="1416" t="str">
        <f>IF(Indice_index!$Z$1=1,"Período: junho","Period: June")</f>
        <v>Período: junho</v>
      </c>
      <c r="D4" s="1417"/>
      <c r="E4" s="1418"/>
      <c r="F4" s="1419" t="str">
        <f>IF(Indice_index!$Z$1=1,"€ Milhões","€ Millions")</f>
        <v>€ Milhões</v>
      </c>
      <c r="H4"/>
      <c r="I4"/>
      <c r="J4"/>
      <c r="K4"/>
    </row>
    <row r="5" spans="2:12" s="187" customFormat="1">
      <c r="C5" s="1788" t="str">
        <f>IF(Indice_index!$Z$1=1,"Ministério","Ministry")</f>
        <v>Ministério</v>
      </c>
      <c r="D5" s="1788" t="str">
        <f>IF(Indice_index!$Z$1=1,"Programa Orçamental","Budgetary program")</f>
        <v>Programa Orçamental</v>
      </c>
      <c r="E5" s="1788" t="str">
        <f>IF(Indice_index!$Z$1=1,"Medida","Measure")</f>
        <v>Medida</v>
      </c>
      <c r="F5" s="1474">
        <v>2022</v>
      </c>
      <c r="H5"/>
      <c r="I5"/>
      <c r="J5"/>
      <c r="K5"/>
    </row>
    <row r="6" spans="2:12" s="187" customFormat="1" ht="30" customHeight="1">
      <c r="C6" s="1789"/>
      <c r="D6" s="1789"/>
      <c r="E6" s="1789"/>
      <c r="F6" s="1420" t="str">
        <f>IF(Indice_index!$Z$1=1,"Cativos iniciais","Initial frozen allocations")</f>
        <v>Cativos iniciais</v>
      </c>
      <c r="H6"/>
      <c r="I6"/>
      <c r="J6"/>
      <c r="K6"/>
    </row>
    <row r="7" spans="2:12" s="187" customFormat="1">
      <c r="C7" s="1790"/>
      <c r="D7" s="1790"/>
      <c r="E7" s="1790"/>
      <c r="F7" s="1422" t="s">
        <v>65</v>
      </c>
      <c r="H7"/>
      <c r="I7"/>
      <c r="J7"/>
      <c r="K7"/>
    </row>
    <row r="8" spans="2:12" s="187" customFormat="1" ht="15" customHeight="1">
      <c r="C8" s="1424" t="str">
        <f>IF(Indice_index!$Z$1=1,"EGE","GCS")</f>
        <v>EGE</v>
      </c>
      <c r="D8" s="1424" t="str">
        <f>IF(Indice_index!$Z$1=1,"P001 - Órgãos de Soberania","P001 - Sovereignty Entities")</f>
        <v>P001 - Órgãos de Soberania</v>
      </c>
      <c r="E8" s="1425" t="str">
        <f>IF(Indice_index!$Z$1=1,"001 - Serv. Gerais da A.P. - Administração geral","001 - General public services - General Administration")</f>
        <v>001 - Serv. Gerais da A.P. - Administração geral</v>
      </c>
      <c r="F8" s="1426">
        <v>9.0237379999999998</v>
      </c>
      <c r="G8" s="585"/>
      <c r="H8"/>
      <c r="I8"/>
      <c r="J8"/>
      <c r="K8" s="443"/>
      <c r="L8" s="443"/>
    </row>
    <row r="9" spans="2:12" s="187" customFormat="1" ht="15" customHeight="1">
      <c r="C9" s="1424"/>
      <c r="D9" s="1424"/>
      <c r="E9" s="1425" t="str">
        <f>IF(Indice_index!$Z$1=1,"012 - Segurança e ordem públicas - Sistema judiciário","012 - Public safety and order - Judicial system")</f>
        <v>012 - Segurança e ordem públicas - Sistema judiciário</v>
      </c>
      <c r="F9" s="1427">
        <v>2.5152519999999998</v>
      </c>
      <c r="G9" s="585"/>
      <c r="H9"/>
      <c r="I9"/>
      <c r="J9"/>
      <c r="K9" s="443"/>
      <c r="L9" s="443"/>
    </row>
    <row r="10" spans="2:12" s="187" customFormat="1" ht="15" customHeight="1">
      <c r="C10" s="1424"/>
      <c r="D10" s="1428"/>
      <c r="E10" s="1425" t="str">
        <f>IF(Indice_index!$Z$1=1,"038 - Serviços culturais, recreativos e religiosos - Comunicação social","038 - Cultural, recreational and religious services - Media")</f>
        <v>038 - Serviços culturais, recreativos e religiosos - Comunicação social</v>
      </c>
      <c r="F10" s="1427">
        <v>0.31443700000000002</v>
      </c>
      <c r="G10" s="585"/>
      <c r="H10"/>
      <c r="I10"/>
      <c r="J10"/>
      <c r="K10" s="443"/>
      <c r="L10" s="443"/>
    </row>
    <row r="11" spans="2:12" s="187" customFormat="1" ht="15" customHeight="1">
      <c r="C11" s="1428"/>
      <c r="D11" s="1429"/>
      <c r="E11" s="1430" t="str">
        <f>D8</f>
        <v>P001 - Órgãos de Soberania</v>
      </c>
      <c r="F11" s="1431">
        <f>SUM(F8:F10)</f>
        <v>11.853427</v>
      </c>
      <c r="G11" s="585"/>
      <c r="H11"/>
      <c r="I11"/>
      <c r="J11"/>
      <c r="K11" s="443"/>
      <c r="L11" s="443"/>
    </row>
    <row r="12" spans="2:12" s="187" customFormat="1" ht="15" customHeight="1">
      <c r="C12" s="1424" t="str">
        <f>IF(Indice_index!$Z$1=1,"PCM","PRP")</f>
        <v>PCM</v>
      </c>
      <c r="D12" s="1424" t="str">
        <f>IF(Indice_index!$Z$1=1,"P002 - Governação","P002 - Government")</f>
        <v>P002 - Governação</v>
      </c>
      <c r="E12" s="1425" t="str">
        <f>IF(Indice_index!$Z$1=1,"001 - Serv. Gerais da A.P. - Administração geral","001 - General public services - General Administration")</f>
        <v>001 - Serv. Gerais da A.P. - Administração geral</v>
      </c>
      <c r="F12" s="1426">
        <v>10.137259</v>
      </c>
      <c r="G12" s="585"/>
      <c r="H12"/>
      <c r="I12"/>
      <c r="J12"/>
      <c r="K12" s="443"/>
      <c r="L12" s="443"/>
    </row>
    <row r="13" spans="2:12" s="187" customFormat="1" ht="15" customHeight="1">
      <c r="C13" s="1424"/>
      <c r="D13" s="1424"/>
      <c r="E13" s="1425" t="str">
        <f>IF(Indice_index!$Z$1=1,"011 - Segurança e ordem públicas - Forças de segurança","011 - Public safety and order - Security forces")</f>
        <v>011 - Segurança e ordem públicas - Forças de segurança</v>
      </c>
      <c r="F13" s="1427">
        <v>1.2654069999999999</v>
      </c>
      <c r="G13" s="585"/>
      <c r="H13"/>
      <c r="I13"/>
      <c r="J13"/>
      <c r="K13" s="443"/>
      <c r="L13" s="443"/>
    </row>
    <row r="14" spans="2:12" s="187" customFormat="1" ht="15" customHeight="1">
      <c r="C14" s="1424"/>
      <c r="D14" s="1424"/>
      <c r="E14" s="1425" t="str">
        <f>IF(Indice_index!$Z$1=1,"015 - Educação - Administração e regulamentação","015 - Education - Administration and regulations")</f>
        <v>015 - Educação - Administração e regulamentação</v>
      </c>
      <c r="F14" s="1427">
        <v>3.8328000000000001E-2</v>
      </c>
      <c r="G14" s="585"/>
      <c r="H14"/>
      <c r="I14"/>
      <c r="J14"/>
      <c r="K14" s="443"/>
      <c r="L14" s="443"/>
    </row>
    <row r="15" spans="2:12" s="187" customFormat="1" ht="15" customHeight="1">
      <c r="C15" s="1424"/>
      <c r="D15" s="1424"/>
      <c r="E15" s="1425" t="str">
        <f>IF(Indice_index!$Z$1=1,"024 - Segurança e acção social - Administração e regulamentação","024 - Social Security and Action - Administration and regulations")</f>
        <v>024 - Segurança e acção social - Administração e regulamentação</v>
      </c>
      <c r="F15" s="1427">
        <v>2.5396999999999999E-2</v>
      </c>
      <c r="G15" s="585"/>
      <c r="H15"/>
      <c r="I15"/>
      <c r="J15"/>
      <c r="K15" s="443"/>
      <c r="L15" s="443"/>
    </row>
    <row r="16" spans="2:12" s="187" customFormat="1" ht="15" customHeight="1">
      <c r="C16" s="1424"/>
      <c r="D16" s="1424"/>
      <c r="E16" s="1425" t="str">
        <f>IF(Indice_index!$Z$1=1,"027 - Segurança e acção social - Acção social","027 - Social Security and Action - Social Action")</f>
        <v>027 - Segurança e acção social - Acção social</v>
      </c>
      <c r="F16" s="1427">
        <v>4.1508580000000004</v>
      </c>
      <c r="G16" s="585"/>
      <c r="H16"/>
      <c r="I16"/>
      <c r="J16"/>
      <c r="K16" s="443"/>
      <c r="L16" s="443"/>
    </row>
    <row r="17" spans="3:12" s="187" customFormat="1" ht="15" customHeight="1">
      <c r="C17" s="1424"/>
      <c r="D17" s="1424"/>
      <c r="E17" s="1425" t="str">
        <f>IF(Indice_index!$Z$1=1,"037 - Serviços Culturais, Recreativos E Religiosos - Desporto, Recreio e Lazer","037 - Cultural, recreational and religious services - Sports, recreation and leisure")</f>
        <v>037 - Serviços Culturais, Recreativos E Religiosos - Desporto, Recreio e Lazer</v>
      </c>
      <c r="F17" s="1427">
        <v>0.74811000000000005</v>
      </c>
      <c r="G17" s="585"/>
      <c r="H17"/>
      <c r="I17"/>
      <c r="J17"/>
      <c r="K17" s="443"/>
      <c r="L17" s="443"/>
    </row>
    <row r="18" spans="3:12" s="187" customFormat="1" ht="15" customHeight="1">
      <c r="C18" s="1424"/>
      <c r="D18" s="1424"/>
      <c r="E18" s="1425" t="str">
        <f>IF(Indice_index!$Z$1=1,"063 - Outras funções económicas - Administração e regulamentação","063 - Outher economic functions - Administration e regulation")</f>
        <v>063 - Outras funções económicas - Administração e regulamentação</v>
      </c>
      <c r="F18" s="1427">
        <v>1.869996</v>
      </c>
      <c r="G18" s="585"/>
      <c r="H18"/>
      <c r="I18"/>
      <c r="J18"/>
      <c r="K18" s="443"/>
      <c r="L18" s="443"/>
    </row>
    <row r="19" spans="3:12" s="187" customFormat="1" ht="15" customHeight="1">
      <c r="C19" s="1424"/>
      <c r="D19" s="1424"/>
      <c r="E19" s="1425" t="str">
        <f>IF(Indice_index!$Z$1=1,"101 - Plano Nacional de Gestão Integrada de Fogos Rurais","101 - National Plan on Integrated Rural Fire Management")</f>
        <v>101 - Plano Nacional de Gestão Integrada de Fogos Rurais</v>
      </c>
      <c r="F19" s="1427">
        <v>2.6169519999999999</v>
      </c>
      <c r="G19" s="585"/>
      <c r="H19"/>
      <c r="I19"/>
      <c r="J19"/>
      <c r="K19" s="443"/>
      <c r="L19" s="443"/>
    </row>
    <row r="20" spans="3:12" s="187" customFormat="1" ht="15" customHeight="1">
      <c r="C20" s="1428"/>
      <c r="D20" s="1429"/>
      <c r="E20" s="1432" t="str">
        <f>C12</f>
        <v>PCM</v>
      </c>
      <c r="F20" s="1431">
        <f>SUM(F12:F19)</f>
        <v>20.852307000000003</v>
      </c>
      <c r="G20" s="585"/>
      <c r="H20"/>
      <c r="I20"/>
      <c r="J20"/>
      <c r="K20" s="443"/>
      <c r="L20" s="443"/>
    </row>
    <row r="21" spans="3:12" s="187" customFormat="1" ht="15" customHeight="1">
      <c r="C21" s="1428" t="str">
        <f>IF(Indice_index!$Z$1=1,"MCT","MTC")</f>
        <v>MCT</v>
      </c>
      <c r="D21" s="1424" t="str">
        <f>IF(Indice_index!$Z$1=1,"P002 - Governação","P002 - Government")</f>
        <v>P002 - Governação</v>
      </c>
      <c r="E21" s="1425" t="str">
        <f>IF(Indice_index!$Z$1=1,"001 - Serv. Gerais da A.P. - Administração geral","001 - General public services - General Administration")</f>
        <v>001 - Serv. Gerais da A.P. - Administração geral</v>
      </c>
      <c r="F21" s="1427">
        <v>0.69631500000000002</v>
      </c>
      <c r="G21" s="585"/>
      <c r="H21"/>
      <c r="I21"/>
      <c r="J21"/>
      <c r="K21" s="443"/>
      <c r="L21" s="443"/>
    </row>
    <row r="22" spans="3:12" s="187" customFormat="1" ht="15" customHeight="1">
      <c r="C22" s="1428"/>
      <c r="D22" s="1424"/>
      <c r="E22" s="1433" t="str">
        <f>IF(Indice_index!$Z$1=1,"028 - Habitação e serv. Colectivos - Administração e regulamentação","028 - Housing and Common services - Administration and regulations")</f>
        <v>028 - Habitação e serv. Colectivos - Administração e regulamentação</v>
      </c>
      <c r="F22" s="1427">
        <v>3.157985</v>
      </c>
      <c r="G22" s="585"/>
      <c r="H22"/>
      <c r="I22"/>
      <c r="J22"/>
      <c r="K22" s="443"/>
      <c r="L22" s="443"/>
    </row>
    <row r="23" spans="3:12" s="187" customFormat="1" ht="15" customHeight="1">
      <c r="C23" s="1428"/>
      <c r="D23" s="1424"/>
      <c r="E23" s="1433" t="str">
        <f>IF(Indice_index!$Z$1=1,"031 - Habitação e serv. Colectivos - Ordenamento do território","031 - Housing and Common services - Land-use")</f>
        <v>031 - Habitação e serv. Colectivos - Ordenamento do território</v>
      </c>
      <c r="F23" s="1427">
        <v>0.95013700000000001</v>
      </c>
      <c r="G23" s="585"/>
      <c r="H23"/>
      <c r="I23"/>
      <c r="J23"/>
      <c r="K23" s="443"/>
      <c r="L23" s="443"/>
    </row>
    <row r="24" spans="3:12" s="187" customFormat="1" ht="15" customHeight="1">
      <c r="C24" s="1428"/>
      <c r="D24" s="1424"/>
      <c r="E24" s="1433" t="str">
        <f>IF(Indice_index!$Z$1=1,"033 - Habitação e serv. Colectivos - Protecção do meio ambiente e conservação da natureza","033 - Housing and Common services - Protection of the Environment and conservation of nature")</f>
        <v>033 - Habitação e serv. Colectivos - Protecção do meio ambiente e conservação da natureza</v>
      </c>
      <c r="F24" s="1427">
        <v>7.8246999999999997E-2</v>
      </c>
      <c r="G24" s="585"/>
      <c r="H24"/>
      <c r="I24"/>
      <c r="J24"/>
      <c r="K24" s="443"/>
      <c r="L24" s="443"/>
    </row>
    <row r="25" spans="3:12" s="187" customFormat="1" ht="15" customHeight="1">
      <c r="C25" s="1428"/>
      <c r="D25" s="1424"/>
      <c r="E25" s="1433" t="str">
        <f>IF(Indice_index!$Z$1=1,"063 - Outras funções económicas - Administração e regulamentação","063 - Outher economic functions - Administration e regulation")</f>
        <v>063 - Outras funções económicas - Administração e regulamentação</v>
      </c>
      <c r="F25" s="1427">
        <v>0.27668999999999999</v>
      </c>
      <c r="G25" s="585"/>
      <c r="H25"/>
      <c r="I25"/>
      <c r="J25"/>
      <c r="K25" s="443"/>
      <c r="L25" s="443"/>
    </row>
    <row r="26" spans="3:12" s="187" customFormat="1" ht="15" customHeight="1">
      <c r="C26" s="1428"/>
      <c r="D26" s="1434"/>
      <c r="E26" s="1432" t="str">
        <f>C21</f>
        <v>MCT</v>
      </c>
      <c r="F26" s="1431">
        <f>SUM(F21:F25)</f>
        <v>5.1593740000000006</v>
      </c>
      <c r="G26" s="585"/>
      <c r="H26"/>
      <c r="I26"/>
      <c r="J26"/>
      <c r="K26" s="443"/>
      <c r="L26" s="443"/>
    </row>
    <row r="27" spans="3:12" s="187" customFormat="1" ht="15" customHeight="1">
      <c r="C27" s="1428"/>
      <c r="D27" s="1429"/>
      <c r="E27" s="1435" t="str">
        <f>D21</f>
        <v>P002 - Governação</v>
      </c>
      <c r="F27" s="1431">
        <f>SUM(F20,F26)</f>
        <v>26.011681000000003</v>
      </c>
      <c r="G27" s="585"/>
      <c r="H27"/>
      <c r="I27"/>
      <c r="J27"/>
      <c r="K27" s="443"/>
      <c r="L27" s="443"/>
    </row>
    <row r="28" spans="3:12" s="187" customFormat="1" ht="15" customHeight="1">
      <c r="C28" s="1428" t="str">
        <f>IF(Indice_index!$Z$1=1,"MNE","MFA")</f>
        <v>MNE</v>
      </c>
      <c r="D28" s="1424" t="str">
        <f>IF(Indice_index!$Z$1=1,"P003 - Representação Externa","P003 - Foreign Affairs")</f>
        <v>P003 - Representação Externa</v>
      </c>
      <c r="E28" s="1425" t="str">
        <f>IF(Indice_index!$Z$1=1,"002 - Serv. Gerais da A.P. - Negócios estrangeiros","002 - General public services - Foreign affairs")</f>
        <v>002 - Serv. Gerais da A.P. - Negócios estrangeiros</v>
      </c>
      <c r="F28" s="1426">
        <v>22.226942000000001</v>
      </c>
      <c r="G28" s="585"/>
      <c r="H28"/>
      <c r="I28"/>
      <c r="J28"/>
      <c r="K28" s="443"/>
      <c r="L28" s="443"/>
    </row>
    <row r="29" spans="3:12" s="187" customFormat="1" ht="15" customHeight="1">
      <c r="C29" s="1428"/>
      <c r="D29" s="1424"/>
      <c r="E29" s="1425" t="str">
        <f>IF(Indice_index!$Z$1=1,"003 - Serv. Gerais da A.P. - Cooperação económica externa","003 - General public services - External economic cooperation")</f>
        <v>003 - Serv. Gerais da A.P. - Cooperação económica externa</v>
      </c>
      <c r="F29" s="1427">
        <v>9.4118999999999994E-2</v>
      </c>
      <c r="G29" s="585"/>
      <c r="H29"/>
      <c r="I29"/>
      <c r="J29"/>
      <c r="K29" s="443"/>
      <c r="L29" s="443"/>
    </row>
    <row r="30" spans="3:12" s="187" customFormat="1" ht="15" customHeight="1">
      <c r="C30" s="1428"/>
      <c r="D30" s="1424"/>
      <c r="E30" s="1425" t="str">
        <f>IF(Indice_index!$Z$1=1,"065 - Outras funções económicas - Diversas não especificadas","065 - Other economic functions - Various unspecified")</f>
        <v>065 - Outras funções económicas - Diversas não especificadas</v>
      </c>
      <c r="F30" s="1427">
        <v>7.2282529999999996</v>
      </c>
      <c r="G30" s="585"/>
      <c r="H30"/>
      <c r="I30"/>
      <c r="J30"/>
      <c r="K30" s="443"/>
      <c r="L30" s="443"/>
    </row>
    <row r="31" spans="3:12" s="187" customFormat="1" ht="15" customHeight="1">
      <c r="C31" s="1428"/>
      <c r="D31" s="1429"/>
      <c r="E31" s="1435" t="str">
        <f>D28</f>
        <v>P003 - Representação Externa</v>
      </c>
      <c r="F31" s="1431">
        <f>SUM(F28:F30)</f>
        <v>29.549313999999999</v>
      </c>
      <c r="G31" s="585"/>
      <c r="H31"/>
      <c r="I31"/>
      <c r="J31"/>
      <c r="K31" s="443"/>
      <c r="L31" s="443"/>
    </row>
    <row r="32" spans="3:12" s="187" customFormat="1" ht="15" customHeight="1">
      <c r="C32" s="1428" t="str">
        <f>IF(Indice_index!$Z$1=1,"MDN","MND")</f>
        <v>MDN</v>
      </c>
      <c r="D32" s="1424" t="str">
        <f>IF(Indice_index!$Z$1=1,"P004 - Defesa","P004 - Defence")</f>
        <v>P004 - Defesa</v>
      </c>
      <c r="E32" s="1425" t="str">
        <f>IF(Indice_index!$Z$1=1,"004 - Serv. Gerais da A.P. - Investigação científica de carácter geral","004 - General public services - General scientific research")</f>
        <v>004 - Serv. Gerais da A.P. - Investigação científica de carácter geral</v>
      </c>
      <c r="F32" s="1426">
        <v>1.0714E-2</v>
      </c>
      <c r="G32" s="585"/>
      <c r="H32"/>
      <c r="I32"/>
      <c r="J32"/>
      <c r="K32" s="443"/>
      <c r="L32" s="443"/>
    </row>
    <row r="33" spans="3:12" s="187" customFormat="1" ht="15" customHeight="1">
      <c r="C33" s="1428"/>
      <c r="D33" s="1424"/>
      <c r="E33" s="1425" t="str">
        <f>IF(Indice_index!$Z$1=1,"005 - Defesa Nacional - Administração e regulamentação","005 - National Defence - Administration and regulations")</f>
        <v>005 - Defesa Nacional - Administração e regulamentação</v>
      </c>
      <c r="F33" s="1427">
        <v>6.2403370000000002</v>
      </c>
      <c r="G33" s="585"/>
      <c r="H33"/>
      <c r="I33"/>
      <c r="J33"/>
      <c r="K33" s="443"/>
      <c r="L33" s="443"/>
    </row>
    <row r="34" spans="3:12" s="187" customFormat="1" ht="15" customHeight="1">
      <c r="C34" s="1428"/>
      <c r="D34" s="1424"/>
      <c r="E34" s="1425" t="str">
        <f>IF(Indice_index!$Z$1=1,"006 - Defesa Nacional - Investigação","006 - National Defence - Research")</f>
        <v>006 - Defesa Nacional - Investigação</v>
      </c>
      <c r="F34" s="1427">
        <v>0.130353</v>
      </c>
      <c r="G34" s="585"/>
      <c r="H34"/>
      <c r="I34"/>
      <c r="J34"/>
      <c r="K34" s="443"/>
      <c r="L34" s="443"/>
    </row>
    <row r="35" spans="3:12" s="187" customFormat="1" ht="15" customHeight="1">
      <c r="C35" s="1428"/>
      <c r="D35" s="1424"/>
      <c r="E35" s="1425" t="str">
        <f>IF(Indice_index!$Z$1=1,"007 - Defesa Nacional - Forças Armadas","007 - National Defence - Armed Forces")</f>
        <v>007 - Defesa Nacional - Forças Armadas</v>
      </c>
      <c r="F35" s="1427">
        <v>48.405886000000002</v>
      </c>
      <c r="G35" s="585"/>
      <c r="H35"/>
      <c r="I35"/>
      <c r="J35"/>
      <c r="K35" s="443"/>
      <c r="L35" s="443"/>
    </row>
    <row r="36" spans="3:12" s="187" customFormat="1" ht="15" customHeight="1">
      <c r="C36" s="1428"/>
      <c r="D36" s="1424"/>
      <c r="E36" s="1425" t="str">
        <f>IF(Indice_index!$Z$1=1,"008 - Defesa Nacional - Cooperação militar externa","008 - National Defence - Foreign military cooperation")</f>
        <v>008 - Defesa Nacional - Cooperação militar externa</v>
      </c>
      <c r="F36" s="1427">
        <v>1.2456970000000001</v>
      </c>
      <c r="G36" s="585"/>
      <c r="H36"/>
      <c r="I36"/>
      <c r="J36"/>
      <c r="K36" s="443"/>
      <c r="L36" s="443"/>
    </row>
    <row r="37" spans="3:12" s="187" customFormat="1" ht="15" customHeight="1">
      <c r="C37" s="1428"/>
      <c r="D37" s="1424"/>
      <c r="E37" s="1425" t="str">
        <f>IF(Indice_index!$Z$1=1,"014 - Segurança e ordem públicas - Protecção civil e luta contra incêndios","014 - Public safety and order - Civil Protection and  fire fighting")</f>
        <v>014 - Segurança e ordem públicas - Protecção civil e luta contra incêndios</v>
      </c>
      <c r="F37" s="1427">
        <v>14.449267000000001</v>
      </c>
      <c r="G37" s="585"/>
      <c r="H37"/>
      <c r="I37"/>
      <c r="J37"/>
      <c r="K37" s="443"/>
      <c r="L37" s="443"/>
    </row>
    <row r="38" spans="3:12" s="187" customFormat="1" ht="15" customHeight="1">
      <c r="C38" s="1428"/>
      <c r="D38" s="1424"/>
      <c r="E38" s="1425" t="str">
        <f>IF(Indice_index!$Z$1=1,"017 - Educação - Estabelecimentos de ensino não superior","017 - Education - Non higher educations institutions")</f>
        <v>017 - Educação - Estabelecimentos de ensino não superior</v>
      </c>
      <c r="F38" s="1427">
        <v>0.14027500000000001</v>
      </c>
      <c r="G38" s="585"/>
      <c r="H38"/>
      <c r="I38"/>
      <c r="J38"/>
      <c r="K38" s="443"/>
      <c r="L38" s="443"/>
    </row>
    <row r="39" spans="3:12" s="187" customFormat="1" ht="15" customHeight="1">
      <c r="C39" s="1428"/>
      <c r="D39" s="1424"/>
      <c r="E39" s="1425" t="str">
        <f>IF(Indice_index!$Z$1=1,"018 - Educação - Estabelecimentos de ensino superior","018 - Education - Higher educations institutions")</f>
        <v>018 - Educação - Estabelecimentos de ensino superior</v>
      </c>
      <c r="F39" s="1427">
        <v>1.5900000000000001E-2</v>
      </c>
      <c r="G39" s="585"/>
      <c r="H39"/>
      <c r="I39"/>
      <c r="J39"/>
      <c r="K39" s="443"/>
      <c r="L39" s="443"/>
    </row>
    <row r="40" spans="3:12" s="187" customFormat="1" ht="15" customHeight="1">
      <c r="C40" s="1428"/>
      <c r="D40" s="1424"/>
      <c r="E40" s="1425" t="str">
        <f>IF(Indice_index!$Z$1=1,"022 - Saúde - Hospitais e clínicas","022 - Health - Hospitals and clinics")</f>
        <v>022 - Saúde - Hospitais e clínicas</v>
      </c>
      <c r="F40" s="1427">
        <v>0.205013</v>
      </c>
      <c r="G40" s="585"/>
      <c r="H40"/>
      <c r="I40"/>
      <c r="J40"/>
      <c r="K40" s="443"/>
      <c r="L40" s="443"/>
    </row>
    <row r="41" spans="3:12" s="187" customFormat="1" ht="15" customHeight="1">
      <c r="C41" s="1428"/>
      <c r="D41" s="1424"/>
      <c r="E41" s="1433" t="str">
        <f>IF(Indice_index!$Z$1=1,"027 - Segurança e acção social - Acção social","027 - Social Security and Action - Social Action")</f>
        <v>027 - Segurança e acção social - Acção social</v>
      </c>
      <c r="F41" s="1427">
        <v>1.487079</v>
      </c>
      <c r="G41" s="585"/>
      <c r="H41"/>
      <c r="I41"/>
      <c r="J41"/>
      <c r="K41" s="443"/>
      <c r="L41" s="443"/>
    </row>
    <row r="42" spans="3:12" s="187" customFormat="1" ht="15" customHeight="1">
      <c r="C42" s="1428"/>
      <c r="D42" s="1424"/>
      <c r="E42" s="1425" t="str">
        <f>IF(Indice_index!$Z$1=1,"049 - Industria e energia - Indústrias transformadoras","049 - Industry and energy - Manufacturing industries")</f>
        <v>049 - Industria e energia - Indústrias transformadoras</v>
      </c>
      <c r="F42" s="1427">
        <v>7.4807269999999999</v>
      </c>
      <c r="G42" s="585"/>
      <c r="H42"/>
      <c r="I42"/>
      <c r="J42"/>
      <c r="K42" s="443"/>
      <c r="L42" s="443"/>
    </row>
    <row r="43" spans="3:12" s="187" customFormat="1" ht="15" customHeight="1">
      <c r="C43" s="1428"/>
      <c r="D43" s="1429"/>
      <c r="E43" s="1435" t="str">
        <f>D32</f>
        <v>P004 - Defesa</v>
      </c>
      <c r="F43" s="1438">
        <f>SUM(F32:F42)</f>
        <v>79.811248000000006</v>
      </c>
      <c r="G43" s="585"/>
      <c r="H43"/>
      <c r="I43"/>
      <c r="J43"/>
      <c r="K43" s="443"/>
      <c r="L43" s="443"/>
    </row>
    <row r="44" spans="3:12" s="187" customFormat="1" ht="15" customHeight="1">
      <c r="C44" s="1428" t="str">
        <f>IF(Indice_index!$Z$1=1,"MAI","MIA")</f>
        <v>MAI</v>
      </c>
      <c r="D44" s="1424" t="str">
        <f>IF(Indice_index!$Z$1=1,"P005 - Segurança Interna","P005 - Internal Security")</f>
        <v>P005 - Segurança Interna</v>
      </c>
      <c r="E44" s="1433" t="str">
        <f>IF(Indice_index!$Z$1=1,"009 - Segurança e ordem públicas - Administração e regulamentação","009 - Public safety and order - Administration and regulations")</f>
        <v>009 - Segurança e ordem públicas - Administração e regulamentação</v>
      </c>
      <c r="F44" s="1427">
        <v>13.230888</v>
      </c>
      <c r="G44" s="585"/>
      <c r="H44"/>
      <c r="I44"/>
      <c r="J44"/>
      <c r="K44" s="443"/>
      <c r="L44" s="443"/>
    </row>
    <row r="45" spans="3:12" s="187" customFormat="1" ht="15" customHeight="1">
      <c r="C45" s="1428"/>
      <c r="D45" s="1424"/>
      <c r="E45" s="1439" t="str">
        <f>IF(Indice_index!$Z$1=1,"011 - Segurança e ordem públicas - Forças de segurança","011 - Public safety and order - Security forces")</f>
        <v>011 - Segurança e ordem públicas - Forças de segurança</v>
      </c>
      <c r="F45" s="1440">
        <v>24.482011</v>
      </c>
      <c r="G45" s="585"/>
      <c r="H45"/>
      <c r="I45"/>
      <c r="J45"/>
      <c r="K45" s="443"/>
      <c r="L45" s="443"/>
    </row>
    <row r="46" spans="3:12" s="187" customFormat="1" ht="15" customHeight="1">
      <c r="C46" s="1428"/>
      <c r="D46" s="1424"/>
      <c r="E46" s="1439" t="str">
        <f>IF(Indice_index!$Z$1=1,"014 - Segurança e ordem públicas - Protecção civil e luta contra incêndios","014 - Public safety and order - Civil Protection and  fire fighting")</f>
        <v>014 - Segurança e ordem públicas - Protecção civil e luta contra incêndios</v>
      </c>
      <c r="F46" s="1440">
        <v>2.0393129999999999</v>
      </c>
      <c r="G46" s="585"/>
      <c r="H46"/>
      <c r="I46"/>
      <c r="J46"/>
      <c r="K46" s="443"/>
      <c r="L46" s="443"/>
    </row>
    <row r="47" spans="3:12" s="187" customFormat="1" ht="15" customHeight="1">
      <c r="C47" s="1428"/>
      <c r="D47" s="1424"/>
      <c r="E47" s="1433" t="str">
        <f>IF(Indice_index!$Z$1=1,"017 - Educação - Estabelecimentos de ensino não superior","017 - Education - Non higher educations institutions")</f>
        <v>017 - Educação - Estabelecimentos de ensino não superior</v>
      </c>
      <c r="F47" s="1427">
        <v>1.343429</v>
      </c>
      <c r="G47" s="585"/>
      <c r="H47"/>
      <c r="I47"/>
      <c r="J47"/>
      <c r="K47" s="443"/>
      <c r="L47" s="443"/>
    </row>
    <row r="48" spans="3:12" s="187" customFormat="1" ht="15" customHeight="1">
      <c r="C48" s="1428"/>
      <c r="D48" s="1424"/>
      <c r="E48" s="1433" t="str">
        <f>IF(Indice_index!$Z$1=1,"018 - Educação - Estabelecimentos de ensino superior","018 - Education - Higher educations institutions")</f>
        <v>018 - Educação - Estabelecimentos de ensino superior</v>
      </c>
      <c r="F48" s="1427">
        <v>0.397063</v>
      </c>
      <c r="G48" s="585"/>
      <c r="H48"/>
      <c r="I48"/>
      <c r="J48"/>
      <c r="K48" s="443"/>
      <c r="L48" s="443"/>
    </row>
    <row r="49" spans="3:12" s="187" customFormat="1" ht="15" customHeight="1">
      <c r="C49" s="1428"/>
      <c r="D49" s="1424"/>
      <c r="E49" s="1433" t="str">
        <f>IF(Indice_index!$Z$1=1,"027 - Segurança e acção social - Acção social","027 - Social Security and Action - Social Action")</f>
        <v>027 - Segurança e acção social - Acção social</v>
      </c>
      <c r="F49" s="1427">
        <v>2.3443960000000001</v>
      </c>
      <c r="G49" s="585"/>
      <c r="H49"/>
      <c r="I49"/>
      <c r="J49"/>
      <c r="K49" s="443"/>
      <c r="L49" s="443"/>
    </row>
    <row r="50" spans="3:12" s="187" customFormat="1" ht="22.5">
      <c r="C50" s="1428"/>
      <c r="D50" s="1424"/>
      <c r="E50" s="1442" t="str">
        <f>IF(Indice_index!$Z$1=1,"087 - Segurança e ordem públicas - LPIEFSS - Sistemas de Tecnologia de Informação e Comunicação","087 - Public safety and order - Infrastructure and equipment planning law for security forces and services - Information and Communication Technology systems")</f>
        <v>087 - Segurança e ordem públicas - LPIEFSS - Sistemas de Tecnologia de Informação e Comunicação</v>
      </c>
      <c r="F50" s="1427">
        <v>6.4373500000000003</v>
      </c>
      <c r="G50" s="585"/>
      <c r="H50"/>
      <c r="I50"/>
      <c r="J50"/>
      <c r="K50" s="443"/>
      <c r="L50" s="443"/>
    </row>
    <row r="51" spans="3:12" s="187" customFormat="1" ht="15" customHeight="1">
      <c r="C51" s="1428"/>
      <c r="D51" s="1424"/>
      <c r="E51" s="1443" t="str">
        <f>IF(Indice_index!$Z$1=1,"089 - Segurança e ordem públicas - LPIEFSS - Veículos","089 - Public safety and order - Infrastructure and equipment planning law for security forces and services - Vehicles")</f>
        <v>089 - Segurança e ordem públicas - LPIEFSS - Veículos</v>
      </c>
      <c r="F51" s="1427">
        <v>0.51937500000000003</v>
      </c>
      <c r="G51" s="585"/>
      <c r="H51"/>
      <c r="I51"/>
      <c r="J51"/>
      <c r="K51" s="443"/>
      <c r="L51" s="443"/>
    </row>
    <row r="52" spans="3:12" s="187" customFormat="1" ht="15" customHeight="1">
      <c r="C52" s="1428"/>
      <c r="D52" s="1424"/>
      <c r="E52" s="1443" t="str">
        <f>IF(Indice_index!$Z$1=1,"092 - Segurança e ordem públicas - LPIEFSS - Equipamentomde Apoio Atividade Operacional","092 - Public safety and order - Infrastructure and equipment planning law for security forces and services - Support equipment to Operational Activity")</f>
        <v>092 - Segurança e ordem públicas - LPIEFSS - Equipamentomde Apoio Atividade Operacional</v>
      </c>
      <c r="F52" s="1427">
        <v>0.157857</v>
      </c>
      <c r="G52" s="585"/>
      <c r="H52"/>
      <c r="I52"/>
      <c r="J52"/>
      <c r="K52" s="443"/>
      <c r="L52" s="443"/>
    </row>
    <row r="53" spans="3:12" s="187" customFormat="1" ht="15" customHeight="1">
      <c r="C53" s="1428"/>
      <c r="D53" s="1424"/>
      <c r="E53" s="1443" t="str">
        <f>IF(Indice_index!$Z$1=1,"093 - Segurança e ordem públicas - LPIEFSS - Equipamento para funções Especializadas","093 - Public safety and order - Infrastructure and equipment planning law for security forces and services - Specialised function equipment")</f>
        <v>093 - Segurança e ordem públicas - LPIEFSS - Equipamento para funções Especializadas</v>
      </c>
      <c r="F53" s="1427">
        <v>0.383463</v>
      </c>
      <c r="G53" s="585"/>
      <c r="H53"/>
      <c r="I53"/>
      <c r="J53"/>
      <c r="K53" s="443"/>
      <c r="L53" s="443"/>
    </row>
    <row r="54" spans="3:12" s="187" customFormat="1" ht="15" customHeight="1">
      <c r="C54" s="1428"/>
      <c r="D54" s="1424"/>
      <c r="E54" s="1433" t="str">
        <f>IF(Indice_index!$Z$1=1,"100 - Iniciativas de  Ação Climática","100 - Climate Action Iniciatives")</f>
        <v>100 - Iniciativas de  Ação Climática</v>
      </c>
      <c r="F54" s="1427">
        <v>0.03</v>
      </c>
      <c r="G54" s="585"/>
      <c r="H54"/>
      <c r="I54"/>
      <c r="J54"/>
      <c r="K54" s="443"/>
      <c r="L54" s="443"/>
    </row>
    <row r="55" spans="3:12" s="187" customFormat="1" ht="15" customHeight="1">
      <c r="C55" s="1428"/>
      <c r="D55" s="1424"/>
      <c r="E55" s="1433" t="str">
        <f>IF(Indice_index!$Z$1=1,"101 - Plano Nacional de Gestão Integrada de Fogos Rurais","101 - National Plan on Integrated Rural Fire Management")</f>
        <v>101 - Plano Nacional de Gestão Integrada de Fogos Rurais</v>
      </c>
      <c r="F55" s="1427">
        <v>0.35473700000000002</v>
      </c>
      <c r="G55" s="585"/>
      <c r="H55"/>
      <c r="I55"/>
      <c r="J55"/>
      <c r="K55" s="443"/>
      <c r="L55" s="443"/>
    </row>
    <row r="56" spans="3:12" s="187" customFormat="1" ht="15" customHeight="1">
      <c r="C56" s="1428"/>
      <c r="D56" s="1429"/>
      <c r="E56" s="1435" t="str">
        <f>D44</f>
        <v>P005 - Segurança Interna</v>
      </c>
      <c r="F56" s="1431">
        <f>SUM(F44:F55)</f>
        <v>51.719882000000005</v>
      </c>
      <c r="G56" s="585"/>
      <c r="H56"/>
      <c r="I56"/>
      <c r="J56"/>
      <c r="K56" s="443"/>
      <c r="L56" s="443"/>
    </row>
    <row r="57" spans="3:12" s="187" customFormat="1" ht="15" customHeight="1">
      <c r="C57" s="1428" t="str">
        <f>IF(Indice_index!$Z$1=1,"MJ","MJ")</f>
        <v>MJ</v>
      </c>
      <c r="D57" s="1424" t="str">
        <f>IF(Indice_index!$Z$1=1,"P006 - Justiça","P006 - Justice")</f>
        <v>P006 - Justiça</v>
      </c>
      <c r="E57" s="1425" t="str">
        <f>IF(Indice_index!$Z$1=1,"001 - Serv. Gerais da A.P. - Administração geral","001 - General public services - General Administration")</f>
        <v>001 - Serv. Gerais da A.P. - Administração geral</v>
      </c>
      <c r="F57" s="1426">
        <v>0.59579599999999999</v>
      </c>
      <c r="G57" s="585"/>
      <c r="H57"/>
      <c r="I57"/>
      <c r="J57"/>
      <c r="K57" s="443"/>
      <c r="L57" s="443"/>
    </row>
    <row r="58" spans="3:12" s="187" customFormat="1" ht="15" customHeight="1">
      <c r="C58" s="1428"/>
      <c r="D58" s="1424"/>
      <c r="E58" s="1433" t="str">
        <f>IF(Indice_index!$Z$1=1,"009 - Segurança e ordem públicas - Administração e regulamentação","009 - Public safety and order - Administration and regulations")</f>
        <v>009 - Segurança e ordem públicas - Administração e regulamentação</v>
      </c>
      <c r="F58" s="1427">
        <v>22.532354999999999</v>
      </c>
      <c r="G58" s="585"/>
      <c r="H58"/>
      <c r="I58"/>
      <c r="J58"/>
      <c r="K58" s="443"/>
      <c r="L58" s="443"/>
    </row>
    <row r="59" spans="3:12" s="187" customFormat="1" ht="15" customHeight="1">
      <c r="C59" s="1428"/>
      <c r="D59" s="1424"/>
      <c r="E59" s="1433" t="str">
        <f>IF(Indice_index!$Z$1=1,"010 - Segurança e ordem públicas - Investigação","010 - Public safety and order - Research")</f>
        <v>010 - Segurança e ordem públicas - Investigação</v>
      </c>
      <c r="F59" s="1427">
        <v>2.1893850000000001</v>
      </c>
      <c r="G59" s="585"/>
      <c r="H59"/>
      <c r="I59"/>
      <c r="J59"/>
      <c r="K59" s="443"/>
      <c r="L59" s="443"/>
    </row>
    <row r="60" spans="3:12" s="187" customFormat="1" ht="15" customHeight="1">
      <c r="C60" s="1428"/>
      <c r="D60" s="1424"/>
      <c r="E60" s="1433" t="str">
        <f>IF(Indice_index!$Z$1=1,"012 - Segurança e ordem públicas - Sistema judiciário","012 - Public safety and order - Judicial system")</f>
        <v>012 - Segurança e ordem públicas - Sistema judiciário</v>
      </c>
      <c r="F60" s="1427">
        <v>13.326938999999999</v>
      </c>
      <c r="G60" s="585"/>
      <c r="H60"/>
      <c r="I60"/>
      <c r="J60"/>
      <c r="K60" s="443"/>
      <c r="L60" s="443"/>
    </row>
    <row r="61" spans="3:12" s="187" customFormat="1" ht="15" customHeight="1">
      <c r="C61" s="1428"/>
      <c r="D61" s="1424"/>
      <c r="E61" s="1433" t="str">
        <f>IF(Indice_index!$Z$1=1,"013 - Segurança e ordem públicas - Sistema prisional, de reinserção social e de menores","013 - Public safety and order - Prison, social reintegration and of minors system")</f>
        <v>013 - Segurança e ordem públicas - Sistema prisional, de reinserção social e de menores</v>
      </c>
      <c r="F61" s="1427">
        <v>12.256631</v>
      </c>
      <c r="G61" s="585"/>
      <c r="H61"/>
      <c r="I61"/>
      <c r="J61"/>
      <c r="K61" s="443"/>
      <c r="L61" s="443"/>
    </row>
    <row r="62" spans="3:12" s="187" customFormat="1" ht="15" customHeight="1">
      <c r="C62" s="1428"/>
      <c r="D62" s="1424"/>
      <c r="E62" s="1433" t="str">
        <f>IF(Indice_index!$Z$1=1,"063 - Outras funções económicas - Administração e regulamentação","063 - Outher economic functions - Administration e regulation")</f>
        <v>063 - Outras funções económicas - Administração e regulamentação</v>
      </c>
      <c r="F62" s="1427">
        <v>1.4080090000000001</v>
      </c>
      <c r="G62" s="585"/>
      <c r="H62"/>
      <c r="I62"/>
      <c r="J62"/>
      <c r="K62" s="443"/>
      <c r="L62" s="443"/>
    </row>
    <row r="63" spans="3:12" s="187" customFormat="1" ht="15" customHeight="1">
      <c r="C63" s="1428"/>
      <c r="D63" s="1424"/>
      <c r="E63" s="1433" t="str">
        <f>IF(Indice_index!$Z$1=1,"065 - Outras funções económicas - Diversas não especificadas","065 - Other economic functions - Various unspecified")</f>
        <v>065 - Outras funções económicas - Diversas não especificadas</v>
      </c>
      <c r="F63" s="1427">
        <v>0.72763800000000001</v>
      </c>
      <c r="G63" s="585"/>
      <c r="H63"/>
      <c r="I63"/>
      <c r="J63"/>
      <c r="K63" s="443"/>
      <c r="L63" s="443"/>
    </row>
    <row r="64" spans="3:12" s="187" customFormat="1" ht="15" customHeight="1">
      <c r="C64" s="1428"/>
      <c r="D64" s="1424"/>
      <c r="E64" s="1433" t="str">
        <f>IF(Indice_index!$Z$1=1,"068 - Outras funções - Diversas não especificadas","068 - Other functions - Various unspecified")</f>
        <v>068 - Outras funções - Diversas não especificadas</v>
      </c>
      <c r="F64" s="1427">
        <v>3.5666999999999997E-2</v>
      </c>
      <c r="G64" s="585"/>
      <c r="H64"/>
      <c r="I64"/>
      <c r="J64"/>
      <c r="K64" s="443"/>
      <c r="L64" s="443"/>
    </row>
    <row r="65" spans="3:12" s="187" customFormat="1" ht="15" customHeight="1">
      <c r="C65" s="1428"/>
      <c r="D65" s="1429"/>
      <c r="E65" s="1435" t="str">
        <f>D57</f>
        <v>P006 - Justiça</v>
      </c>
      <c r="F65" s="1438">
        <f>SUM(F57:F64)</f>
        <v>53.072419999999994</v>
      </c>
      <c r="G65" s="585"/>
      <c r="H65"/>
      <c r="I65"/>
      <c r="J65"/>
      <c r="K65" s="443"/>
      <c r="L65" s="443"/>
    </row>
    <row r="66" spans="3:12" s="187" customFormat="1" ht="15" customHeight="1">
      <c r="C66" s="1428" t="str">
        <f>IF(Indice_index!$Z$1=1,"MF","MF")</f>
        <v>MF</v>
      </c>
      <c r="D66" s="1424" t="str">
        <f>IF(Indice_index!$Z$1=1,"P007 - Finanças","P007 - Finance and Public Administration")</f>
        <v>P007 - Finanças</v>
      </c>
      <c r="E66" s="1425" t="str">
        <f>IF(Indice_index!$Z$1=1,"001 - Serv. Gerais da A.P. - Administração geral","001 - General public services - General Administration")</f>
        <v>001 - Serv. Gerais da A.P. - Administração geral</v>
      </c>
      <c r="F66" s="1426">
        <v>42.404663999999997</v>
      </c>
      <c r="G66" s="585"/>
      <c r="H66"/>
      <c r="I66"/>
      <c r="J66"/>
      <c r="K66" s="443"/>
      <c r="L66" s="443"/>
    </row>
    <row r="67" spans="3:12" s="187" customFormat="1" ht="15" customHeight="1">
      <c r="C67" s="1428"/>
      <c r="D67" s="1424"/>
      <c r="E67" s="1425" t="str">
        <f>IF(Indice_index!$Z$1=1,"003 - Serv. Gerais da A.P. - Cooperação económica externa","003 - General public services - External economic cooperation")</f>
        <v>003 - Serv. Gerais da A.P. - Cooperação económica externa</v>
      </c>
      <c r="F67" s="1427">
        <v>7.4005000000000001E-2</v>
      </c>
      <c r="G67" s="585"/>
      <c r="H67"/>
      <c r="I67"/>
      <c r="J67"/>
      <c r="K67" s="443"/>
      <c r="L67" s="443"/>
    </row>
    <row r="68" spans="3:12" s="187" customFormat="1" ht="15" customHeight="1">
      <c r="C68" s="1428"/>
      <c r="D68" s="1424"/>
      <c r="E68" s="1425" t="str">
        <f>IF(Indice_index!$Z$1=1,"065 - Outras funções económicas - Diversas não especificadas","065 - Other economic functions - Various unspecified")</f>
        <v>065 - Outras funções económicas - Diversas não especificadas</v>
      </c>
      <c r="F68" s="1427">
        <v>21.052610000000001</v>
      </c>
      <c r="G68" s="585"/>
      <c r="H68"/>
      <c r="I68"/>
      <c r="J68"/>
      <c r="K68" s="443"/>
      <c r="L68" s="443"/>
    </row>
    <row r="69" spans="3:12" s="187" customFormat="1" ht="15" customHeight="1">
      <c r="C69" s="1428"/>
      <c r="D69" s="1429"/>
      <c r="E69" s="1435" t="str">
        <f>D66</f>
        <v>P007 - Finanças</v>
      </c>
      <c r="F69" s="1431">
        <f>SUM(F66:F68)</f>
        <v>63.531278999999998</v>
      </c>
      <c r="G69" s="585"/>
      <c r="H69"/>
      <c r="I69"/>
      <c r="J69"/>
      <c r="K69" s="443"/>
      <c r="L69" s="443"/>
    </row>
    <row r="70" spans="3:12" s="187" customFormat="1" ht="15" customHeight="1">
      <c r="C70" s="1428"/>
      <c r="D70" s="1436" t="str">
        <f>IF(Indice_index!$Z$1=1,"P008 - Gestão da Dívida Pública","P008 - Public Debt Management")</f>
        <v>P008 - Gestão da Dívida Pública</v>
      </c>
      <c r="E70" s="1437" t="str">
        <f>IF(Indice_index!$Z$1=1,"066 - Outras funções - Operações da dívida pública","066 - Other functions - Public debt operations")</f>
        <v>066 - Outras funções - Operações da dívida pública</v>
      </c>
      <c r="F70" s="1427">
        <v>0.13</v>
      </c>
      <c r="G70" s="585"/>
      <c r="H70"/>
      <c r="I70"/>
      <c r="J70"/>
      <c r="K70" s="443"/>
      <c r="L70" s="443"/>
    </row>
    <row r="71" spans="3:12" s="187" customFormat="1" ht="15" customHeight="1">
      <c r="C71" s="1428" t="str">
        <f>IF(Indice_index!$Z$1=1,"MEM","MEM")</f>
        <v>MEM</v>
      </c>
      <c r="D71" s="1424" t="str">
        <f>IF(Indice_index!$Z$1=1,"P009 - Economia e Mar","P009 - Economy and Sea")</f>
        <v>P009 - Economia e Mar</v>
      </c>
      <c r="E71" s="1433" t="str">
        <f>IF(Indice_index!$Z$1=1,"040 - Agricultura, pecuária, silv, caça, pesca - Administração e regulamentação","040 - Crops, livestock, forestry, fisheries - Administration and regulations")</f>
        <v>040 - Agricultura, pecuária, silv, caça, pesca - Administração e regulamentação</v>
      </c>
      <c r="F71" s="1427">
        <v>5.1156920000000001</v>
      </c>
      <c r="G71" s="585"/>
      <c r="H71"/>
      <c r="I71"/>
      <c r="J71"/>
      <c r="K71" s="443"/>
      <c r="L71" s="443"/>
    </row>
    <row r="72" spans="3:12" s="187" customFormat="1" ht="15" customHeight="1">
      <c r="C72" s="1428"/>
      <c r="D72" s="1424"/>
      <c r="E72" s="1433" t="str">
        <f>IF(Indice_index!$Z$1=1,"061 - Comércio e turismo - Comércio","061 - Trade and tourism - Trade")</f>
        <v>061 - Comércio e turismo - Comércio</v>
      </c>
      <c r="F72" s="1427">
        <v>8.8450000000000004E-3</v>
      </c>
      <c r="G72" s="585"/>
      <c r="H72"/>
      <c r="I72"/>
      <c r="J72"/>
      <c r="K72" s="443"/>
      <c r="L72" s="443"/>
    </row>
    <row r="73" spans="3:12" s="187" customFormat="1" ht="15" customHeight="1">
      <c r="C73" s="1428"/>
      <c r="D73" s="1424"/>
      <c r="E73" s="1433" t="str">
        <f>IF(Indice_index!$Z$1=1,"062 - Comércio e turismo - Turismo","062 - Trade and tourism - Tourism")</f>
        <v>062 - Comércio e turismo - Turismo</v>
      </c>
      <c r="F73" s="1427">
        <v>4.3912319999999996</v>
      </c>
      <c r="G73" s="585"/>
      <c r="H73"/>
      <c r="I73"/>
      <c r="J73"/>
      <c r="K73" s="443"/>
      <c r="L73" s="443"/>
    </row>
    <row r="74" spans="3:12" s="187" customFormat="1" ht="15" customHeight="1">
      <c r="C74" s="1428"/>
      <c r="D74" s="1424"/>
      <c r="E74" s="1433" t="str">
        <f>IF(Indice_index!$Z$1=1,"063 - Outras funções económicas - Administração e regulamentação","063 - Outher economic functions - Administration e regulation")</f>
        <v>063 - Outras funções económicas - Administração e regulamentação</v>
      </c>
      <c r="F74" s="1427">
        <v>3.3004570000000002</v>
      </c>
      <c r="G74" s="585"/>
      <c r="H74"/>
      <c r="I74"/>
      <c r="J74"/>
      <c r="K74" s="443"/>
      <c r="L74" s="443"/>
    </row>
    <row r="75" spans="3:12" s="187" customFormat="1" ht="15" customHeight="1">
      <c r="C75" s="1428"/>
      <c r="D75" s="1424"/>
      <c r="E75" s="1433" t="str">
        <f>IF(Indice_index!$Z$1=1,"065 - Outras funções económicas - Diversas não especificadas","065 - Other economic functions - Various unspecified")</f>
        <v>065 - Outras funções económicas - Diversas não especificadas</v>
      </c>
      <c r="F75" s="1427">
        <v>12.732498</v>
      </c>
      <c r="G75" s="585"/>
      <c r="H75"/>
      <c r="I75"/>
      <c r="J75"/>
      <c r="K75" s="443"/>
      <c r="L75" s="443"/>
    </row>
    <row r="76" spans="3:12" s="187" customFormat="1" ht="15" customHeight="1">
      <c r="C76" s="1428"/>
      <c r="D76" s="1424"/>
      <c r="E76" s="1433" t="str">
        <f>IF(Indice_index!$Z$1=1,"083 - Segurança e Ação Social - Integração da pessoa com deficiência","083 - Social Security and Action - Integration of the handicapped person")</f>
        <v>083 - Segurança e Ação Social - Integração da pessoa com deficiência</v>
      </c>
      <c r="F76" s="1427">
        <v>1.0859999999999999E-3</v>
      </c>
      <c r="G76" s="585"/>
      <c r="H76"/>
      <c r="I76"/>
      <c r="J76"/>
      <c r="K76" s="443"/>
      <c r="L76" s="443"/>
    </row>
    <row r="77" spans="3:12" s="187" customFormat="1" ht="15" customHeight="1">
      <c r="C77" s="1428"/>
      <c r="D77" s="1424"/>
      <c r="E77" s="1433" t="str">
        <f>IF(Indice_index!$Z$1=1,"086 - Comércio e Turismo - Imposto especial de jogo","086 - Trade and tourism - Special gambling tax")</f>
        <v>086 - Comércio e Turismo - Imposto especial de jogo</v>
      </c>
      <c r="F77" s="1427">
        <v>9.0105819999999994</v>
      </c>
      <c r="G77" s="585"/>
      <c r="H77"/>
      <c r="I77"/>
      <c r="J77"/>
      <c r="K77" s="443"/>
      <c r="L77" s="443"/>
    </row>
    <row r="78" spans="3:12" s="187" customFormat="1" ht="15" customHeight="1">
      <c r="C78" s="1428"/>
      <c r="D78" s="1429"/>
      <c r="E78" s="1435" t="str">
        <f>D71</f>
        <v>P009 - Economia e Mar</v>
      </c>
      <c r="F78" s="1431">
        <f>SUM(F71:F77)</f>
        <v>34.560392</v>
      </c>
      <c r="G78" s="585"/>
      <c r="H78"/>
      <c r="I78"/>
      <c r="J78"/>
      <c r="K78" s="443"/>
      <c r="L78" s="443"/>
    </row>
    <row r="79" spans="3:12" s="187" customFormat="1" ht="15" customHeight="1">
      <c r="C79" s="1428" t="str">
        <f>IF(Indice_index!$Z$1=1,"MC","MC")</f>
        <v>MC</v>
      </c>
      <c r="D79" s="1424" t="str">
        <f>IF(Indice_index!$Z$1=1,"P010 - Cultura","P010 - Culture")</f>
        <v>P010 - Cultura</v>
      </c>
      <c r="E79" s="1433" t="str">
        <f>IF(Indice_index!$Z$1=1,"001 - Serv. Gerais da A.P. - Administração geral","001 - General public services - General Administration")</f>
        <v>001 - Serv. Gerais da A.P. - Administração geral</v>
      </c>
      <c r="F79" s="1427">
        <v>8.6223999999999995E-2</v>
      </c>
      <c r="G79" s="585"/>
      <c r="H79"/>
      <c r="I79"/>
      <c r="J79"/>
      <c r="K79" s="443"/>
      <c r="L79" s="443"/>
    </row>
    <row r="80" spans="3:12" s="187" customFormat="1" ht="15" customHeight="1">
      <c r="C80" s="1428"/>
      <c r="D80" s="1424"/>
      <c r="E80" s="1425" t="str">
        <f>IF(Indice_index!$Z$1=1,"036 - Serviços culturais, recreativos e religiosos - Cultura","036 - Cultural, recreational and religious services - Culture")</f>
        <v>036 - Serviços culturais, recreativos e religiosos - Cultura</v>
      </c>
      <c r="F80" s="1427">
        <v>33.237488999999997</v>
      </c>
      <c r="G80" s="585"/>
      <c r="H80"/>
      <c r="I80"/>
      <c r="J80"/>
      <c r="K80" s="443"/>
      <c r="L80" s="443"/>
    </row>
    <row r="81" spans="3:12" s="187" customFormat="1" ht="15" customHeight="1">
      <c r="C81" s="1428"/>
      <c r="D81" s="1444"/>
      <c r="E81" s="1424" t="str">
        <f>D79</f>
        <v>P010 - Cultura</v>
      </c>
      <c r="F81" s="1445">
        <f>SUM(F79:F80)</f>
        <v>33.323712999999998</v>
      </c>
      <c r="G81" s="585"/>
      <c r="H81"/>
      <c r="I81"/>
      <c r="J81"/>
      <c r="K81" s="443"/>
      <c r="L81" s="443"/>
    </row>
    <row r="82" spans="3:12" s="187" customFormat="1" ht="15" customHeight="1">
      <c r="C82" s="1428"/>
      <c r="D82" s="1435"/>
      <c r="E82" s="1425" t="str">
        <f>IF(Indice_index!$Z$1=1,"P010 - Cultura, excluindo RTP","P010 - Culture, excluding RTP, the Portuguese public broadcaster")</f>
        <v>P010 - Cultura, excluindo RTP</v>
      </c>
      <c r="F82" s="1431">
        <f>F81</f>
        <v>33.323712999999998</v>
      </c>
      <c r="G82" s="585"/>
      <c r="H82"/>
      <c r="I82"/>
      <c r="J82"/>
      <c r="K82" s="443"/>
      <c r="L82" s="443"/>
    </row>
    <row r="83" spans="3:12" s="187" customFormat="1" ht="15" customHeight="1">
      <c r="C83" s="1428" t="str">
        <f>IF(Indice_index!$Z$1=1,"MCTES","MSHE")</f>
        <v>MCTES</v>
      </c>
      <c r="D83" s="1446" t="str">
        <f>IF(Indice_index!$Z$1=1,"P011 - Ciência, Tecnologia e Ens. Superior","P011 - Science and Higher Education")</f>
        <v>P011 - Ciência, Tecnologia e Ens. Superior</v>
      </c>
      <c r="E83" s="1425" t="str">
        <f>IF(Indice_index!$Z$1=1,"001 - Serv. Gerais da A.P. - Administração geral","001 - General public services - General Administration")</f>
        <v>001 - Serv. Gerais da A.P. - Administração geral</v>
      </c>
      <c r="F83" s="1426">
        <v>0.61914499999999995</v>
      </c>
      <c r="G83" s="585"/>
      <c r="H83"/>
      <c r="I83"/>
      <c r="J83"/>
      <c r="K83" s="443"/>
      <c r="L83" s="443"/>
    </row>
    <row r="84" spans="3:12" s="187" customFormat="1" ht="15" customHeight="1">
      <c r="C84" s="1428"/>
      <c r="D84" s="1447"/>
      <c r="E84" s="1433" t="str">
        <f>IF(Indice_index!$Z$1=1,"004 - Serv. Gerais da A.P. - Investigação científica de carácter geral","004 - General public services - General scientific research")</f>
        <v>004 - Serv. Gerais da A.P. - Investigação científica de carácter geral</v>
      </c>
      <c r="F84" s="1427">
        <v>0.65660799999999997</v>
      </c>
      <c r="G84" s="585"/>
      <c r="H84"/>
      <c r="I84"/>
      <c r="J84"/>
      <c r="K84" s="443"/>
      <c r="L84" s="443"/>
    </row>
    <row r="85" spans="3:12" s="187" customFormat="1" ht="15" customHeight="1">
      <c r="C85" s="1428"/>
      <c r="D85" s="1424"/>
      <c r="E85" s="1433" t="str">
        <f>IF(Indice_index!$Z$1=1,"015 - Educação - Administração e regulamentação","015 - Education - Administration and regulations")</f>
        <v>015 - Educação - Administração e regulamentação</v>
      </c>
      <c r="F85" s="1427">
        <v>0.56752499999999995</v>
      </c>
      <c r="G85" s="585"/>
      <c r="H85"/>
      <c r="I85"/>
      <c r="J85"/>
      <c r="K85" s="443"/>
      <c r="L85" s="443"/>
    </row>
    <row r="86" spans="3:12" s="187" customFormat="1" ht="15" customHeight="1">
      <c r="C86" s="1428"/>
      <c r="D86" s="1424"/>
      <c r="E86" s="1433" t="str">
        <f>IF(Indice_index!$Z$1=1,"016 - Educação – Investigação","016 - Education - Research")</f>
        <v>016 - Educação – Investigação</v>
      </c>
      <c r="F86" s="1427">
        <v>6.0317000000000003E-2</v>
      </c>
      <c r="G86" s="585"/>
      <c r="H86"/>
      <c r="I86"/>
      <c r="J86"/>
      <c r="K86" s="443"/>
      <c r="L86" s="443"/>
    </row>
    <row r="87" spans="3:12" s="187" customFormat="1" ht="15" customHeight="1">
      <c r="C87" s="1428"/>
      <c r="D87" s="1424"/>
      <c r="E87" s="1433" t="str">
        <f>IF(Indice_index!$Z$1=1,"019 - Educação - Serviços auxiliares de ensino","019 - Education - Educational ancillary services")</f>
        <v>019 - Educação - Serviços auxiliares de ensino</v>
      </c>
      <c r="F87" s="1427">
        <v>8.0610000000000001E-2</v>
      </c>
      <c r="G87" s="585"/>
      <c r="H87"/>
      <c r="I87"/>
      <c r="J87"/>
      <c r="K87" s="443"/>
      <c r="L87" s="443"/>
    </row>
    <row r="88" spans="3:12" s="187" customFormat="1" ht="15" customHeight="1">
      <c r="C88" s="1428"/>
      <c r="D88" s="1444"/>
      <c r="E88" s="1424" t="str">
        <f>D83</f>
        <v>P011 - Ciência, Tecnologia e Ens. Superior</v>
      </c>
      <c r="F88" s="1448">
        <f>SUM(F83:F87)</f>
        <v>1.9842049999999998</v>
      </c>
      <c r="G88" s="585"/>
      <c r="H88"/>
      <c r="I88"/>
      <c r="J88"/>
      <c r="K88" s="443"/>
      <c r="L88" s="443"/>
    </row>
    <row r="89" spans="3:12" s="187" customFormat="1" ht="15" customHeight="1">
      <c r="C89" s="1428"/>
      <c r="D89" s="1435"/>
      <c r="E89" s="1425" t="str">
        <f>IF(Indice_index!$Z$1=1,"Instituições de Ensino Superior","Higher Education Institutions")</f>
        <v>Instituições de Ensino Superior</v>
      </c>
      <c r="F89" s="1431">
        <v>0</v>
      </c>
      <c r="G89" s="585"/>
      <c r="H89"/>
      <c r="I89"/>
      <c r="J89"/>
      <c r="K89" s="443"/>
      <c r="L89" s="443"/>
    </row>
    <row r="90" spans="3:12" s="187" customFormat="1" ht="15" customHeight="1">
      <c r="C90" s="1428" t="str">
        <f>IF(Indice_index!$Z$1=1,"MEd","MEd")</f>
        <v>MEd</v>
      </c>
      <c r="D90" s="1446" t="str">
        <f>IF(Indice_index!$Z$1=1,"P012 - Ensino Básico e Secundário e Adm. Escolar","P012 - Basic and Secondary Education and School Administration")</f>
        <v>P012 - Ensino Básico e Secundário e Adm. Escolar</v>
      </c>
      <c r="E90" s="1425" t="str">
        <f>IF(Indice_index!$Z$1=1,"003 - Serv. Gerais da A.P. - Cooperação económica externa","003 - General public services - External economic cooperation")</f>
        <v>003 - Serv. Gerais da A.P. - Cooperação económica externa</v>
      </c>
      <c r="F90" s="1426">
        <v>1.6649620000000001</v>
      </c>
      <c r="G90" s="585"/>
      <c r="H90"/>
      <c r="I90"/>
      <c r="J90"/>
      <c r="K90" s="443"/>
      <c r="L90" s="443"/>
    </row>
    <row r="91" spans="3:12" s="187" customFormat="1" ht="15" customHeight="1">
      <c r="C91" s="1428"/>
      <c r="D91" s="1447"/>
      <c r="E91" s="1433" t="str">
        <f>IF(Indice_index!$Z$1=1,"015 - Educação - Administração e regulamentação","015 - Education - Administration and regulations")</f>
        <v>015 - Educação - Administração e regulamentação</v>
      </c>
      <c r="F91" s="1427">
        <v>11.666751</v>
      </c>
      <c r="G91" s="585"/>
      <c r="H91"/>
      <c r="I91"/>
      <c r="J91"/>
      <c r="K91" s="443"/>
      <c r="L91" s="443"/>
    </row>
    <row r="92" spans="3:12" s="187" customFormat="1" ht="15" customHeight="1">
      <c r="C92" s="1428"/>
      <c r="D92" s="1424"/>
      <c r="E92" s="1433" t="str">
        <f>IF(Indice_index!$Z$1=1,"017 - Educação - Estabelecimentos de ensino não superior","017 - Education - Non higher educations institutions")</f>
        <v>017 - Educação - Estabelecimentos de ensino não superior</v>
      </c>
      <c r="F92" s="1427">
        <v>10.340909</v>
      </c>
      <c r="G92" s="585"/>
      <c r="H92"/>
      <c r="I92"/>
      <c r="J92"/>
      <c r="K92" s="443"/>
      <c r="L92" s="443"/>
    </row>
    <row r="93" spans="3:12" s="187" customFormat="1" ht="15" customHeight="1">
      <c r="C93" s="1428"/>
      <c r="D93" s="1424"/>
      <c r="E93" s="1433" t="str">
        <f>IF(Indice_index!$Z$1=1,"019 - Educação - Serviços auxiliares de ensino","019 - Education - Educational ancillary services")</f>
        <v>019 - Educação - Serviços auxiliares de ensino</v>
      </c>
      <c r="F93" s="1427">
        <v>2.8611219999999999</v>
      </c>
      <c r="G93" s="585"/>
      <c r="H93"/>
      <c r="I93"/>
      <c r="J93"/>
      <c r="K93" s="443"/>
      <c r="L93" s="443"/>
    </row>
    <row r="94" spans="3:12" s="187" customFormat="1" ht="15" customHeight="1">
      <c r="C94" s="1428"/>
      <c r="D94" s="1444"/>
      <c r="E94" s="1424" t="str">
        <f>D90</f>
        <v>P012 - Ensino Básico e Secundário e Adm. Escolar</v>
      </c>
      <c r="F94" s="1445">
        <f>SUM(F90:F93)</f>
        <v>26.533743999999999</v>
      </c>
      <c r="G94" s="585"/>
      <c r="H94"/>
      <c r="I94"/>
      <c r="J94"/>
      <c r="K94" s="443"/>
      <c r="L94" s="443"/>
    </row>
    <row r="95" spans="3:12" s="187" customFormat="1" ht="15" customHeight="1">
      <c r="C95" s="1428"/>
      <c r="D95" s="1435"/>
      <c r="E95" s="1425" t="str">
        <f>IF(Indice_index!$Z$1=1,"Estabelecimentos de Educação e Ensino Básico e Secundário","Education establishments and primary and secondary education")</f>
        <v>Estabelecimentos de Educação e Ensino Básico e Secundário</v>
      </c>
      <c r="F95" s="1431">
        <v>0</v>
      </c>
      <c r="G95" s="585"/>
      <c r="H95"/>
      <c r="I95"/>
      <c r="J95"/>
      <c r="K95" s="443"/>
      <c r="L95" s="443"/>
    </row>
    <row r="96" spans="3:12" s="187" customFormat="1" ht="15" customHeight="1">
      <c r="C96" s="1428" t="str">
        <f>IF(Indice_index!$Z$1=1,"MTSSS","MLSSF")</f>
        <v>MTSSS</v>
      </c>
      <c r="D96" s="1446" t="str">
        <f>IF(Indice_index!$Z$1=1,"P013 - Trabalho, Solidariedade e Seg. Social","P013 - Work, Solidarity and Social Security")</f>
        <v>P013 - Trabalho, Solidariedade e Seg. Social</v>
      </c>
      <c r="E96" s="1425" t="str">
        <f>IF(Indice_index!$Z$1=1,"001 - Serv. Gerais da A.P. - Administração geral","001 - General public services - General Administration")</f>
        <v>001 - Serv. Gerais da A.P. - Administração geral</v>
      </c>
      <c r="F96" s="1426">
        <v>5.1045E-2</v>
      </c>
      <c r="G96" s="585"/>
      <c r="H96"/>
      <c r="I96"/>
      <c r="J96"/>
      <c r="K96" s="443"/>
      <c r="L96" s="443"/>
    </row>
    <row r="97" spans="3:12" s="187" customFormat="1" ht="15" customHeight="1">
      <c r="C97" s="1428"/>
      <c r="D97" s="1447"/>
      <c r="E97" s="1433" t="str">
        <f>IF(Indice_index!$Z$1=1,"003 - Serv. Gerais da A.P. - Cooperação económica externa","003 - General public services - External economic cooperation")</f>
        <v>003 - Serv. Gerais da A.P. - Cooperação económica externa</v>
      </c>
      <c r="F97" s="1427">
        <v>0.14216300000000001</v>
      </c>
      <c r="G97" s="585"/>
      <c r="H97"/>
      <c r="I97"/>
      <c r="J97"/>
      <c r="K97" s="443"/>
      <c r="L97" s="443"/>
    </row>
    <row r="98" spans="3:12" s="187" customFormat="1" ht="15" customHeight="1">
      <c r="C98" s="1428"/>
      <c r="D98" s="1424"/>
      <c r="E98" s="1433" t="str">
        <f>IF(Indice_index!$Z$1=1,"024 - Segurança e acção social - Administração e regulamentação","024 - Social Security and Action - Administration and regulations")</f>
        <v>024 - Segurança e acção social - Administração e regulamentação</v>
      </c>
      <c r="F98" s="1427">
        <v>0.61098399999999997</v>
      </c>
      <c r="G98" s="585"/>
      <c r="H98"/>
      <c r="I98"/>
      <c r="J98"/>
      <c r="K98" s="443"/>
      <c r="L98" s="443"/>
    </row>
    <row r="99" spans="3:12" s="187" customFormat="1" ht="15" customHeight="1">
      <c r="C99" s="1428"/>
      <c r="D99" s="1424"/>
      <c r="E99" s="1433" t="str">
        <f>IF(Indice_index!$Z$1=1,"026 - Segurança e acção social - Segurança social","026 - Social Security and Action - Social Security")</f>
        <v>026 - Segurança e acção social - Segurança social</v>
      </c>
      <c r="F99" s="1427">
        <v>10.675789999999999</v>
      </c>
      <c r="G99" s="585"/>
      <c r="H99"/>
      <c r="I99"/>
      <c r="J99"/>
      <c r="K99" s="443"/>
      <c r="L99" s="443"/>
    </row>
    <row r="100" spans="3:12" s="187" customFormat="1" ht="15" customHeight="1">
      <c r="C100" s="1428"/>
      <c r="D100" s="1424"/>
      <c r="E100" s="1433" t="str">
        <f>IF(Indice_index!$Z$1=1,"027 - Segurança e acção social - Acção social","027 - Social Security and Action - Social Action")</f>
        <v>027 - Segurança e acção social - Acção social</v>
      </c>
      <c r="F100" s="1427">
        <v>14.989535</v>
      </c>
      <c r="G100" s="585"/>
      <c r="H100"/>
      <c r="I100"/>
      <c r="J100"/>
      <c r="K100" s="443"/>
      <c r="L100" s="443"/>
    </row>
    <row r="101" spans="3:12" s="187" customFormat="1" ht="15" customHeight="1">
      <c r="C101" s="1428"/>
      <c r="D101" s="1424"/>
      <c r="E101" s="1433" t="str">
        <f>IF(Indice_index!$Z$1=1,"064 - Outras funções económicas - Relações gerais do trabalho","064 - Other economic functions - General labor relations")</f>
        <v>064 - Outras funções económicas - Relações gerais do trabalho</v>
      </c>
      <c r="F101" s="1427">
        <v>18.022321999999999</v>
      </c>
      <c r="G101" s="585"/>
      <c r="H101"/>
      <c r="I101"/>
      <c r="J101"/>
      <c r="K101" s="443"/>
      <c r="L101" s="443"/>
    </row>
    <row r="102" spans="3:12" s="187" customFormat="1" ht="15" customHeight="1">
      <c r="C102" s="1428"/>
      <c r="D102" s="1424"/>
      <c r="E102" s="1433" t="str">
        <f>IF(Indice_index!$Z$1=1,"065 - Outras funções económicas - Diversas não especificadas","065 - Other economic functions - Various unspecified")</f>
        <v>065 - Outras funções económicas - Diversas não especificadas</v>
      </c>
      <c r="F102" s="1427">
        <v>7.3285000000000003E-2</v>
      </c>
      <c r="G102" s="585"/>
      <c r="H102"/>
      <c r="I102"/>
      <c r="J102"/>
      <c r="K102" s="443"/>
      <c r="L102" s="443"/>
    </row>
    <row r="103" spans="3:12" s="187" customFormat="1" ht="15" customHeight="1">
      <c r="C103" s="1428"/>
      <c r="D103" s="1424"/>
      <c r="E103" s="1433" t="str">
        <f>IF(Indice_index!$Z$1=1,"083 - Segurança e Ação Social - Integração da pessoa com deficiência","083 - Social Security and Action - Integration of the handicapped person")</f>
        <v>083 - Segurança e Ação Social - Integração da pessoa com deficiência</v>
      </c>
      <c r="F103" s="1427">
        <v>0.31229800000000002</v>
      </c>
      <c r="G103" s="585"/>
      <c r="H103"/>
      <c r="I103"/>
      <c r="J103"/>
      <c r="K103" s="443"/>
      <c r="L103" s="443"/>
    </row>
    <row r="104" spans="3:12" s="187" customFormat="1" ht="15" customHeight="1">
      <c r="C104" s="1428"/>
      <c r="D104" s="1429"/>
      <c r="E104" s="1435" t="str">
        <f>D96</f>
        <v>P013 - Trabalho, Solidariedade e Seg. Social</v>
      </c>
      <c r="F104" s="1438">
        <f>SUM(F96:F103)</f>
        <v>44.877421999999996</v>
      </c>
      <c r="G104" s="585"/>
      <c r="H104"/>
      <c r="I104"/>
      <c r="J104"/>
      <c r="K104" s="443"/>
      <c r="L104" s="443"/>
    </row>
    <row r="105" spans="3:12" s="187" customFormat="1" ht="15" customHeight="1">
      <c r="C105" s="1428" t="str">
        <f>IF(Indice_index!$Z$1=1,"MS","MH")</f>
        <v>MS</v>
      </c>
      <c r="D105" s="1424" t="str">
        <f>IF(Indice_index!$Z$1=1,"P014 - Saúde","P014 - Health")</f>
        <v>P014 - Saúde</v>
      </c>
      <c r="E105" s="1425" t="str">
        <f>IF(Indice_index!$Z$1=1,"020 - Saúde - Administração e regulamentação","020 - Health - Administration and regulations")</f>
        <v>020 - Saúde - Administração e regulamentação</v>
      </c>
      <c r="F105" s="1426">
        <v>1.4578139999999999</v>
      </c>
      <c r="G105" s="585"/>
      <c r="H105"/>
      <c r="I105"/>
      <c r="J105"/>
      <c r="K105" s="443"/>
      <c r="L105" s="443"/>
    </row>
    <row r="106" spans="3:12" s="187" customFormat="1" ht="15" customHeight="1">
      <c r="C106" s="1428"/>
      <c r="D106" s="1444"/>
      <c r="E106" s="1424" t="str">
        <f>D105</f>
        <v>P014 - Saúde</v>
      </c>
      <c r="F106" s="1445">
        <f>SUM(F105:F105)</f>
        <v>1.4578139999999999</v>
      </c>
      <c r="G106" s="585"/>
      <c r="H106"/>
      <c r="I106"/>
      <c r="J106"/>
      <c r="K106" s="443"/>
      <c r="L106" s="443"/>
    </row>
    <row r="107" spans="3:12" s="187" customFormat="1" ht="15" customHeight="1">
      <c r="C107" s="1428"/>
      <c r="D107" s="1435"/>
      <c r="E107" s="1425" t="str">
        <f>IF(Indice_index!$Z$1=1,"Serviço Nacional de Saúde","National Health Service")</f>
        <v>Serviço Nacional de Saúde</v>
      </c>
      <c r="F107" s="1431">
        <v>0</v>
      </c>
      <c r="G107" s="585"/>
      <c r="H107"/>
      <c r="I107"/>
      <c r="J107"/>
      <c r="K107" s="443"/>
      <c r="L107" s="443"/>
    </row>
    <row r="108" spans="3:12" s="187" customFormat="1" ht="15" customHeight="1">
      <c r="C108" s="1428" t="str">
        <f>IF(Indice_index!$Z$1=1,"MAAC","MECA")</f>
        <v>MAAC</v>
      </c>
      <c r="D108" s="1428" t="str">
        <f>IF(Indice_index!$Z$1=1,"P015 - Ambiente e Ação Climática","P015 -  Environment and Climate Action")</f>
        <v>P015 - Ambiente e Ação Climática</v>
      </c>
      <c r="E108" s="1433" t="str">
        <f>IF(Indice_index!$Z$1=1,"031 - Habitação e serv. Colectivos - Ordenamento do território","031 - Housing and Common services - Land-use")</f>
        <v>031 - Habitação e serv. Colectivos - Ordenamento do território</v>
      </c>
      <c r="F108" s="1427">
        <v>0.14852299999999999</v>
      </c>
      <c r="G108" s="585"/>
      <c r="H108"/>
      <c r="I108"/>
      <c r="J108"/>
      <c r="K108" s="443"/>
      <c r="L108" s="443"/>
    </row>
    <row r="109" spans="3:12" s="187" customFormat="1" ht="15" customHeight="1">
      <c r="C109" s="1428"/>
      <c r="D109" s="1424"/>
      <c r="E109" s="1433" t="str">
        <f>IF(Indice_index!$Z$1=1,"033 - Habitação e serv. Colectivos - Protecção do meio ambiente e conservação da natureza","033 - Housing and Common services - Protection of the Environment and conservation of nature")</f>
        <v>033 - Habitação e serv. Colectivos - Protecção do meio ambiente e conservação da natureza</v>
      </c>
      <c r="F109" s="1427">
        <v>9.7732690000000009</v>
      </c>
      <c r="G109" s="585"/>
      <c r="H109"/>
      <c r="I109"/>
      <c r="J109"/>
      <c r="K109" s="443"/>
      <c r="L109" s="443"/>
    </row>
    <row r="110" spans="3:12" s="187" customFormat="1" ht="15" customHeight="1">
      <c r="C110" s="1428"/>
      <c r="D110" s="1424"/>
      <c r="E110" s="1433" t="str">
        <f>IF(Indice_index!$Z$1=1,"046 - Industria e energia - administração e regulamentação","046 - Industry and energy - Administration and regulations")</f>
        <v>046 - Industria e energia - administração e regulamentação</v>
      </c>
      <c r="F110" s="1427">
        <v>3.020235</v>
      </c>
      <c r="G110" s="585"/>
      <c r="H110"/>
      <c r="I110"/>
      <c r="J110"/>
      <c r="K110" s="443"/>
      <c r="L110" s="443"/>
    </row>
    <row r="111" spans="3:12" s="187" customFormat="1" ht="15" customHeight="1">
      <c r="C111" s="1428"/>
      <c r="D111" s="1424"/>
      <c r="E111" s="1433" t="str">
        <f>IF(Indice_index!$Z$1=1,"047 - Industria e energia - Investigação","047 - Industry and energy - Research")</f>
        <v>047 - Industria e energia - Investigação</v>
      </c>
      <c r="F111" s="1427">
        <v>4.6479559999999998</v>
      </c>
      <c r="G111" s="585"/>
      <c r="H111"/>
      <c r="I111"/>
      <c r="J111"/>
      <c r="K111" s="443"/>
      <c r="L111" s="443"/>
    </row>
    <row r="112" spans="3:12" s="187" customFormat="1" ht="15" customHeight="1">
      <c r="C112" s="1428"/>
      <c r="D112" s="1424"/>
      <c r="E112" s="1433" t="str">
        <f>IF(Indice_index!$Z$1=1,"051 - Industria e energia - Combustíveis, electricidade e outras fontes de energia","051 - Industry e energy - Fuel, electricity and other sources of energy ")</f>
        <v>051 - Industria e energia - Combustíveis, electricidade e outras fontes de energia</v>
      </c>
      <c r="F112" s="1427">
        <v>6.0097019999999999</v>
      </c>
      <c r="G112" s="585"/>
      <c r="H112"/>
      <c r="I112"/>
      <c r="J112"/>
      <c r="K112" s="443"/>
      <c r="L112" s="443"/>
    </row>
    <row r="113" spans="3:12" s="187" customFormat="1" ht="15" customHeight="1">
      <c r="C113" s="1428"/>
      <c r="D113" s="1424"/>
      <c r="E113" s="1433" t="str">
        <f>IF(Indice_index!$Z$1=1,"055 - Transportes e comunicações - Transportes ferroviários","055 - Transport and Communications - Rail transport")</f>
        <v>055 - Transportes e comunicações - Transportes ferroviários</v>
      </c>
      <c r="F113" s="1427">
        <v>23.693591999999999</v>
      </c>
      <c r="G113" s="585"/>
      <c r="H113"/>
      <c r="I113"/>
      <c r="J113"/>
      <c r="K113" s="443"/>
      <c r="L113" s="443"/>
    </row>
    <row r="114" spans="3:12" s="187" customFormat="1" ht="15" customHeight="1">
      <c r="C114" s="1428"/>
      <c r="D114" s="1424"/>
      <c r="E114" s="1433" t="str">
        <f>IF(Indice_index!$Z$1=1,"057 - Transportes e comunicações - Transportes marítimos e fluviais","057 - Transport and Communications - Water transport")</f>
        <v>057 - Transportes e comunicações - Transportes marítimos e fluviais</v>
      </c>
      <c r="F114" s="1427">
        <v>7.4662829999999998</v>
      </c>
      <c r="G114" s="585"/>
      <c r="H114"/>
      <c r="I114"/>
      <c r="J114"/>
      <c r="K114" s="443"/>
      <c r="L114" s="443"/>
    </row>
    <row r="115" spans="3:12" s="187" customFormat="1" ht="15" customHeight="1">
      <c r="C115" s="1428"/>
      <c r="D115" s="1424"/>
      <c r="E115" s="1433" t="str">
        <f>IF(Indice_index!$Z$1=1,"063 - Outras funções económicas - Administração e regulamentação","063 - Outher economic functions - Administration e regulation")</f>
        <v>063 - Outras funções económicas - Administração e regulamentação</v>
      </c>
      <c r="F115" s="1427">
        <v>3.0321440000000002</v>
      </c>
      <c r="G115" s="585"/>
      <c r="H115"/>
      <c r="I115"/>
      <c r="J115"/>
      <c r="K115" s="443"/>
      <c r="L115" s="443"/>
    </row>
    <row r="116" spans="3:12" s="187" customFormat="1" ht="15" customHeight="1">
      <c r="C116" s="1428"/>
      <c r="D116" s="1424"/>
      <c r="E116" s="1433" t="str">
        <f>IF(Indice_index!$Z$1=1,"065 - Outras funções económicas - Diversas não especificadas","065 - Other economic functions - Various unspecified")</f>
        <v>065 - Outras funções económicas - Diversas não especificadas</v>
      </c>
      <c r="F116" s="1426">
        <v>3.297E-3</v>
      </c>
      <c r="G116" s="585"/>
      <c r="H116"/>
      <c r="I116"/>
      <c r="J116"/>
      <c r="K116" s="443"/>
      <c r="L116" s="443"/>
    </row>
    <row r="117" spans="3:12" s="187" customFormat="1" ht="15" customHeight="1">
      <c r="C117" s="1428"/>
      <c r="D117" s="1424"/>
      <c r="E117" s="1433" t="str">
        <f>IF(Indice_index!$Z$1=1,"085 - Florestas","085 - Forests")</f>
        <v>085 - Florestas</v>
      </c>
      <c r="F117" s="1427">
        <v>0.83633199999999996</v>
      </c>
      <c r="G117" s="585"/>
      <c r="H117"/>
      <c r="I117"/>
      <c r="J117"/>
      <c r="K117" s="443"/>
      <c r="L117" s="443"/>
    </row>
    <row r="118" spans="3:12" s="187" customFormat="1" ht="15" customHeight="1">
      <c r="C118" s="1428"/>
      <c r="D118" s="1424"/>
      <c r="E118" s="1425" t="str">
        <f>IF(Indice_index!$Z$1=1,"101 - Plano Nacional de Gestão Integrada de Fogos Rurais","101 - National Plan on Integrated Rural Fire Management")</f>
        <v>101 - Plano Nacional de Gestão Integrada de Fogos Rurais</v>
      </c>
      <c r="F118" s="1426">
        <v>1.6222000000000001</v>
      </c>
      <c r="G118" s="585"/>
      <c r="H118"/>
      <c r="I118"/>
      <c r="J118"/>
      <c r="K118" s="443"/>
      <c r="L118" s="443"/>
    </row>
    <row r="119" spans="3:12" s="187" customFormat="1" ht="15" customHeight="1">
      <c r="C119" s="1428"/>
      <c r="D119" s="1429"/>
      <c r="E119" s="1435" t="str">
        <f>D108</f>
        <v>P015 - Ambiente e Ação Climática</v>
      </c>
      <c r="F119" s="1431">
        <f>SUM(F108:F118)</f>
        <v>60.253533000000004</v>
      </c>
      <c r="G119" s="585"/>
      <c r="H119"/>
      <c r="I119"/>
      <c r="J119"/>
      <c r="K119" s="443"/>
      <c r="L119" s="443"/>
    </row>
    <row r="120" spans="3:12" s="187" customFormat="1" ht="15" customHeight="1">
      <c r="C120" s="1428" t="str">
        <f>IF(Indice_index!$Z$1=1,"MIH","MIH")</f>
        <v>MIH</v>
      </c>
      <c r="D120" s="1424" t="str">
        <f>IF(Indice_index!$Z$1=1,"P016 - Infraestruturas e Habitação","P016 - Infrastructures and Housing")</f>
        <v>P016 - Infraestruturas e Habitação</v>
      </c>
      <c r="E120" s="1425" t="str">
        <f>IF(Indice_index!$Z$1=1,"001 - Serv. Gerais da A.P. - Administração geral","001 - General public services - General Administration")</f>
        <v>001 - Serv. Gerais da A.P. - Administração geral</v>
      </c>
      <c r="F120" s="1426">
        <v>0.72316499999999995</v>
      </c>
      <c r="G120" s="585"/>
      <c r="H120"/>
      <c r="I120"/>
      <c r="J120"/>
      <c r="K120" s="443"/>
      <c r="L120" s="443"/>
    </row>
    <row r="121" spans="3:12" s="187" customFormat="1" ht="15" customHeight="1">
      <c r="C121" s="1428"/>
      <c r="D121" s="1424"/>
      <c r="E121" s="1433" t="str">
        <f>IF(Indice_index!$Z$1=1,"004 - Serv. Gerais da A.P. - Investigação científica de carácter geral","004 - General public services - General scientific research")</f>
        <v>004 - Serv. Gerais da A.P. - Investigação científica de carácter geral</v>
      </c>
      <c r="F121" s="1427">
        <v>6.25E-2</v>
      </c>
      <c r="G121" s="585"/>
      <c r="H121"/>
      <c r="I121"/>
      <c r="J121"/>
      <c r="K121" s="443"/>
      <c r="L121" s="443"/>
    </row>
    <row r="122" spans="3:12" s="187" customFormat="1" ht="15" customHeight="1">
      <c r="C122" s="1428"/>
      <c r="D122" s="1424"/>
      <c r="E122" s="1433" t="str">
        <f>IF(Indice_index!$Z$1=1,"030 - Habitação e serv. Colectivos - Habitação","030 - Housing and Common services - Housing")</f>
        <v>030 - Habitação e serv. Colectivos - Habitação</v>
      </c>
      <c r="F122" s="1427">
        <v>5.7537459999999996</v>
      </c>
      <c r="G122" s="585"/>
      <c r="H122"/>
      <c r="I122"/>
      <c r="J122"/>
      <c r="K122" s="443"/>
      <c r="L122" s="443"/>
    </row>
    <row r="123" spans="3:12" s="187" customFormat="1" ht="15" customHeight="1">
      <c r="C123" s="1428"/>
      <c r="D123" s="1424"/>
      <c r="E123" s="1433" t="str">
        <f>IF(Indice_index!$Z$1=1,"052 - Transportes e comunicações - Administração e regulamentação","052 - Transport and Communications - Administration and regulations")</f>
        <v>052 - Transportes e comunicações - Administração e regulamentação</v>
      </c>
      <c r="F123" s="1427">
        <v>16.186523000000001</v>
      </c>
      <c r="G123" s="585"/>
      <c r="H123"/>
      <c r="I123"/>
      <c r="J123"/>
      <c r="K123" s="443"/>
      <c r="L123" s="443"/>
    </row>
    <row r="124" spans="3:12" s="187" customFormat="1" ht="15" customHeight="1">
      <c r="C124" s="1428"/>
      <c r="D124" s="1424"/>
      <c r="E124" s="1433" t="str">
        <f>IF(Indice_index!$Z$1=1,"054 - Transportes e comunicações - Transportes rodoviários","054 - Transport and Communications - Road transport")</f>
        <v>054 - Transportes e comunicações - Transportes rodoviários</v>
      </c>
      <c r="F124" s="1427">
        <v>3.2971849999999998</v>
      </c>
      <c r="G124" s="585"/>
      <c r="H124"/>
      <c r="I124"/>
      <c r="J124"/>
      <c r="K124" s="443"/>
      <c r="L124" s="443"/>
    </row>
    <row r="125" spans="3:12" s="187" customFormat="1" ht="15" customHeight="1">
      <c r="C125" s="1428"/>
      <c r="D125" s="1424"/>
      <c r="E125" s="1433" t="str">
        <f>IF(Indice_index!$Z$1=1,"055 - Transportes e comunicações - Transportes ferroviários","055 - Transport and Communications - Rail transport")</f>
        <v>055 - Transportes e comunicações - Transportes ferroviários</v>
      </c>
      <c r="F125" s="1427">
        <v>59.566637</v>
      </c>
      <c r="G125" s="585"/>
      <c r="H125"/>
      <c r="I125"/>
      <c r="J125"/>
      <c r="K125" s="443"/>
      <c r="L125" s="443"/>
    </row>
    <row r="126" spans="3:12" s="187" customFormat="1" ht="15" customHeight="1">
      <c r="C126" s="1428"/>
      <c r="D126" s="1424"/>
      <c r="E126" s="1433" t="str">
        <f>IF(Indice_index!$Z$1=1,"056 - Transportes e comunicações - Transportes aéreos","056 - Transport and Communications - Air transport")</f>
        <v>056 - Transportes e comunicações - Transportes aéreos</v>
      </c>
      <c r="F126" s="1427">
        <v>1.465122</v>
      </c>
      <c r="G126" s="585"/>
      <c r="H126"/>
      <c r="I126"/>
      <c r="J126"/>
      <c r="K126" s="443"/>
      <c r="L126" s="443"/>
    </row>
    <row r="127" spans="3:12" s="187" customFormat="1" ht="15" customHeight="1">
      <c r="C127" s="1428"/>
      <c r="D127" s="1424"/>
      <c r="E127" s="1433" t="str">
        <f>IF(Indice_index!$Z$1=1,"063 - Outras funções económicas - Administração e regulamentação","063 - Outher economic functions - Administration e regulation")</f>
        <v>063 - Outras funções económicas - Administração e regulamentação</v>
      </c>
      <c r="F127" s="1427">
        <v>1.282063</v>
      </c>
      <c r="G127" s="585"/>
      <c r="H127"/>
      <c r="I127"/>
      <c r="J127"/>
      <c r="K127" s="443"/>
      <c r="L127" s="443"/>
    </row>
    <row r="128" spans="3:12" s="187" customFormat="1" ht="15" customHeight="1">
      <c r="C128" s="1428"/>
      <c r="D128" s="1424"/>
      <c r="E128" s="1433" t="str">
        <f>IF(Indice_index!$Z$1=1,"101 - Plano Nacional de Gestão Integrada de Fogos Rurais","101 - National Plan on Integrated Rural Fire Management")</f>
        <v>101 - Plano Nacional de Gestão Integrada de Fogos Rurais</v>
      </c>
      <c r="F128" s="1427">
        <v>17.908571999999999</v>
      </c>
      <c r="G128" s="585"/>
      <c r="H128"/>
      <c r="I128"/>
      <c r="J128"/>
      <c r="K128" s="443"/>
      <c r="L128" s="443"/>
    </row>
    <row r="129" spans="3:12" s="187" customFormat="1" ht="15" customHeight="1">
      <c r="C129" s="1428"/>
      <c r="D129" s="1429"/>
      <c r="E129" s="1435" t="str">
        <f>D120</f>
        <v>P016 - Infraestruturas e Habitação</v>
      </c>
      <c r="F129" s="1438">
        <f>SUM(F120:F128)</f>
        <v>106.24551299999999</v>
      </c>
      <c r="G129" s="585"/>
      <c r="H129"/>
      <c r="I129"/>
      <c r="J129"/>
      <c r="K129" s="443"/>
      <c r="L129" s="443"/>
    </row>
    <row r="130" spans="3:12" s="187" customFormat="1" ht="15" customHeight="1">
      <c r="C130" s="1428" t="str">
        <f>IF(Indice_index!$Z$1=1,"MAA","MAA")</f>
        <v>MAA</v>
      </c>
      <c r="D130" s="1424" t="str">
        <f>IF(Indice_index!$Z$1=1,"P017 - Agricultura e Alimentação","P017 - Agriculture and Food")</f>
        <v>P017 - Agricultura e Alimentação</v>
      </c>
      <c r="E130" s="1433" t="str">
        <f>IF(Indice_index!$Z$1=1,"004 - Serv. Gerais da A.P. - Investigação científica de carácter geral","004 - General public services - General scientific research")</f>
        <v>004 - Serv. Gerais da A.P. - Investigação científica de carácter geral</v>
      </c>
      <c r="F130" s="1427">
        <v>5.6039999999999996E-3</v>
      </c>
      <c r="G130" s="585"/>
      <c r="H130"/>
      <c r="I130"/>
      <c r="J130"/>
      <c r="K130" s="443"/>
      <c r="L130" s="443"/>
    </row>
    <row r="131" spans="3:12" s="187" customFormat="1" ht="15" customHeight="1">
      <c r="C131" s="1428"/>
      <c r="D131" s="1424"/>
      <c r="E131" s="1433" t="str">
        <f>IF(Indice_index!$Z$1=1,"040 - Agricultura, pecuária, silv, caça, pesca - Administração e regulamentação","040 - Crops, livestock, forestry, fisheries - Administration and regulations")</f>
        <v>040 - Agricultura, pecuária, silv, caça, pesca - Administração e regulamentação</v>
      </c>
      <c r="F131" s="1427">
        <v>5.3995670000000002</v>
      </c>
      <c r="G131" s="585"/>
      <c r="H131"/>
      <c r="I131"/>
      <c r="J131"/>
      <c r="K131" s="443"/>
      <c r="L131" s="443"/>
    </row>
    <row r="132" spans="3:12" s="187" customFormat="1" ht="15" customHeight="1">
      <c r="C132" s="1428"/>
      <c r="D132" s="1424"/>
      <c r="E132" s="1433" t="str">
        <f>IF(Indice_index!$Z$1=1,"041 - Agricultura, pecuária, silv, caça, pesca - Investigação","041 - Crops, livestock, forestry, fisheries - Research")</f>
        <v>041 - Agricultura, pecuária, silv, caça, pesca - Investigação</v>
      </c>
      <c r="F132" s="1427">
        <v>3.7187999999999999E-2</v>
      </c>
      <c r="G132" s="585"/>
      <c r="H132"/>
      <c r="I132"/>
      <c r="J132"/>
      <c r="K132" s="443"/>
      <c r="L132" s="443"/>
    </row>
    <row r="133" spans="3:12" s="187" customFormat="1" ht="15" customHeight="1">
      <c r="C133" s="1428"/>
      <c r="D133" s="1424"/>
      <c r="E133" s="1433" t="str">
        <f>IF(Indice_index!$Z$1=1,"042 - Agricultura, pecuária, silv, caça, pesca - Agricultura e pecuária","042 - Crops, livestock, forestry, fisheries - Crops and livestock")</f>
        <v>042 - Agricultura, pecuária, silv, caça, pesca - Agricultura e pecuária</v>
      </c>
      <c r="F133" s="1427">
        <v>22.480436000000001</v>
      </c>
      <c r="G133" s="585"/>
      <c r="H133"/>
      <c r="I133"/>
      <c r="J133"/>
      <c r="K133" s="443"/>
      <c r="L133" s="443"/>
    </row>
    <row r="134" spans="3:12" s="187" customFormat="1" ht="15" customHeight="1">
      <c r="C134" s="1428"/>
      <c r="D134" s="1424"/>
      <c r="E134" s="1433" t="str">
        <f>IF(Indice_index!$Z$1=1,"045 - Agricultura, pecuária, silv, caça, pesca – Pesca","045 - Crops, livestock, forestry, fisheries – Fisheries")</f>
        <v>045 - Agricultura, pecuária, silv, caça, pesca – Pesca</v>
      </c>
      <c r="F134" s="1427">
        <v>0.89322400000000002</v>
      </c>
      <c r="G134" s="585"/>
      <c r="H134"/>
      <c r="I134"/>
      <c r="J134"/>
      <c r="K134" s="443"/>
      <c r="L134" s="443"/>
    </row>
    <row r="135" spans="3:12" s="187" customFormat="1" ht="15" customHeight="1">
      <c r="C135" s="1428"/>
      <c r="D135" s="1424"/>
      <c r="E135" s="1433" t="str">
        <f>IF(Indice_index!$Z$1=1,"057 - Transportes e comunicações - Transportes marítimos e fluviais","057 - Transport and Communications - Water transport")</f>
        <v>057 - Transportes e comunicações - Transportes marítimos e fluviais</v>
      </c>
      <c r="F135" s="1427">
        <v>1.1897880000000001</v>
      </c>
      <c r="G135" s="585"/>
      <c r="H135"/>
      <c r="I135"/>
      <c r="J135"/>
      <c r="K135" s="443"/>
      <c r="L135" s="443"/>
    </row>
    <row r="136" spans="3:12" s="187" customFormat="1" ht="15" customHeight="1" thickBot="1">
      <c r="C136" s="1428"/>
      <c r="D136" s="1429"/>
      <c r="E136" s="1435" t="str">
        <f>D130</f>
        <v>P017 - Agricultura e Alimentação</v>
      </c>
      <c r="F136" s="1431">
        <f>SUM(F130:F135)</f>
        <v>30.005807000000001</v>
      </c>
      <c r="G136" s="585"/>
      <c r="H136"/>
      <c r="I136"/>
      <c r="J136"/>
      <c r="K136" s="443"/>
      <c r="L136" s="443"/>
    </row>
    <row r="137" spans="3:12" s="187" customFormat="1" ht="15" customHeight="1" thickBot="1">
      <c r="C137" s="1786" t="str">
        <f>IF(Indice_index!$Z$1=1,"TOTAL Cativos","TOTAL frozen allocations")</f>
        <v>TOTAL Cativos</v>
      </c>
      <c r="D137" s="1787"/>
      <c r="E137" s="1787"/>
      <c r="F137" s="1449">
        <f>F27+F136+F119+F78+F129+F106+F104+F94+F88+F81+F65+F56+F43+F70+F69+F31+F11</f>
        <v>654.92139399999996</v>
      </c>
      <c r="G137" s="586"/>
      <c r="H137"/>
      <c r="I137" s="644"/>
      <c r="J137"/>
      <c r="K137" s="443"/>
      <c r="L137" s="443"/>
    </row>
    <row r="138" spans="3:12" s="187" customFormat="1" ht="15.75" customHeight="1">
      <c r="C138" s="247"/>
      <c r="D138" s="247"/>
      <c r="E138" s="247"/>
      <c r="F138" s="247"/>
      <c r="H138"/>
      <c r="I138"/>
      <c r="J138"/>
    </row>
    <row r="139" spans="3:12" s="187" customFormat="1" ht="19.5" thickBot="1">
      <c r="C139" s="1791" t="str">
        <f>IF(Indice_index!$Z$1=1,"Reserva","Reserve")</f>
        <v>Reserva</v>
      </c>
      <c r="D139" s="1791"/>
      <c r="E139" s="1791"/>
      <c r="F139" s="1791"/>
      <c r="H139"/>
      <c r="I139"/>
      <c r="J139"/>
    </row>
    <row r="140" spans="3:12" s="187" customFormat="1">
      <c r="C140" s="1417"/>
      <c r="D140" s="1417"/>
      <c r="E140" s="1417"/>
      <c r="F140" s="1450"/>
      <c r="H140"/>
      <c r="I140"/>
      <c r="J140"/>
    </row>
    <row r="141" spans="3:12" s="187" customFormat="1">
      <c r="C141" s="1416" t="str">
        <f>C4</f>
        <v>Período: junho</v>
      </c>
      <c r="D141" s="1417"/>
      <c r="E141" s="1417"/>
      <c r="F141" s="1419" t="str">
        <f>IF(Indice_index!$Z$1=1,"€ Milhões","€ Millions")</f>
        <v>€ Milhões</v>
      </c>
      <c r="H141"/>
      <c r="I141"/>
      <c r="J141"/>
    </row>
    <row r="142" spans="3:12" s="187" customFormat="1">
      <c r="C142" s="1788" t="str">
        <f>IF(Indice_index!$Z$1=1,"Ministério","Ministry")</f>
        <v>Ministério</v>
      </c>
      <c r="D142" s="1788" t="str">
        <f>IF(Indice_index!$Z$1=1,"Programa Orçamental","Budgetary program")</f>
        <v>Programa Orçamental</v>
      </c>
      <c r="E142" s="1788" t="str">
        <f>IF(Indice_index!$Z$1=1,"Reserva","Reserve")</f>
        <v>Reserva</v>
      </c>
      <c r="F142" s="1474"/>
      <c r="H142"/>
      <c r="I142"/>
      <c r="J142"/>
    </row>
    <row r="143" spans="3:12" s="187" customFormat="1" ht="20.25" customHeight="1">
      <c r="C143" s="1789"/>
      <c r="D143" s="1789"/>
      <c r="E143" s="1789"/>
      <c r="F143" s="1420" t="str">
        <f>IF(Indice_index!$Z$1=1,"Cativos iniciais","Initial frozen allocations")</f>
        <v>Cativos iniciais</v>
      </c>
      <c r="G143" s="185"/>
      <c r="H143"/>
      <c r="I143"/>
      <c r="J143"/>
    </row>
    <row r="144" spans="3:12">
      <c r="C144" s="1790"/>
      <c r="D144" s="1790"/>
      <c r="E144" s="1790"/>
      <c r="F144" s="1451" t="s">
        <v>65</v>
      </c>
      <c r="K144" s="187"/>
    </row>
    <row r="145" spans="3:11" ht="15" customHeight="1">
      <c r="C145" s="1453" t="str">
        <f>+C8</f>
        <v>EGE</v>
      </c>
      <c r="D145" s="1453" t="str">
        <f>+D8</f>
        <v>P001 - Órgãos de Soberania</v>
      </c>
      <c r="E145" s="1454" t="str">
        <f>IF(Indice_index!$Z$1=1,"Reserva Orçamental","Reserve")</f>
        <v>Reserva Orçamental</v>
      </c>
      <c r="F145" s="1455">
        <v>5.1363849999999998</v>
      </c>
    </row>
    <row r="146" spans="3:11" ht="15" customHeight="1">
      <c r="C146" s="1456" t="str">
        <f>+C12</f>
        <v>PCM</v>
      </c>
      <c r="D146" s="1456" t="str">
        <f>+D12</f>
        <v>P002 - Governação</v>
      </c>
      <c r="E146" s="1457" t="str">
        <f>IF(Indice_index!$Z$1=1,"Reserva Orçamental","Reserve")</f>
        <v>Reserva Orçamental</v>
      </c>
      <c r="F146" s="1458">
        <v>5.2600290000000003</v>
      </c>
    </row>
    <row r="147" spans="3:11" ht="15" customHeight="1">
      <c r="C147" s="1456" t="str">
        <f>+C21</f>
        <v>MCT</v>
      </c>
      <c r="D147" s="1456" t="str">
        <f>+D21</f>
        <v>P002 - Governação</v>
      </c>
      <c r="E147" s="1457" t="str">
        <f>IF(Indice_index!$Z$1=1,"Reserva Orçamental","Reserve")</f>
        <v>Reserva Orçamental</v>
      </c>
      <c r="F147" s="1458">
        <v>1.443878</v>
      </c>
    </row>
    <row r="148" spans="3:11" ht="15" customHeight="1">
      <c r="C148" s="1456" t="str">
        <f>+C28</f>
        <v>MNE</v>
      </c>
      <c r="D148" s="1456" t="str">
        <f>+D28</f>
        <v>P003 - Representação Externa</v>
      </c>
      <c r="E148" s="1457" t="str">
        <f>IF(Indice_index!$Z$1=1,"Reserva Orçamental","Reserve")</f>
        <v>Reserva Orçamental</v>
      </c>
      <c r="F148" s="1458">
        <v>7.8777249999999999</v>
      </c>
    </row>
    <row r="149" spans="3:11" ht="15" customHeight="1">
      <c r="C149" s="1456" t="str">
        <f>+C32</f>
        <v>MDN</v>
      </c>
      <c r="D149" s="1456" t="str">
        <f>+D32</f>
        <v>P004 - Defesa</v>
      </c>
      <c r="E149" s="1457" t="str">
        <f>IF(Indice_index!$Z$1=1,"Reserva Orçamental","Reserve")</f>
        <v>Reserva Orçamental</v>
      </c>
      <c r="F149" s="1458">
        <v>22.731487000000001</v>
      </c>
    </row>
    <row r="150" spans="3:11" ht="15" customHeight="1">
      <c r="C150" s="1456" t="str">
        <f>+C44</f>
        <v>MAI</v>
      </c>
      <c r="D150" s="1456" t="str">
        <f>+D44</f>
        <v>P005 - Segurança Interna</v>
      </c>
      <c r="E150" s="1457" t="str">
        <f>IF(Indice_index!$Z$1=1,"Reserva Orçamental","Reserve")</f>
        <v>Reserva Orçamental</v>
      </c>
      <c r="F150" s="1458">
        <v>45.908163999999999</v>
      </c>
    </row>
    <row r="151" spans="3:11" ht="15" customHeight="1">
      <c r="C151" s="1456" t="str">
        <f>+C57</f>
        <v>MJ</v>
      </c>
      <c r="D151" s="1456" t="str">
        <f>+D57</f>
        <v>P006 - Justiça</v>
      </c>
      <c r="E151" s="1457" t="str">
        <f>IF(Indice_index!$Z$1=1,"Reserva Orçamental","Reserve")</f>
        <v>Reserva Orçamental</v>
      </c>
      <c r="F151" s="1458">
        <v>35.970484999999996</v>
      </c>
    </row>
    <row r="152" spans="3:11" ht="15" customHeight="1">
      <c r="C152" s="1456" t="str">
        <f>+C66</f>
        <v>MF</v>
      </c>
      <c r="D152" s="1456" t="str">
        <f>+D66</f>
        <v>P007 - Finanças</v>
      </c>
      <c r="E152" s="1457" t="str">
        <f>IF(Indice_index!$Z$1=1,"Reserva Orçamental","Reserve")</f>
        <v>Reserva Orçamental</v>
      </c>
      <c r="F152" s="1458">
        <v>37.062869999999997</v>
      </c>
    </row>
    <row r="153" spans="3:11" ht="15" customHeight="1">
      <c r="C153" s="1456" t="str">
        <f>+C71</f>
        <v>MEM</v>
      </c>
      <c r="D153" s="1456" t="str">
        <f>+D71</f>
        <v>P009 - Economia e Mar</v>
      </c>
      <c r="E153" s="1457" t="str">
        <f>IF(Indice_index!$Z$1=1,"Reserva Orçamental","Reserve")</f>
        <v>Reserva Orçamental</v>
      </c>
      <c r="F153" s="1458">
        <v>25.830869</v>
      </c>
    </row>
    <row r="154" spans="3:11" ht="15" customHeight="1">
      <c r="C154" s="1456" t="str">
        <f>+C79</f>
        <v>MC</v>
      </c>
      <c r="D154" s="1456" t="str">
        <f>+D79</f>
        <v>P010 - Cultura</v>
      </c>
      <c r="E154" s="1457" t="str">
        <f>IF(Indice_index!$Z$1=1,"Reserva Orçamental","Reserve")</f>
        <v>Reserva Orçamental</v>
      </c>
      <c r="F154" s="1458">
        <v>6.3398630000000002</v>
      </c>
    </row>
    <row r="155" spans="3:11" s="420" customFormat="1" ht="15" customHeight="1">
      <c r="C155" s="1459" t="str">
        <f>+C83</f>
        <v>MCTES</v>
      </c>
      <c r="D155" s="1459" t="str">
        <f>+D83</f>
        <v>P011 - Ciência, Tecnologia e Ens. Superior</v>
      </c>
      <c r="E155" s="1460" t="str">
        <f>IF(Indice_index!$Z$1=1,"Reserva Orçamental","Reserve")</f>
        <v>Reserva Orçamental</v>
      </c>
      <c r="F155" s="1458">
        <v>11.055078</v>
      </c>
      <c r="H155"/>
      <c r="I155"/>
      <c r="J155"/>
      <c r="K155" s="185"/>
    </row>
    <row r="156" spans="3:11" ht="15" customHeight="1">
      <c r="C156" s="1456" t="str">
        <f>+C90</f>
        <v>MEd</v>
      </c>
      <c r="D156" s="1456" t="str">
        <f>+D90</f>
        <v>P012 - Ensino Básico e Secundário e Adm. Escolar</v>
      </c>
      <c r="E156" s="1457" t="str">
        <f>IF(Indice_index!$Z$1=1,"Reserva Orçamental","Reserve")</f>
        <v>Reserva Orçamental</v>
      </c>
      <c r="F156" s="1458">
        <v>3.2181950000000001</v>
      </c>
      <c r="K156" s="420"/>
    </row>
    <row r="157" spans="3:11" ht="15" customHeight="1">
      <c r="C157" s="1456" t="str">
        <f>+C96</f>
        <v>MTSSS</v>
      </c>
      <c r="D157" s="1456" t="str">
        <f>+D96</f>
        <v>P013 - Trabalho, Solidariedade e Seg. Social</v>
      </c>
      <c r="E157" s="1457" t="str">
        <f>IF(Indice_index!$Z$1=1,"Reserva Orçamental","Reserve")</f>
        <v>Reserva Orçamental</v>
      </c>
      <c r="F157" s="1458">
        <v>25.781593000000001</v>
      </c>
    </row>
    <row r="158" spans="3:11" ht="15" customHeight="1">
      <c r="C158" s="1456" t="str">
        <f>+C105</f>
        <v>MS</v>
      </c>
      <c r="D158" s="1456" t="str">
        <f>+D105</f>
        <v>P014 - Saúde</v>
      </c>
      <c r="E158" s="1457" t="str">
        <f>IF(Indice_index!$Z$1=1,"Reserva Orçamental","Reserve")</f>
        <v>Reserva Orçamental</v>
      </c>
      <c r="F158" s="1458">
        <v>1.614336</v>
      </c>
    </row>
    <row r="159" spans="3:11" ht="15" customHeight="1">
      <c r="C159" s="1456" t="str">
        <f>+C108</f>
        <v>MAAC</v>
      </c>
      <c r="D159" s="1456" t="str">
        <f>+D108</f>
        <v>P015 - Ambiente e Ação Climática</v>
      </c>
      <c r="E159" s="1457" t="str">
        <f>IF(Indice_index!$Z$1=1,"Reserva Orçamental","Reserve")</f>
        <v>Reserva Orçamental</v>
      </c>
      <c r="F159" s="1458">
        <v>29.751135999999999</v>
      </c>
    </row>
    <row r="160" spans="3:11" ht="15" customHeight="1">
      <c r="C160" s="1456" t="str">
        <f>+C120</f>
        <v>MIH</v>
      </c>
      <c r="D160" s="1456" t="str">
        <f>+D120</f>
        <v>P016 - Infraestruturas e Habitação</v>
      </c>
      <c r="E160" s="1457" t="str">
        <f>IF(Indice_index!$Z$1=1,"Reserva Orçamental","Reserve")</f>
        <v>Reserva Orçamental</v>
      </c>
      <c r="F160" s="1458">
        <v>85.569934000000003</v>
      </c>
    </row>
    <row r="161" spans="3:11" ht="15" customHeight="1" thickBot="1">
      <c r="C161" s="1461" t="str">
        <f>+C130</f>
        <v>MAA</v>
      </c>
      <c r="D161" s="1461" t="str">
        <f>+D130</f>
        <v>P017 - Agricultura e Alimentação</v>
      </c>
      <c r="E161" s="1462" t="str">
        <f>IF(Indice_index!$Z$1=1,"Reserva Orçamental","Reserve")</f>
        <v>Reserva Orçamental</v>
      </c>
      <c r="F161" s="1463">
        <v>11.141745999999999</v>
      </c>
    </row>
    <row r="162" spans="3:11" ht="15" customHeight="1" thickBot="1">
      <c r="C162" s="1786" t="s">
        <v>63</v>
      </c>
      <c r="D162" s="1787"/>
      <c r="E162" s="1787"/>
      <c r="F162" s="1464">
        <f>SUM(F145:F161)</f>
        <v>361.69377300000002</v>
      </c>
    </row>
    <row r="163" spans="3:11" ht="4.5" customHeight="1" thickBot="1">
      <c r="C163" s="1466"/>
      <c r="D163" s="1467"/>
      <c r="E163" s="1467"/>
      <c r="F163" s="1468"/>
    </row>
    <row r="164" spans="3:11" ht="15" customHeight="1" thickBot="1">
      <c r="C164" s="1786" t="str">
        <f>IF(Indice_index!$Z$1=1,"TOTAL Cativos + Reserva 2022","TOTAL Frozen allocations + Reserve 2022")</f>
        <v>TOTAL Cativos + Reserva 2022</v>
      </c>
      <c r="D164" s="1787"/>
      <c r="E164" s="1787"/>
      <c r="F164" s="1464">
        <f>F162+F137</f>
        <v>1016.6151669999999</v>
      </c>
      <c r="H164" s="525"/>
      <c r="J164" s="624"/>
      <c r="K164" s="624"/>
    </row>
    <row r="165" spans="3:11" ht="15" customHeight="1" thickBot="1">
      <c r="C165" s="1470"/>
      <c r="D165" s="1470"/>
      <c r="E165" s="1470"/>
      <c r="F165" s="1468"/>
      <c r="H165" s="525"/>
      <c r="J165" s="624"/>
      <c r="K165" s="624"/>
    </row>
    <row r="166" spans="3:11" ht="15" customHeight="1" thickBot="1">
      <c r="C166" s="1786" t="str">
        <f>IF(Indice_index!$Z$1=1,"Por memória Total Cativos + Reserva 2021","Memo item: Total Frozen allocations + Reserve 2021")</f>
        <v>Por memória Total Cativos + Reserva 2021</v>
      </c>
      <c r="D166" s="1787"/>
      <c r="E166" s="1787"/>
      <c r="F166" s="1449">
        <v>1014.713043</v>
      </c>
    </row>
    <row r="167" spans="3:11" ht="4.5" customHeight="1">
      <c r="C167" s="1466"/>
      <c r="D167" s="1467"/>
      <c r="E167" s="1467"/>
      <c r="F167" s="1467"/>
    </row>
    <row r="168" spans="3:11" ht="15" customHeight="1">
      <c r="C168" s="863" t="str">
        <f>IF(Indice_index!$Z$1=1,"Notas:","Notes:")</f>
        <v>Notas:</v>
      </c>
      <c r="D168" s="1473"/>
      <c r="E168" s="1473"/>
      <c r="F168" s="1473"/>
    </row>
    <row r="169" spans="3:11" ht="19.149999999999999" customHeight="1">
      <c r="C169" s="1796" t="str">
        <f>IF(Indice_index!$Z$1=1,"- Cativos Iniciais: cativos apurados de acordo com a aplicação da disciplina orçamental prevista na Lei do Orçamento do Estado.","- Initial frozen allocations: set in accordance with the 2022 State Budget Law.")</f>
        <v>- Cativos Iniciais: cativos apurados de acordo com a aplicação da disciplina orçamental prevista na Lei do Orçamento do Estado.</v>
      </c>
      <c r="D169" s="1796"/>
      <c r="E169" s="1796"/>
      <c r="F169" s="1796"/>
    </row>
    <row r="170" spans="3:11" ht="15" customHeight="1">
      <c r="C170" s="1795" t="str">
        <f>IF(Indice_index!$Z$1=1,"- Valores não consolidados. Apenas expurgados dos cativos que incidem sobre a transferência do Orçamento do Estado destinada aos Serviços e Fundos Autónomos.","- Non-consolidated data: frozen allocations that affect State Budget transfers for Autonomus Services and Funds are removed.")</f>
        <v>- Valores não consolidados. Apenas expurgados dos cativos que incidem sobre a transferência do Orçamento do Estado destinada aos Serviços e Fundos Autónomos.</v>
      </c>
      <c r="D170" s="1795"/>
      <c r="E170" s="1795"/>
      <c r="F170" s="1795"/>
      <c r="H170" s="524"/>
    </row>
    <row r="171" spans="3:11" ht="15" customHeight="1">
      <c r="C171" s="1793" t="str">
        <f>IF(Indice_index!$Z$1=1,"- Face à natureza da dotação relativa à Reserva, que não tem uma finalidade pré-estabelecida, a mesma foi expurgada das Medidas.","- Due to the particular nature of the Reserve, with no pre-established purpose, it has been removed from the Measures identified above.")</f>
        <v>- Face à natureza da dotação relativa à Reserva, que não tem uma finalidade pré-estabelecida, a mesma foi expurgada das Medidas.</v>
      </c>
      <c r="D171" s="1794"/>
      <c r="E171" s="1794"/>
      <c r="F171" s="1794"/>
    </row>
    <row r="172" spans="3:11" ht="4.5" customHeight="1">
      <c r="C172" s="1797" t="str">
        <f>IF(Indice_index!$Z$1=1,"Fonte: Direção-Geral do Orçamento","Source: Budget General Directorate")</f>
        <v>Fonte: Direção-Geral do Orçamento</v>
      </c>
      <c r="D172" s="1794"/>
      <c r="E172" s="1794"/>
      <c r="F172" s="1794"/>
      <c r="K172" s="247"/>
    </row>
    <row r="173" spans="3:11" ht="15" customHeight="1">
      <c r="C173" s="1794"/>
      <c r="D173" s="1794"/>
      <c r="E173" s="1794"/>
      <c r="F173" s="1794"/>
    </row>
    <row r="174" spans="3:11">
      <c r="F174" s="247"/>
    </row>
    <row r="175" spans="3:11">
      <c r="C175" s="625"/>
    </row>
    <row r="178" spans="3:3">
      <c r="C178" s="415"/>
    </row>
    <row r="180" spans="3:3">
      <c r="C180" s="247"/>
    </row>
  </sheetData>
  <mergeCells count="15">
    <mergeCell ref="C5:C7"/>
    <mergeCell ref="D5:D7"/>
    <mergeCell ref="E5:E7"/>
    <mergeCell ref="C137:E137"/>
    <mergeCell ref="C139:F139"/>
    <mergeCell ref="C142:C144"/>
    <mergeCell ref="D142:D144"/>
    <mergeCell ref="E142:E144"/>
    <mergeCell ref="C162:E162"/>
    <mergeCell ref="C164:E164"/>
    <mergeCell ref="C172:F173"/>
    <mergeCell ref="C166:E166"/>
    <mergeCell ref="C169:F169"/>
    <mergeCell ref="C170:F170"/>
    <mergeCell ref="C171:F171"/>
  </mergeCells>
  <pageMargins left="0.70866141732283472" right="0.70866141732283472" top="0.74803149606299213" bottom="0.74803149606299213" header="0.31496062992125984" footer="0.31496062992125984"/>
  <pageSetup paperSize="9" scale="52" fitToHeight="2" orientation="portrait" r:id="rId1"/>
  <rowBreaks count="1" manualBreakCount="1">
    <brk id="138" max="16383" man="1"/>
  </rowBreaks>
  <ignoredErrors>
    <ignoredError sqref="F7 F144" numberStoredAsText="1"/>
    <ignoredError sqref="F78:F137" formulaRange="1"/>
  </ignoredError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C1044-E0B7-48DF-92E0-218E28970798}">
  <dimension ref="A1:I508"/>
  <sheetViews>
    <sheetView showGridLines="0" zoomScaleNormal="100" zoomScaleSheetLayoutView="100" workbookViewId="0">
      <selection activeCell="B2" sqref="B2"/>
    </sheetView>
  </sheetViews>
  <sheetFormatPr defaultRowHeight="15"/>
  <cols>
    <col min="1" max="1" width="2.42578125" style="185" customWidth="1"/>
    <col min="2" max="2" width="4.42578125" customWidth="1"/>
    <col min="3" max="3" width="94" customWidth="1"/>
    <col min="7" max="7" width="18.85546875" customWidth="1"/>
    <col min="8" max="8" width="59.28515625" bestFit="1" customWidth="1"/>
  </cols>
  <sheetData>
    <row r="1" spans="1:9" s="50" customFormat="1" ht="15" customHeight="1">
      <c r="B1" s="49"/>
      <c r="F1"/>
      <c r="G1"/>
      <c r="H1"/>
      <c r="I1"/>
    </row>
    <row r="2" spans="1:9" s="185" customFormat="1" ht="24" customHeight="1">
      <c r="B2" s="8"/>
      <c r="C2" s="51" t="str">
        <f>IF(Indice_index!$Z$1=1,"24 - Lista de entidades da Administração Central em 2022","24 - Central Administration's list of entities in 2022")</f>
        <v>24 - Lista de entidades da Administração Central em 2022</v>
      </c>
      <c r="D2" s="51"/>
      <c r="F2"/>
      <c r="G2"/>
      <c r="H2"/>
      <c r="I2"/>
    </row>
    <row r="3" spans="1:9" s="187" customFormat="1" ht="30" customHeight="1">
      <c r="B3" s="184"/>
      <c r="C3" s="186"/>
      <c r="D3" s="186"/>
      <c r="F3"/>
      <c r="G3"/>
      <c r="H3"/>
      <c r="I3"/>
    </row>
    <row r="4" spans="1:9" ht="15.75" thickBot="1">
      <c r="A4" s="187"/>
      <c r="C4" s="701" t="str">
        <f>IF(Indice_index!$Z$1=1,"P001 - Órgãos de Soberania","P001 - Sovereignty Entities")</f>
        <v>P001 - Órgãos de Soberania</v>
      </c>
    </row>
    <row r="5" spans="1:9">
      <c r="A5" s="187"/>
      <c r="C5" s="702" t="s">
        <v>505</v>
      </c>
    </row>
    <row r="6" spans="1:9">
      <c r="A6" s="187"/>
      <c r="C6" s="702" t="s">
        <v>504</v>
      </c>
    </row>
    <row r="7" spans="1:9">
      <c r="A7" s="187"/>
      <c r="C7" s="702" t="s">
        <v>503</v>
      </c>
    </row>
    <row r="8" spans="1:9">
      <c r="A8" s="187"/>
      <c r="C8" s="702" t="s">
        <v>502</v>
      </c>
    </row>
    <row r="9" spans="1:9">
      <c r="A9" s="187"/>
      <c r="C9" s="702" t="s">
        <v>501</v>
      </c>
    </row>
    <row r="10" spans="1:9">
      <c r="A10" s="187"/>
      <c r="C10" s="702" t="s">
        <v>500</v>
      </c>
    </row>
    <row r="11" spans="1:9">
      <c r="A11" s="187"/>
      <c r="C11" s="702" t="s">
        <v>499</v>
      </c>
    </row>
    <row r="12" spans="1:9">
      <c r="A12" s="187"/>
      <c r="C12" s="702" t="s">
        <v>498</v>
      </c>
    </row>
    <row r="13" spans="1:9">
      <c r="A13" s="187"/>
      <c r="C13" s="702" t="s">
        <v>497</v>
      </c>
    </row>
    <row r="14" spans="1:9">
      <c r="A14" s="187"/>
      <c r="C14" s="702" t="s">
        <v>496</v>
      </c>
    </row>
    <row r="15" spans="1:9">
      <c r="A15" s="187"/>
      <c r="C15" s="702" t="s">
        <v>495</v>
      </c>
    </row>
    <row r="16" spans="1:9">
      <c r="A16" s="187"/>
      <c r="C16" s="702" t="s">
        <v>494</v>
      </c>
    </row>
    <row r="17" spans="1:3">
      <c r="A17" s="187"/>
      <c r="C17" s="702" t="s">
        <v>493</v>
      </c>
    </row>
    <row r="18" spans="1:3">
      <c r="A18" s="187"/>
      <c r="C18" s="702" t="s">
        <v>514</v>
      </c>
    </row>
    <row r="19" spans="1:3">
      <c r="A19" s="187"/>
      <c r="C19" s="702" t="s">
        <v>515</v>
      </c>
    </row>
    <row r="20" spans="1:3">
      <c r="A20" s="187"/>
      <c r="C20" s="702" t="s">
        <v>492</v>
      </c>
    </row>
    <row r="21" spans="1:3">
      <c r="A21" s="187"/>
      <c r="C21" s="702" t="s">
        <v>491</v>
      </c>
    </row>
    <row r="22" spans="1:3">
      <c r="A22" s="187"/>
      <c r="C22" s="702" t="s">
        <v>490</v>
      </c>
    </row>
    <row r="23" spans="1:3">
      <c r="A23" s="187"/>
      <c r="C23" s="702" t="s">
        <v>489</v>
      </c>
    </row>
    <row r="24" spans="1:3">
      <c r="A24" s="187"/>
      <c r="C24" s="702" t="s">
        <v>488</v>
      </c>
    </row>
    <row r="25" spans="1:3">
      <c r="A25" s="187"/>
      <c r="C25" s="702" t="s">
        <v>487</v>
      </c>
    </row>
    <row r="26" spans="1:3">
      <c r="A26" s="187"/>
      <c r="C26" s="702" t="s">
        <v>486</v>
      </c>
    </row>
    <row r="27" spans="1:3">
      <c r="A27" s="187"/>
      <c r="C27" s="702" t="s">
        <v>485</v>
      </c>
    </row>
    <row r="28" spans="1:3">
      <c r="A28" s="187"/>
      <c r="C28" s="702" t="s">
        <v>484</v>
      </c>
    </row>
    <row r="29" spans="1:3">
      <c r="A29" s="187"/>
      <c r="C29" s="702" t="s">
        <v>483</v>
      </c>
    </row>
    <row r="30" spans="1:3" ht="15.75" thickBot="1">
      <c r="A30" s="187"/>
      <c r="C30" s="701" t="str">
        <f>IF(Indice_index!$Z$1=1,"P002 - Governação","P002 - Government")</f>
        <v>P002 - Governação</v>
      </c>
    </row>
    <row r="31" spans="1:3">
      <c r="A31" s="187"/>
      <c r="C31" s="702" t="s">
        <v>288</v>
      </c>
    </row>
    <row r="32" spans="1:3">
      <c r="A32" s="187"/>
      <c r="C32" s="702" t="s">
        <v>516</v>
      </c>
    </row>
    <row r="33" spans="1:3">
      <c r="A33" s="187"/>
      <c r="C33" s="702" t="s">
        <v>482</v>
      </c>
    </row>
    <row r="34" spans="1:3">
      <c r="A34" s="187"/>
      <c r="C34" s="702" t="s">
        <v>481</v>
      </c>
    </row>
    <row r="35" spans="1:3">
      <c r="A35" s="187"/>
      <c r="C35" s="702" t="s">
        <v>517</v>
      </c>
    </row>
    <row r="36" spans="1:3">
      <c r="A36" s="187"/>
      <c r="C36" s="702" t="s">
        <v>518</v>
      </c>
    </row>
    <row r="37" spans="1:3">
      <c r="A37" s="187"/>
      <c r="C37" s="702" t="s">
        <v>519</v>
      </c>
    </row>
    <row r="38" spans="1:3">
      <c r="A38" s="187"/>
      <c r="C38" s="702" t="s">
        <v>480</v>
      </c>
    </row>
    <row r="39" spans="1:3">
      <c r="A39" s="187"/>
      <c r="C39" s="702" t="s">
        <v>479</v>
      </c>
    </row>
    <row r="40" spans="1:3">
      <c r="A40" s="187"/>
      <c r="C40" s="702" t="s">
        <v>478</v>
      </c>
    </row>
    <row r="41" spans="1:3">
      <c r="A41" s="97"/>
      <c r="C41" s="702" t="s">
        <v>477</v>
      </c>
    </row>
    <row r="42" spans="1:3">
      <c r="A42" s="97"/>
      <c r="C42" s="702" t="s">
        <v>476</v>
      </c>
    </row>
    <row r="43" spans="1:3">
      <c r="A43" s="97"/>
      <c r="C43" s="702" t="s">
        <v>520</v>
      </c>
    </row>
    <row r="44" spans="1:3">
      <c r="A44" s="97"/>
      <c r="C44" s="702" t="s">
        <v>475</v>
      </c>
    </row>
    <row r="45" spans="1:3">
      <c r="A45" s="97"/>
      <c r="C45" s="702" t="s">
        <v>521</v>
      </c>
    </row>
    <row r="46" spans="1:3">
      <c r="A46" s="187"/>
      <c r="C46" s="702" t="s">
        <v>156</v>
      </c>
    </row>
    <row r="47" spans="1:3">
      <c r="A47" s="187"/>
      <c r="C47" s="702" t="s">
        <v>274</v>
      </c>
    </row>
    <row r="48" spans="1:3">
      <c r="A48" s="187"/>
      <c r="C48" s="702" t="s">
        <v>473</v>
      </c>
    </row>
    <row r="49" spans="1:3">
      <c r="A49" s="53"/>
      <c r="C49" s="702" t="s">
        <v>472</v>
      </c>
    </row>
    <row r="50" spans="1:3">
      <c r="A50" s="187"/>
      <c r="C50" s="702" t="s">
        <v>471</v>
      </c>
    </row>
    <row r="51" spans="1:3">
      <c r="A51" s="187"/>
      <c r="C51" s="702" t="s">
        <v>522</v>
      </c>
    </row>
    <row r="52" spans="1:3">
      <c r="A52" s="187"/>
      <c r="C52" s="702" t="s">
        <v>470</v>
      </c>
    </row>
    <row r="53" spans="1:3">
      <c r="A53" s="187"/>
      <c r="C53" s="702" t="s">
        <v>469</v>
      </c>
    </row>
    <row r="54" spans="1:3">
      <c r="A54" s="187"/>
      <c r="C54" s="702" t="s">
        <v>468</v>
      </c>
    </row>
    <row r="55" spans="1:3">
      <c r="A55" s="187"/>
      <c r="C55" s="702" t="s">
        <v>467</v>
      </c>
    </row>
    <row r="56" spans="1:3">
      <c r="A56" s="187"/>
      <c r="C56" s="702" t="s">
        <v>474</v>
      </c>
    </row>
    <row r="57" spans="1:3">
      <c r="A57" s="510"/>
      <c r="C57" s="702" t="s">
        <v>466</v>
      </c>
    </row>
    <row r="58" spans="1:3">
      <c r="A58" s="428"/>
      <c r="C58" s="702" t="s">
        <v>523</v>
      </c>
    </row>
    <row r="59" spans="1:3">
      <c r="A59" s="428"/>
      <c r="C59" s="702" t="s">
        <v>524</v>
      </c>
    </row>
    <row r="60" spans="1:3">
      <c r="A60" s="510"/>
      <c r="C60" s="702" t="s">
        <v>465</v>
      </c>
    </row>
    <row r="61" spans="1:3">
      <c r="A61" s="187"/>
      <c r="C61" s="702" t="s">
        <v>464</v>
      </c>
    </row>
    <row r="62" spans="1:3">
      <c r="A62" s="187"/>
      <c r="C62" s="702" t="s">
        <v>463</v>
      </c>
    </row>
    <row r="63" spans="1:3" ht="15.75" thickBot="1">
      <c r="A63" s="187"/>
      <c r="C63" s="701" t="str">
        <f>IF(Indice_index!$Z$1=1,"P003 - Representação Externa","P003 - Foreign Affairs")</f>
        <v>P003 - Representação Externa</v>
      </c>
    </row>
    <row r="64" spans="1:3">
      <c r="A64" s="187"/>
      <c r="C64" s="702" t="s">
        <v>525</v>
      </c>
    </row>
    <row r="65" spans="1:3">
      <c r="A65" s="187"/>
      <c r="C65" s="702" t="s">
        <v>526</v>
      </c>
    </row>
    <row r="66" spans="1:3">
      <c r="A66" s="187"/>
      <c r="C66" s="702" t="s">
        <v>449</v>
      </c>
    </row>
    <row r="67" spans="1:3">
      <c r="A67" s="187"/>
      <c r="C67" s="702" t="s">
        <v>448</v>
      </c>
    </row>
    <row r="68" spans="1:3">
      <c r="A68" s="187"/>
      <c r="C68" s="702" t="s">
        <v>527</v>
      </c>
    </row>
    <row r="69" spans="1:3" ht="15.75" thickBot="1">
      <c r="A69" s="187"/>
      <c r="C69" s="701" t="str">
        <f>IF(Indice_index!$Z$1=1,"P004 - Defesa","P004 - Defence")</f>
        <v>P004 - Defesa</v>
      </c>
    </row>
    <row r="70" spans="1:3">
      <c r="A70" s="187"/>
      <c r="C70" s="702" t="s">
        <v>528</v>
      </c>
    </row>
    <row r="71" spans="1:3">
      <c r="A71" s="187"/>
      <c r="C71" s="702" t="s">
        <v>529</v>
      </c>
    </row>
    <row r="72" spans="1:3">
      <c r="A72" s="187"/>
      <c r="C72" s="702" t="s">
        <v>530</v>
      </c>
    </row>
    <row r="73" spans="1:3">
      <c r="A73" s="187"/>
      <c r="C73" s="702" t="s">
        <v>422</v>
      </c>
    </row>
    <row r="74" spans="1:3">
      <c r="A74" s="187"/>
      <c r="C74" s="702" t="s">
        <v>421</v>
      </c>
    </row>
    <row r="75" spans="1:3">
      <c r="A75" s="187"/>
      <c r="C75" s="702" t="s">
        <v>531</v>
      </c>
    </row>
    <row r="76" spans="1:3">
      <c r="A76" s="187"/>
      <c r="C76" s="702" t="s">
        <v>420</v>
      </c>
    </row>
    <row r="77" spans="1:3">
      <c r="A77" s="187"/>
      <c r="C77" s="702" t="s">
        <v>532</v>
      </c>
    </row>
    <row r="78" spans="1:3">
      <c r="A78" s="187"/>
      <c r="C78" s="702" t="s">
        <v>533</v>
      </c>
    </row>
    <row r="79" spans="1:3">
      <c r="A79" s="187"/>
      <c r="C79" s="702" t="s">
        <v>534</v>
      </c>
    </row>
    <row r="80" spans="1:3">
      <c r="A80" s="187"/>
      <c r="C80" s="702" t="s">
        <v>535</v>
      </c>
    </row>
    <row r="81" spans="1:3">
      <c r="A81" s="187"/>
      <c r="C81" s="702" t="s">
        <v>419</v>
      </c>
    </row>
    <row r="82" spans="1:3">
      <c r="A82" s="187"/>
      <c r="C82" s="702" t="s">
        <v>418</v>
      </c>
    </row>
    <row r="83" spans="1:3">
      <c r="A83" s="187"/>
      <c r="C83" s="702" t="s">
        <v>536</v>
      </c>
    </row>
    <row r="84" spans="1:3">
      <c r="A84" s="187"/>
      <c r="C84" s="702" t="s">
        <v>417</v>
      </c>
    </row>
    <row r="85" spans="1:3">
      <c r="A85" s="187"/>
      <c r="C85" s="702" t="s">
        <v>416</v>
      </c>
    </row>
    <row r="86" spans="1:3">
      <c r="A86" s="187"/>
      <c r="C86" s="702" t="s">
        <v>537</v>
      </c>
    </row>
    <row r="87" spans="1:3" ht="15.75" thickBot="1">
      <c r="A87" s="187"/>
      <c r="C87" s="701" t="str">
        <f>IF(Indice_index!$Z$1=1,"P005 - Segurança Interna","P005 - Internal Security")</f>
        <v>P005 - Segurança Interna</v>
      </c>
    </row>
    <row r="88" spans="1:3">
      <c r="A88" s="187"/>
      <c r="C88" s="702" t="s">
        <v>538</v>
      </c>
    </row>
    <row r="89" spans="1:3">
      <c r="A89" s="187"/>
      <c r="C89" s="702" t="s">
        <v>415</v>
      </c>
    </row>
    <row r="90" spans="1:3">
      <c r="A90" s="187"/>
      <c r="C90" s="702" t="s">
        <v>414</v>
      </c>
    </row>
    <row r="91" spans="1:3">
      <c r="A91" s="187"/>
      <c r="C91" s="702" t="s">
        <v>413</v>
      </c>
    </row>
    <row r="92" spans="1:3">
      <c r="A92" s="187"/>
      <c r="C92" s="702" t="s">
        <v>412</v>
      </c>
    </row>
    <row r="93" spans="1:3">
      <c r="A93" s="187"/>
      <c r="C93" s="702" t="s">
        <v>411</v>
      </c>
    </row>
    <row r="94" spans="1:3">
      <c r="A94" s="187"/>
      <c r="C94" s="702" t="s">
        <v>539</v>
      </c>
    </row>
    <row r="95" spans="1:3">
      <c r="A95" s="187"/>
      <c r="C95" s="702" t="s">
        <v>410</v>
      </c>
    </row>
    <row r="96" spans="1:3">
      <c r="A96" s="187"/>
      <c r="C96" s="702" t="s">
        <v>540</v>
      </c>
    </row>
    <row r="97" spans="1:3">
      <c r="A97" s="187"/>
      <c r="C97" s="702" t="s">
        <v>409</v>
      </c>
    </row>
    <row r="98" spans="1:3">
      <c r="A98" s="187"/>
      <c r="C98" s="702" t="s">
        <v>408</v>
      </c>
    </row>
    <row r="99" spans="1:3">
      <c r="A99" s="187"/>
      <c r="C99" s="702" t="s">
        <v>407</v>
      </c>
    </row>
    <row r="100" spans="1:3">
      <c r="A100" s="187"/>
      <c r="C100" s="702" t="s">
        <v>541</v>
      </c>
    </row>
    <row r="101" spans="1:3" ht="15.75" thickBot="1">
      <c r="A101" s="187"/>
      <c r="C101" s="701" t="str">
        <f>IF(Indice_index!$Z$1=1,"P006 - Justiça","P006 - Justice")</f>
        <v>P006 - Justiça</v>
      </c>
    </row>
    <row r="102" spans="1:3">
      <c r="A102" s="187"/>
      <c r="C102" s="702" t="s">
        <v>406</v>
      </c>
    </row>
    <row r="103" spans="1:3">
      <c r="A103" s="187"/>
      <c r="C103" s="702" t="s">
        <v>542</v>
      </c>
    </row>
    <row r="104" spans="1:3">
      <c r="A104" s="187"/>
      <c r="C104" s="702" t="s">
        <v>405</v>
      </c>
    </row>
    <row r="105" spans="1:3">
      <c r="A105" s="187"/>
      <c r="C105" s="702" t="s">
        <v>543</v>
      </c>
    </row>
    <row r="106" spans="1:3">
      <c r="A106" s="187"/>
      <c r="C106" s="702" t="s">
        <v>544</v>
      </c>
    </row>
    <row r="107" spans="1:3">
      <c r="A107" s="187"/>
      <c r="C107" s="702" t="s">
        <v>545</v>
      </c>
    </row>
    <row r="108" spans="1:3">
      <c r="A108" s="187"/>
      <c r="C108" s="702" t="s">
        <v>546</v>
      </c>
    </row>
    <row r="109" spans="1:3">
      <c r="A109" s="187"/>
      <c r="C109" s="702" t="s">
        <v>547</v>
      </c>
    </row>
    <row r="110" spans="1:3">
      <c r="A110" s="187"/>
      <c r="C110" s="702" t="s">
        <v>548</v>
      </c>
    </row>
    <row r="111" spans="1:3">
      <c r="A111" s="187"/>
      <c r="C111" s="702" t="s">
        <v>404</v>
      </c>
    </row>
    <row r="112" spans="1:3">
      <c r="A112" s="187"/>
      <c r="C112" s="702" t="s">
        <v>549</v>
      </c>
    </row>
    <row r="113" spans="1:3">
      <c r="A113" s="187"/>
      <c r="C113" s="702" t="s">
        <v>550</v>
      </c>
    </row>
    <row r="114" spans="1:3">
      <c r="A114" s="187"/>
      <c r="C114" s="702" t="s">
        <v>551</v>
      </c>
    </row>
    <row r="115" spans="1:3">
      <c r="A115" s="187"/>
      <c r="C115" s="702" t="s">
        <v>403</v>
      </c>
    </row>
    <row r="116" spans="1:3">
      <c r="A116" s="187"/>
      <c r="C116" s="702" t="s">
        <v>552</v>
      </c>
    </row>
    <row r="117" spans="1:3">
      <c r="A117" s="187"/>
      <c r="C117" s="702" t="s">
        <v>402</v>
      </c>
    </row>
    <row r="118" spans="1:3">
      <c r="A118" s="187"/>
      <c r="C118" s="702" t="s">
        <v>401</v>
      </c>
    </row>
    <row r="119" spans="1:3">
      <c r="A119" s="187"/>
      <c r="C119" s="702" t="s">
        <v>400</v>
      </c>
    </row>
    <row r="120" spans="1:3">
      <c r="A120" s="187"/>
      <c r="C120" s="702" t="s">
        <v>399</v>
      </c>
    </row>
    <row r="121" spans="1:3">
      <c r="A121" s="187"/>
      <c r="C121" s="702" t="s">
        <v>398</v>
      </c>
    </row>
    <row r="122" spans="1:3">
      <c r="A122" s="187"/>
      <c r="C122" s="702" t="s">
        <v>397</v>
      </c>
    </row>
    <row r="123" spans="1:3">
      <c r="A123" s="187"/>
      <c r="C123" s="702" t="s">
        <v>396</v>
      </c>
    </row>
    <row r="124" spans="1:3" ht="15.75" thickBot="1">
      <c r="A124" s="187"/>
      <c r="C124" s="701" t="str">
        <f>IF(Indice_index!$Z$1=1,"P007 - Finanças","P007 - Finance and Public Administration")</f>
        <v>P007 - Finanças</v>
      </c>
    </row>
    <row r="125" spans="1:3">
      <c r="A125" s="187"/>
      <c r="C125" s="702" t="s">
        <v>556</v>
      </c>
    </row>
    <row r="126" spans="1:3">
      <c r="A126" s="187"/>
      <c r="C126" s="702" t="s">
        <v>557</v>
      </c>
    </row>
    <row r="127" spans="1:3">
      <c r="A127" s="187"/>
      <c r="C127" s="702" t="s">
        <v>447</v>
      </c>
    </row>
    <row r="128" spans="1:3">
      <c r="A128" s="187"/>
      <c r="C128" s="702" t="s">
        <v>446</v>
      </c>
    </row>
    <row r="129" spans="1:4">
      <c r="A129" s="187"/>
      <c r="C129" s="702" t="s">
        <v>445</v>
      </c>
    </row>
    <row r="130" spans="1:4">
      <c r="A130" s="187"/>
      <c r="C130" s="702" t="s">
        <v>444</v>
      </c>
    </row>
    <row r="131" spans="1:4">
      <c r="A131" s="187"/>
      <c r="C131" s="702" t="s">
        <v>443</v>
      </c>
    </row>
    <row r="132" spans="1:4">
      <c r="A132" s="187"/>
      <c r="C132" s="702" t="s">
        <v>442</v>
      </c>
    </row>
    <row r="133" spans="1:4">
      <c r="A133" s="187"/>
      <c r="C133" s="702" t="s">
        <v>553</v>
      </c>
    </row>
    <row r="134" spans="1:4">
      <c r="A134" s="187"/>
      <c r="C134" s="702" t="s">
        <v>558</v>
      </c>
    </row>
    <row r="135" spans="1:4">
      <c r="A135" s="187"/>
      <c r="C135" s="702" t="s">
        <v>441</v>
      </c>
      <c r="D135" s="247"/>
    </row>
    <row r="136" spans="1:4">
      <c r="A136" s="187"/>
      <c r="C136" s="702" t="s">
        <v>440</v>
      </c>
    </row>
    <row r="137" spans="1:4">
      <c r="A137" s="187"/>
      <c r="C137" s="702" t="s">
        <v>439</v>
      </c>
    </row>
    <row r="138" spans="1:4">
      <c r="A138" s="187"/>
      <c r="C138" s="702" t="s">
        <v>438</v>
      </c>
    </row>
    <row r="139" spans="1:4">
      <c r="A139" s="187"/>
      <c r="C139" s="702" t="s">
        <v>437</v>
      </c>
    </row>
    <row r="140" spans="1:4">
      <c r="A140" s="187"/>
      <c r="C140" s="702" t="s">
        <v>436</v>
      </c>
    </row>
    <row r="141" spans="1:4">
      <c r="A141" s="187"/>
      <c r="C141" s="702" t="s">
        <v>435</v>
      </c>
    </row>
    <row r="142" spans="1:4">
      <c r="A142" s="187"/>
      <c r="C142" s="702" t="s">
        <v>434</v>
      </c>
    </row>
    <row r="143" spans="1:4">
      <c r="A143" s="187"/>
      <c r="C143" s="702" t="s">
        <v>433</v>
      </c>
    </row>
    <row r="144" spans="1:4">
      <c r="A144" s="187"/>
      <c r="C144" s="702" t="s">
        <v>559</v>
      </c>
      <c r="D144" s="247"/>
    </row>
    <row r="145" spans="1:3">
      <c r="A145" s="187"/>
      <c r="C145" s="702" t="s">
        <v>432</v>
      </c>
    </row>
    <row r="146" spans="1:3">
      <c r="A146" s="187"/>
      <c r="C146" s="702" t="s">
        <v>431</v>
      </c>
    </row>
    <row r="147" spans="1:3">
      <c r="A147" s="187"/>
      <c r="C147" s="702" t="s">
        <v>430</v>
      </c>
    </row>
    <row r="148" spans="1:3">
      <c r="A148" s="187"/>
      <c r="C148" s="702" t="s">
        <v>554</v>
      </c>
    </row>
    <row r="149" spans="1:3">
      <c r="A149" s="187"/>
      <c r="C149" s="702" t="s">
        <v>555</v>
      </c>
    </row>
    <row r="150" spans="1:3">
      <c r="A150" s="187"/>
      <c r="C150" s="702" t="s">
        <v>429</v>
      </c>
    </row>
    <row r="151" spans="1:3">
      <c r="A151" s="187"/>
      <c r="C151" s="702" t="s">
        <v>428</v>
      </c>
    </row>
    <row r="152" spans="1:3">
      <c r="A152" s="187"/>
      <c r="C152" s="702" t="s">
        <v>560</v>
      </c>
    </row>
    <row r="153" spans="1:3">
      <c r="A153" s="187"/>
      <c r="C153" s="702" t="s">
        <v>427</v>
      </c>
    </row>
    <row r="154" spans="1:3">
      <c r="A154" s="187"/>
      <c r="C154" s="702" t="s">
        <v>426</v>
      </c>
    </row>
    <row r="155" spans="1:3">
      <c r="A155" s="187"/>
      <c r="C155" s="702" t="s">
        <v>425</v>
      </c>
    </row>
    <row r="156" spans="1:3">
      <c r="A156" s="187"/>
      <c r="C156" s="702" t="s">
        <v>424</v>
      </c>
    </row>
    <row r="157" spans="1:3">
      <c r="A157" s="187"/>
      <c r="C157" s="702" t="s">
        <v>561</v>
      </c>
    </row>
    <row r="158" spans="1:3" ht="15.75" thickBot="1">
      <c r="A158" s="187"/>
      <c r="C158" s="701" t="str">
        <f>IF(Indice_index!$Z$1=1,"P008 - Gestão Da Dívida Pública","P008 - Public Debt Management")</f>
        <v>P008 - Gestão Da Dívida Pública</v>
      </c>
    </row>
    <row r="159" spans="1:3">
      <c r="A159" s="187"/>
      <c r="C159" s="702" t="s">
        <v>423</v>
      </c>
    </row>
    <row r="160" spans="1:3" ht="15.75" thickBot="1">
      <c r="A160" s="187"/>
      <c r="C160" s="701" t="str">
        <f>IF(Indice_index!$Z$1=1,"P009 - Economia e Mar","P009 - Economy and Sea")</f>
        <v>P009 - Economia e Mar</v>
      </c>
    </row>
    <row r="161" spans="1:3">
      <c r="A161" s="187"/>
      <c r="C161" s="702" t="s">
        <v>594</v>
      </c>
    </row>
    <row r="162" spans="1:3">
      <c r="A162" s="187"/>
      <c r="C162" s="702" t="s">
        <v>563</v>
      </c>
    </row>
    <row r="163" spans="1:3">
      <c r="A163" s="187"/>
      <c r="C163" s="702" t="s">
        <v>564</v>
      </c>
    </row>
    <row r="164" spans="1:3">
      <c r="A164" s="187"/>
      <c r="C164" s="702" t="s">
        <v>102</v>
      </c>
    </row>
    <row r="165" spans="1:3">
      <c r="A165" s="187"/>
      <c r="C165" s="702" t="s">
        <v>565</v>
      </c>
    </row>
    <row r="166" spans="1:3">
      <c r="A166" s="187"/>
      <c r="C166" s="702" t="s">
        <v>462</v>
      </c>
    </row>
    <row r="167" spans="1:3">
      <c r="A167" s="187"/>
      <c r="C167" s="702" t="s">
        <v>100</v>
      </c>
    </row>
    <row r="168" spans="1:3">
      <c r="A168" s="187"/>
      <c r="C168" s="702" t="s">
        <v>566</v>
      </c>
    </row>
    <row r="169" spans="1:3">
      <c r="A169" s="187"/>
      <c r="C169" s="702" t="s">
        <v>99</v>
      </c>
    </row>
    <row r="170" spans="1:3">
      <c r="A170" s="187"/>
      <c r="C170" s="702" t="s">
        <v>461</v>
      </c>
    </row>
    <row r="171" spans="1:3">
      <c r="A171" s="187"/>
      <c r="C171" s="702" t="s">
        <v>460</v>
      </c>
    </row>
    <row r="172" spans="1:3">
      <c r="A172" s="187"/>
      <c r="C172" s="702" t="s">
        <v>567</v>
      </c>
    </row>
    <row r="173" spans="1:3">
      <c r="A173" s="187"/>
      <c r="C173" s="702" t="s">
        <v>459</v>
      </c>
    </row>
    <row r="174" spans="1:3">
      <c r="A174" s="187"/>
      <c r="C174" s="702" t="s">
        <v>458</v>
      </c>
    </row>
    <row r="175" spans="1:3">
      <c r="A175" s="187"/>
      <c r="C175" s="702" t="s">
        <v>568</v>
      </c>
    </row>
    <row r="176" spans="1:3">
      <c r="A176" s="187"/>
      <c r="C176" s="702" t="s">
        <v>457</v>
      </c>
    </row>
    <row r="177" spans="1:3">
      <c r="A177" s="187"/>
      <c r="C177" s="702" t="s">
        <v>456</v>
      </c>
    </row>
    <row r="178" spans="1:3">
      <c r="A178" s="187"/>
      <c r="C178" s="702" t="s">
        <v>455</v>
      </c>
    </row>
    <row r="179" spans="1:3">
      <c r="A179" s="187"/>
      <c r="C179" s="702" t="s">
        <v>562</v>
      </c>
    </row>
    <row r="180" spans="1:3">
      <c r="A180" s="187"/>
      <c r="C180" s="702" t="s">
        <v>569</v>
      </c>
    </row>
    <row r="181" spans="1:3">
      <c r="A181" s="187"/>
      <c r="C181" s="702" t="s">
        <v>570</v>
      </c>
    </row>
    <row r="182" spans="1:3">
      <c r="A182" s="187"/>
      <c r="C182" s="702" t="s">
        <v>571</v>
      </c>
    </row>
    <row r="183" spans="1:3">
      <c r="A183" s="187"/>
      <c r="C183" s="702" t="s">
        <v>572</v>
      </c>
    </row>
    <row r="184" spans="1:3">
      <c r="A184" s="187"/>
      <c r="C184" s="702" t="s">
        <v>573</v>
      </c>
    </row>
    <row r="185" spans="1:3">
      <c r="A185" s="187"/>
      <c r="C185" s="702" t="s">
        <v>454</v>
      </c>
    </row>
    <row r="186" spans="1:3">
      <c r="A186" s="187"/>
      <c r="C186" s="702" t="s">
        <v>453</v>
      </c>
    </row>
    <row r="187" spans="1:3">
      <c r="A187" s="187"/>
      <c r="C187" s="702" t="s">
        <v>452</v>
      </c>
    </row>
    <row r="188" spans="1:3">
      <c r="A188" s="187"/>
      <c r="C188" s="702" t="s">
        <v>451</v>
      </c>
    </row>
    <row r="189" spans="1:3">
      <c r="A189" s="187"/>
      <c r="C189" s="702" t="s">
        <v>450</v>
      </c>
    </row>
    <row r="190" spans="1:3" ht="15.75" thickBot="1">
      <c r="A190" s="187"/>
      <c r="B190" s="247"/>
      <c r="C190" s="701" t="str">
        <f>IF(Indice_index!$Z$1=1,"P010 - Cultura","P010 - Culture")</f>
        <v>P010 - Cultura</v>
      </c>
    </row>
    <row r="191" spans="1:3">
      <c r="A191" s="187"/>
      <c r="C191" s="702" t="s">
        <v>395</v>
      </c>
    </row>
    <row r="192" spans="1:3">
      <c r="A192" s="187"/>
      <c r="C192" s="702" t="s">
        <v>394</v>
      </c>
    </row>
    <row r="193" spans="1:3">
      <c r="A193" s="187"/>
      <c r="C193" s="702" t="s">
        <v>389</v>
      </c>
    </row>
    <row r="194" spans="1:3">
      <c r="A194" s="187"/>
      <c r="C194" s="702" t="s">
        <v>393</v>
      </c>
    </row>
    <row r="195" spans="1:3">
      <c r="A195" s="187"/>
      <c r="C195" s="702" t="s">
        <v>392</v>
      </c>
    </row>
    <row r="196" spans="1:3">
      <c r="A196" s="187"/>
      <c r="C196" s="702" t="s">
        <v>391</v>
      </c>
    </row>
    <row r="197" spans="1:3">
      <c r="A197" s="187"/>
      <c r="C197" s="702" t="s">
        <v>390</v>
      </c>
    </row>
    <row r="198" spans="1:3">
      <c r="A198" s="187"/>
      <c r="C198" s="702" t="s">
        <v>388</v>
      </c>
    </row>
    <row r="199" spans="1:3">
      <c r="A199" s="187"/>
      <c r="C199" s="702" t="s">
        <v>387</v>
      </c>
    </row>
    <row r="200" spans="1:3">
      <c r="A200" s="187"/>
      <c r="C200" s="702" t="s">
        <v>386</v>
      </c>
    </row>
    <row r="201" spans="1:3">
      <c r="A201" s="187"/>
      <c r="C201" s="702" t="s">
        <v>385</v>
      </c>
    </row>
    <row r="202" spans="1:3">
      <c r="A202" s="187"/>
      <c r="C202" s="702" t="s">
        <v>384</v>
      </c>
    </row>
    <row r="203" spans="1:3">
      <c r="A203" s="187"/>
      <c r="C203" s="702" t="s">
        <v>383</v>
      </c>
    </row>
    <row r="204" spans="1:3">
      <c r="A204" s="187"/>
      <c r="C204" s="702" t="s">
        <v>382</v>
      </c>
    </row>
    <row r="205" spans="1:3">
      <c r="A205" s="187"/>
      <c r="C205" s="702" t="s">
        <v>381</v>
      </c>
    </row>
    <row r="206" spans="1:3">
      <c r="A206" s="187"/>
      <c r="C206" s="702" t="s">
        <v>380</v>
      </c>
    </row>
    <row r="207" spans="1:3">
      <c r="A207" s="187"/>
      <c r="C207" s="702" t="s">
        <v>379</v>
      </c>
    </row>
    <row r="208" spans="1:3" ht="15.75" thickBot="1">
      <c r="A208" s="187"/>
      <c r="C208" s="701" t="str">
        <f>IF(Indice_index!$Z$1=1,"P011 - Ciência, Tecnologia e Ensino Superior","P011 - Science and Higher Education")</f>
        <v>P011 - Ciência, Tecnologia e Ensino Superior</v>
      </c>
    </row>
    <row r="209" spans="1:3">
      <c r="A209" s="187"/>
      <c r="C209" s="702" t="s">
        <v>378</v>
      </c>
    </row>
    <row r="210" spans="1:3">
      <c r="A210" s="187"/>
      <c r="C210" s="702" t="s">
        <v>377</v>
      </c>
    </row>
    <row r="211" spans="1:3">
      <c r="A211" s="187"/>
      <c r="C211" s="702" t="s">
        <v>376</v>
      </c>
    </row>
    <row r="212" spans="1:3">
      <c r="A212" s="187"/>
      <c r="C212" s="702" t="s">
        <v>375</v>
      </c>
    </row>
    <row r="213" spans="1:3">
      <c r="A213" s="187"/>
      <c r="C213" s="702" t="s">
        <v>374</v>
      </c>
    </row>
    <row r="214" spans="1:3">
      <c r="A214" s="187"/>
      <c r="C214" s="702" t="s">
        <v>373</v>
      </c>
    </row>
    <row r="215" spans="1:3">
      <c r="A215" s="187"/>
      <c r="C215" s="702" t="s">
        <v>372</v>
      </c>
    </row>
    <row r="216" spans="1:3">
      <c r="A216" s="187"/>
      <c r="C216" s="702" t="s">
        <v>371</v>
      </c>
    </row>
    <row r="217" spans="1:3">
      <c r="A217" s="187"/>
      <c r="C217" s="702" t="s">
        <v>370</v>
      </c>
    </row>
    <row r="218" spans="1:3">
      <c r="A218" s="187"/>
      <c r="C218" s="702" t="s">
        <v>369</v>
      </c>
    </row>
    <row r="219" spans="1:3">
      <c r="A219" s="187"/>
      <c r="C219" s="702" t="s">
        <v>368</v>
      </c>
    </row>
    <row r="220" spans="1:3">
      <c r="A220" s="187"/>
      <c r="C220" s="702" t="s">
        <v>367</v>
      </c>
    </row>
    <row r="221" spans="1:3">
      <c r="A221" s="187"/>
      <c r="C221" s="702" t="s">
        <v>366</v>
      </c>
    </row>
    <row r="222" spans="1:3">
      <c r="A222" s="187"/>
      <c r="C222" s="702" t="s">
        <v>365</v>
      </c>
    </row>
    <row r="223" spans="1:3">
      <c r="A223" s="187"/>
      <c r="C223" s="702" t="s">
        <v>364</v>
      </c>
    </row>
    <row r="224" spans="1:3">
      <c r="A224" s="187"/>
      <c r="C224" s="702" t="s">
        <v>574</v>
      </c>
    </row>
    <row r="225" spans="1:3">
      <c r="A225" s="187"/>
      <c r="C225" s="702" t="s">
        <v>363</v>
      </c>
    </row>
    <row r="226" spans="1:3">
      <c r="A226" s="187"/>
      <c r="C226" s="702" t="s">
        <v>362</v>
      </c>
    </row>
    <row r="227" spans="1:3">
      <c r="A227" s="187"/>
      <c r="C227" s="702" t="s">
        <v>361</v>
      </c>
    </row>
    <row r="228" spans="1:3">
      <c r="A228" s="187"/>
      <c r="C228" s="702" t="s">
        <v>360</v>
      </c>
    </row>
    <row r="229" spans="1:3">
      <c r="A229" s="187"/>
      <c r="C229" s="702" t="s">
        <v>359</v>
      </c>
    </row>
    <row r="230" spans="1:3">
      <c r="A230" s="187"/>
      <c r="C230" s="702" t="s">
        <v>358</v>
      </c>
    </row>
    <row r="231" spans="1:3">
      <c r="A231" s="187"/>
      <c r="C231" s="702" t="s">
        <v>357</v>
      </c>
    </row>
    <row r="232" spans="1:3">
      <c r="A232" s="187"/>
      <c r="C232" s="702" t="s">
        <v>356</v>
      </c>
    </row>
    <row r="233" spans="1:3">
      <c r="A233" s="187"/>
      <c r="C233" s="702" t="s">
        <v>355</v>
      </c>
    </row>
    <row r="234" spans="1:3">
      <c r="C234" s="702" t="s">
        <v>354</v>
      </c>
    </row>
    <row r="235" spans="1:3">
      <c r="C235" s="702" t="s">
        <v>353</v>
      </c>
    </row>
    <row r="236" spans="1:3">
      <c r="C236" s="702" t="s">
        <v>352</v>
      </c>
    </row>
    <row r="237" spans="1:3">
      <c r="C237" s="702" t="s">
        <v>351</v>
      </c>
    </row>
    <row r="238" spans="1:3">
      <c r="C238" s="702" t="s">
        <v>350</v>
      </c>
    </row>
    <row r="239" spans="1:3">
      <c r="C239" s="702" t="s">
        <v>349</v>
      </c>
    </row>
    <row r="240" spans="1:3">
      <c r="C240" s="702" t="s">
        <v>348</v>
      </c>
    </row>
    <row r="241" spans="3:3">
      <c r="C241" s="702" t="s">
        <v>347</v>
      </c>
    </row>
    <row r="242" spans="3:3">
      <c r="C242" s="702" t="s">
        <v>346</v>
      </c>
    </row>
    <row r="243" spans="3:3">
      <c r="C243" s="702" t="s">
        <v>575</v>
      </c>
    </row>
    <row r="244" spans="3:3">
      <c r="C244" s="702" t="s">
        <v>345</v>
      </c>
    </row>
    <row r="245" spans="3:3">
      <c r="C245" s="702" t="s">
        <v>344</v>
      </c>
    </row>
    <row r="246" spans="3:3">
      <c r="C246" s="702" t="s">
        <v>343</v>
      </c>
    </row>
    <row r="247" spans="3:3">
      <c r="C247" s="702" t="s">
        <v>342</v>
      </c>
    </row>
    <row r="248" spans="3:3">
      <c r="C248" s="702" t="s">
        <v>341</v>
      </c>
    </row>
    <row r="249" spans="3:3">
      <c r="C249" s="702" t="s">
        <v>340</v>
      </c>
    </row>
    <row r="250" spans="3:3">
      <c r="C250" s="702" t="s">
        <v>339</v>
      </c>
    </row>
    <row r="251" spans="3:3">
      <c r="C251" s="702" t="s">
        <v>338</v>
      </c>
    </row>
    <row r="252" spans="3:3">
      <c r="C252" s="702" t="s">
        <v>337</v>
      </c>
    </row>
    <row r="253" spans="3:3">
      <c r="C253" s="702" t="s">
        <v>336</v>
      </c>
    </row>
    <row r="254" spans="3:3">
      <c r="C254" s="702" t="s">
        <v>335</v>
      </c>
    </row>
    <row r="255" spans="3:3">
      <c r="C255" s="702" t="s">
        <v>334</v>
      </c>
    </row>
    <row r="256" spans="3:3">
      <c r="C256" s="702" t="s">
        <v>333</v>
      </c>
    </row>
    <row r="257" spans="3:3">
      <c r="C257" s="702" t="s">
        <v>332</v>
      </c>
    </row>
    <row r="258" spans="3:3">
      <c r="C258" s="702" t="s">
        <v>331</v>
      </c>
    </row>
    <row r="259" spans="3:3">
      <c r="C259" s="702" t="s">
        <v>330</v>
      </c>
    </row>
    <row r="260" spans="3:3">
      <c r="C260" s="702" t="s">
        <v>329</v>
      </c>
    </row>
    <row r="261" spans="3:3">
      <c r="C261" s="702" t="s">
        <v>328</v>
      </c>
    </row>
    <row r="262" spans="3:3">
      <c r="C262" s="702" t="s">
        <v>327</v>
      </c>
    </row>
    <row r="263" spans="3:3">
      <c r="C263" s="702" t="s">
        <v>326</v>
      </c>
    </row>
    <row r="264" spans="3:3">
      <c r="C264" s="702" t="s">
        <v>325</v>
      </c>
    </row>
    <row r="265" spans="3:3">
      <c r="C265" s="702" t="s">
        <v>324</v>
      </c>
    </row>
    <row r="266" spans="3:3">
      <c r="C266" s="702" t="s">
        <v>323</v>
      </c>
    </row>
    <row r="267" spans="3:3">
      <c r="C267" s="702" t="s">
        <v>322</v>
      </c>
    </row>
    <row r="268" spans="3:3">
      <c r="C268" s="702" t="s">
        <v>595</v>
      </c>
    </row>
    <row r="269" spans="3:3">
      <c r="C269" s="702" t="s">
        <v>321</v>
      </c>
    </row>
    <row r="270" spans="3:3">
      <c r="C270" s="702" t="s">
        <v>320</v>
      </c>
    </row>
    <row r="271" spans="3:3">
      <c r="C271" s="702" t="s">
        <v>319</v>
      </c>
    </row>
    <row r="272" spans="3:3">
      <c r="C272" s="702" t="s">
        <v>318</v>
      </c>
    </row>
    <row r="273" spans="3:3">
      <c r="C273" s="702" t="s">
        <v>317</v>
      </c>
    </row>
    <row r="274" spans="3:3">
      <c r="C274" s="702" t="s">
        <v>316</v>
      </c>
    </row>
    <row r="275" spans="3:3">
      <c r="C275" s="702" t="s">
        <v>315</v>
      </c>
    </row>
    <row r="276" spans="3:3">
      <c r="C276" s="702" t="s">
        <v>314</v>
      </c>
    </row>
    <row r="277" spans="3:3">
      <c r="C277" s="702" t="s">
        <v>313</v>
      </c>
    </row>
    <row r="278" spans="3:3">
      <c r="C278" s="702" t="s">
        <v>312</v>
      </c>
    </row>
    <row r="279" spans="3:3">
      <c r="C279" s="702" t="s">
        <v>311</v>
      </c>
    </row>
    <row r="280" spans="3:3">
      <c r="C280" s="702" t="s">
        <v>310</v>
      </c>
    </row>
    <row r="281" spans="3:3">
      <c r="C281" s="702" t="s">
        <v>309</v>
      </c>
    </row>
    <row r="282" spans="3:3">
      <c r="C282" s="702" t="s">
        <v>308</v>
      </c>
    </row>
    <row r="283" spans="3:3">
      <c r="C283" s="702" t="s">
        <v>307</v>
      </c>
    </row>
    <row r="284" spans="3:3">
      <c r="C284" s="702" t="s">
        <v>306</v>
      </c>
    </row>
    <row r="285" spans="3:3">
      <c r="C285" s="702" t="s">
        <v>305</v>
      </c>
    </row>
    <row r="286" spans="3:3">
      <c r="C286" s="702" t="s">
        <v>304</v>
      </c>
    </row>
    <row r="287" spans="3:3">
      <c r="C287" s="702" t="s">
        <v>303</v>
      </c>
    </row>
    <row r="288" spans="3:3">
      <c r="C288" s="702" t="s">
        <v>302</v>
      </c>
    </row>
    <row r="289" spans="3:3">
      <c r="C289" s="702" t="s">
        <v>301</v>
      </c>
    </row>
    <row r="290" spans="3:3">
      <c r="C290" s="702" t="s">
        <v>300</v>
      </c>
    </row>
    <row r="291" spans="3:3">
      <c r="C291" s="702" t="s">
        <v>299</v>
      </c>
    </row>
    <row r="292" spans="3:3">
      <c r="C292" s="702" t="s">
        <v>298</v>
      </c>
    </row>
    <row r="293" spans="3:3">
      <c r="C293" s="702" t="s">
        <v>297</v>
      </c>
    </row>
    <row r="294" spans="3:3">
      <c r="C294" s="702" t="s">
        <v>296</v>
      </c>
    </row>
    <row r="295" spans="3:3">
      <c r="C295" s="702" t="s">
        <v>295</v>
      </c>
    </row>
    <row r="296" spans="3:3">
      <c r="C296" s="702" t="s">
        <v>294</v>
      </c>
    </row>
    <row r="297" spans="3:3">
      <c r="C297" s="702" t="s">
        <v>293</v>
      </c>
    </row>
    <row r="298" spans="3:3">
      <c r="C298" s="702" t="s">
        <v>292</v>
      </c>
    </row>
    <row r="299" spans="3:3">
      <c r="C299" s="702" t="s">
        <v>291</v>
      </c>
    </row>
    <row r="300" spans="3:3">
      <c r="C300" s="702" t="s">
        <v>290</v>
      </c>
    </row>
    <row r="301" spans="3:3" ht="15.75" thickBot="1">
      <c r="C301" s="701" t="str">
        <f>IF(Indice_index!$Z$1=1,"P012 - Ensino Básico e Secundário e Administração Escolar","P012 - Basic and Secondary Education and School Administration")</f>
        <v>P012 - Ensino Básico e Secundário e Administração Escolar</v>
      </c>
    </row>
    <row r="302" spans="3:3">
      <c r="C302" s="702" t="s">
        <v>289</v>
      </c>
    </row>
    <row r="303" spans="3:3">
      <c r="C303" s="702" t="s">
        <v>287</v>
      </c>
    </row>
    <row r="304" spans="3:3">
      <c r="C304" s="702" t="s">
        <v>286</v>
      </c>
    </row>
    <row r="305" spans="3:3">
      <c r="C305" s="702" t="s">
        <v>285</v>
      </c>
    </row>
    <row r="306" spans="3:3">
      <c r="C306" s="702" t="s">
        <v>284</v>
      </c>
    </row>
    <row r="307" spans="3:3">
      <c r="C307" s="702" t="s">
        <v>283</v>
      </c>
    </row>
    <row r="308" spans="3:3">
      <c r="C308" s="702" t="s">
        <v>282</v>
      </c>
    </row>
    <row r="309" spans="3:3">
      <c r="C309" s="702" t="s">
        <v>281</v>
      </c>
    </row>
    <row r="310" spans="3:3">
      <c r="C310" s="702" t="s">
        <v>280</v>
      </c>
    </row>
    <row r="311" spans="3:3">
      <c r="C311" s="702" t="s">
        <v>279</v>
      </c>
    </row>
    <row r="312" spans="3:3">
      <c r="C312" s="702" t="s">
        <v>278</v>
      </c>
    </row>
    <row r="313" spans="3:3">
      <c r="C313" s="702" t="s">
        <v>277</v>
      </c>
    </row>
    <row r="314" spans="3:3">
      <c r="C314" s="702" t="s">
        <v>276</v>
      </c>
    </row>
    <row r="315" spans="3:3">
      <c r="C315" s="702" t="s">
        <v>275</v>
      </c>
    </row>
    <row r="316" spans="3:3">
      <c r="C316" s="702" t="s">
        <v>273</v>
      </c>
    </row>
    <row r="317" spans="3:3">
      <c r="C317" s="702" t="s">
        <v>272</v>
      </c>
    </row>
    <row r="318" spans="3:3">
      <c r="C318" s="702" t="s">
        <v>271</v>
      </c>
    </row>
    <row r="319" spans="3:3">
      <c r="C319" s="702" t="s">
        <v>270</v>
      </c>
    </row>
    <row r="320" spans="3:3">
      <c r="C320" s="702" t="s">
        <v>269</v>
      </c>
    </row>
    <row r="321" spans="3:3" ht="15.75" thickBot="1">
      <c r="C321" s="701" t="str">
        <f>IF(Indice_index!$Z$1=1,"P013 - Trabalho, Solidariedade e Seg. Social","P013 - Work, Solidarity and Social Security")</f>
        <v>P013 - Trabalho, Solidariedade e Seg. Social</v>
      </c>
    </row>
    <row r="322" spans="3:3">
      <c r="C322" s="702" t="s">
        <v>268</v>
      </c>
    </row>
    <row r="323" spans="3:3">
      <c r="C323" s="702" t="s">
        <v>267</v>
      </c>
    </row>
    <row r="324" spans="3:3">
      <c r="C324" s="702" t="s">
        <v>266</v>
      </c>
    </row>
    <row r="325" spans="3:3">
      <c r="C325" s="702" t="s">
        <v>265</v>
      </c>
    </row>
    <row r="326" spans="3:3">
      <c r="C326" s="702" t="s">
        <v>264</v>
      </c>
    </row>
    <row r="327" spans="3:3">
      <c r="C327" s="702" t="s">
        <v>263</v>
      </c>
    </row>
    <row r="328" spans="3:3">
      <c r="C328" s="702" t="s">
        <v>262</v>
      </c>
    </row>
    <row r="329" spans="3:3">
      <c r="C329" s="702" t="s">
        <v>261</v>
      </c>
    </row>
    <row r="330" spans="3:3">
      <c r="C330" s="702" t="s">
        <v>260</v>
      </c>
    </row>
    <row r="331" spans="3:3">
      <c r="C331" s="702" t="s">
        <v>259</v>
      </c>
    </row>
    <row r="332" spans="3:3">
      <c r="C332" s="702" t="s">
        <v>258</v>
      </c>
    </row>
    <row r="333" spans="3:3">
      <c r="C333" s="702" t="s">
        <v>257</v>
      </c>
    </row>
    <row r="334" spans="3:3">
      <c r="C334" s="702" t="s">
        <v>256</v>
      </c>
    </row>
    <row r="335" spans="3:3">
      <c r="C335" s="702" t="s">
        <v>255</v>
      </c>
    </row>
    <row r="336" spans="3:3">
      <c r="C336" s="702" t="s">
        <v>254</v>
      </c>
    </row>
    <row r="337" spans="3:3">
      <c r="C337" s="702" t="s">
        <v>253</v>
      </c>
    </row>
    <row r="338" spans="3:3">
      <c r="C338" s="702" t="s">
        <v>252</v>
      </c>
    </row>
    <row r="339" spans="3:3">
      <c r="C339" s="702" t="s">
        <v>251</v>
      </c>
    </row>
    <row r="340" spans="3:3">
      <c r="C340" s="702" t="s">
        <v>250</v>
      </c>
    </row>
    <row r="341" spans="3:3">
      <c r="C341" s="702" t="s">
        <v>249</v>
      </c>
    </row>
    <row r="342" spans="3:3">
      <c r="C342" s="702" t="s">
        <v>248</v>
      </c>
    </row>
    <row r="343" spans="3:3">
      <c r="C343" s="702" t="s">
        <v>247</v>
      </c>
    </row>
    <row r="344" spans="3:3">
      <c r="C344" s="702" t="s">
        <v>246</v>
      </c>
    </row>
    <row r="345" spans="3:3">
      <c r="C345" s="702" t="s">
        <v>245</v>
      </c>
    </row>
    <row r="346" spans="3:3">
      <c r="C346" s="702" t="s">
        <v>244</v>
      </c>
    </row>
    <row r="347" spans="3:3">
      <c r="C347" s="702" t="s">
        <v>243</v>
      </c>
    </row>
    <row r="348" spans="3:3">
      <c r="C348" s="702" t="s">
        <v>242</v>
      </c>
    </row>
    <row r="349" spans="3:3">
      <c r="C349" s="702" t="s">
        <v>241</v>
      </c>
    </row>
    <row r="350" spans="3:3">
      <c r="C350" s="702" t="s">
        <v>240</v>
      </c>
    </row>
    <row r="351" spans="3:3">
      <c r="C351" s="702" t="s">
        <v>239</v>
      </c>
    </row>
    <row r="352" spans="3:3">
      <c r="C352" s="702" t="s">
        <v>238</v>
      </c>
    </row>
    <row r="353" spans="3:3">
      <c r="C353" s="702" t="s">
        <v>237</v>
      </c>
    </row>
    <row r="354" spans="3:3">
      <c r="C354" s="702" t="s">
        <v>236</v>
      </c>
    </row>
    <row r="355" spans="3:3">
      <c r="C355" s="702" t="s">
        <v>235</v>
      </c>
    </row>
    <row r="356" spans="3:3">
      <c r="C356" s="702" t="s">
        <v>234</v>
      </c>
    </row>
    <row r="357" spans="3:3">
      <c r="C357" s="702" t="s">
        <v>233</v>
      </c>
    </row>
    <row r="358" spans="3:3">
      <c r="C358" s="702" t="s">
        <v>232</v>
      </c>
    </row>
    <row r="359" spans="3:3">
      <c r="C359" s="702" t="s">
        <v>231</v>
      </c>
    </row>
    <row r="360" spans="3:3">
      <c r="C360" s="702" t="s">
        <v>230</v>
      </c>
    </row>
    <row r="361" spans="3:3">
      <c r="C361" s="702" t="s">
        <v>229</v>
      </c>
    </row>
    <row r="362" spans="3:3">
      <c r="C362" s="702" t="s">
        <v>228</v>
      </c>
    </row>
    <row r="363" spans="3:3" ht="15.75" thickBot="1">
      <c r="C363" s="701" t="str">
        <f>IF(Indice_index!$Z$1=1,"P014 - Saúde","P014 - Health")</f>
        <v>P014 - Saúde</v>
      </c>
    </row>
    <row r="364" spans="3:3">
      <c r="C364" s="702" t="s">
        <v>227</v>
      </c>
    </row>
    <row r="365" spans="3:3">
      <c r="C365" s="702" t="s">
        <v>226</v>
      </c>
    </row>
    <row r="366" spans="3:3">
      <c r="C366" s="702" t="s">
        <v>225</v>
      </c>
    </row>
    <row r="367" spans="3:3">
      <c r="C367" s="702" t="s">
        <v>224</v>
      </c>
    </row>
    <row r="368" spans="3:3">
      <c r="C368" s="702" t="s">
        <v>223</v>
      </c>
    </row>
    <row r="369" spans="3:3">
      <c r="C369" s="702" t="s">
        <v>222</v>
      </c>
    </row>
    <row r="370" spans="3:3">
      <c r="C370" s="702" t="s">
        <v>221</v>
      </c>
    </row>
    <row r="371" spans="3:3">
      <c r="C371" s="702" t="s">
        <v>577</v>
      </c>
    </row>
    <row r="372" spans="3:3">
      <c r="C372" s="702" t="s">
        <v>220</v>
      </c>
    </row>
    <row r="373" spans="3:3">
      <c r="C373" s="702" t="s">
        <v>219</v>
      </c>
    </row>
    <row r="374" spans="3:3">
      <c r="C374" s="702" t="s">
        <v>218</v>
      </c>
    </row>
    <row r="375" spans="3:3">
      <c r="C375" s="702" t="s">
        <v>217</v>
      </c>
    </row>
    <row r="376" spans="3:3">
      <c r="C376" s="702" t="s">
        <v>216</v>
      </c>
    </row>
    <row r="377" spans="3:3">
      <c r="C377" s="702" t="s">
        <v>215</v>
      </c>
    </row>
    <row r="378" spans="3:3">
      <c r="C378" s="702" t="s">
        <v>214</v>
      </c>
    </row>
    <row r="379" spans="3:3">
      <c r="C379" s="702" t="s">
        <v>213</v>
      </c>
    </row>
    <row r="380" spans="3:3">
      <c r="C380" s="702" t="s">
        <v>212</v>
      </c>
    </row>
    <row r="381" spans="3:3">
      <c r="C381" s="702" t="s">
        <v>211</v>
      </c>
    </row>
    <row r="382" spans="3:3">
      <c r="C382" s="702" t="s">
        <v>210</v>
      </c>
    </row>
    <row r="383" spans="3:3">
      <c r="C383" s="702" t="s">
        <v>209</v>
      </c>
    </row>
    <row r="384" spans="3:3">
      <c r="C384" s="702" t="s">
        <v>208</v>
      </c>
    </row>
    <row r="385" spans="3:3">
      <c r="C385" s="702" t="s">
        <v>207</v>
      </c>
    </row>
    <row r="386" spans="3:3">
      <c r="C386" s="702" t="s">
        <v>206</v>
      </c>
    </row>
    <row r="387" spans="3:3">
      <c r="C387" s="702" t="s">
        <v>205</v>
      </c>
    </row>
    <row r="388" spans="3:3">
      <c r="C388" s="702" t="s">
        <v>576</v>
      </c>
    </row>
    <row r="389" spans="3:3">
      <c r="C389" s="702" t="s">
        <v>204</v>
      </c>
    </row>
    <row r="390" spans="3:3">
      <c r="C390" s="702" t="s">
        <v>203</v>
      </c>
    </row>
    <row r="391" spans="3:3">
      <c r="C391" s="702" t="s">
        <v>202</v>
      </c>
    </row>
    <row r="392" spans="3:3">
      <c r="C392" s="702" t="s">
        <v>201</v>
      </c>
    </row>
    <row r="393" spans="3:3">
      <c r="C393" s="702" t="s">
        <v>200</v>
      </c>
    </row>
    <row r="394" spans="3:3">
      <c r="C394" s="702" t="s">
        <v>199</v>
      </c>
    </row>
    <row r="395" spans="3:3">
      <c r="C395" s="702" t="s">
        <v>578</v>
      </c>
    </row>
    <row r="396" spans="3:3">
      <c r="C396" s="702" t="s">
        <v>198</v>
      </c>
    </row>
    <row r="397" spans="3:3">
      <c r="C397" s="702" t="s">
        <v>197</v>
      </c>
    </row>
    <row r="398" spans="3:3">
      <c r="C398" s="702" t="s">
        <v>196</v>
      </c>
    </row>
    <row r="399" spans="3:3">
      <c r="C399" s="702" t="s">
        <v>195</v>
      </c>
    </row>
    <row r="400" spans="3:3">
      <c r="C400" s="702" t="s">
        <v>194</v>
      </c>
    </row>
    <row r="401" spans="3:3">
      <c r="C401" s="702" t="s">
        <v>579</v>
      </c>
    </row>
    <row r="402" spans="3:3">
      <c r="C402" s="702" t="s">
        <v>193</v>
      </c>
    </row>
    <row r="403" spans="3:3">
      <c r="C403" s="702" t="s">
        <v>192</v>
      </c>
    </row>
    <row r="404" spans="3:3">
      <c r="C404" s="702" t="s">
        <v>191</v>
      </c>
    </row>
    <row r="405" spans="3:3">
      <c r="C405" s="702" t="s">
        <v>190</v>
      </c>
    </row>
    <row r="406" spans="3:3">
      <c r="C406" s="702" t="s">
        <v>189</v>
      </c>
    </row>
    <row r="407" spans="3:3">
      <c r="C407" s="702" t="s">
        <v>188</v>
      </c>
    </row>
    <row r="408" spans="3:3">
      <c r="C408" s="702" t="s">
        <v>187</v>
      </c>
    </row>
    <row r="409" spans="3:3">
      <c r="C409" s="702" t="s">
        <v>186</v>
      </c>
    </row>
    <row r="410" spans="3:3">
      <c r="C410" s="702" t="s">
        <v>185</v>
      </c>
    </row>
    <row r="411" spans="3:3">
      <c r="C411" s="702" t="s">
        <v>184</v>
      </c>
    </row>
    <row r="412" spans="3:3">
      <c r="C412" s="702" t="s">
        <v>183</v>
      </c>
    </row>
    <row r="413" spans="3:3">
      <c r="C413" s="702" t="s">
        <v>182</v>
      </c>
    </row>
    <row r="414" spans="3:3">
      <c r="C414" s="702" t="s">
        <v>181</v>
      </c>
    </row>
    <row r="415" spans="3:3">
      <c r="C415" s="702" t="s">
        <v>180</v>
      </c>
    </row>
    <row r="416" spans="3:3">
      <c r="C416" s="702" t="s">
        <v>179</v>
      </c>
    </row>
    <row r="417" spans="3:3">
      <c r="C417" s="702" t="s">
        <v>178</v>
      </c>
    </row>
    <row r="418" spans="3:3">
      <c r="C418" s="702" t="s">
        <v>177</v>
      </c>
    </row>
    <row r="419" spans="3:3">
      <c r="C419" s="702" t="s">
        <v>176</v>
      </c>
    </row>
    <row r="420" spans="3:3">
      <c r="C420" s="702" t="s">
        <v>175</v>
      </c>
    </row>
    <row r="421" spans="3:3">
      <c r="C421" s="702" t="s">
        <v>174</v>
      </c>
    </row>
    <row r="422" spans="3:3">
      <c r="C422" s="702" t="s">
        <v>173</v>
      </c>
    </row>
    <row r="423" spans="3:3">
      <c r="C423" s="702" t="s">
        <v>172</v>
      </c>
    </row>
    <row r="424" spans="3:3">
      <c r="C424" s="702" t="s">
        <v>171</v>
      </c>
    </row>
    <row r="425" spans="3:3">
      <c r="C425" s="702" t="s">
        <v>170</v>
      </c>
    </row>
    <row r="426" spans="3:3">
      <c r="C426" s="702" t="s">
        <v>169</v>
      </c>
    </row>
    <row r="427" spans="3:3">
      <c r="C427" s="702" t="s">
        <v>168</v>
      </c>
    </row>
    <row r="428" spans="3:3">
      <c r="C428" s="702" t="s">
        <v>167</v>
      </c>
    </row>
    <row r="429" spans="3:3">
      <c r="C429" s="702" t="s">
        <v>166</v>
      </c>
    </row>
    <row r="430" spans="3:3">
      <c r="C430" s="702" t="s">
        <v>165</v>
      </c>
    </row>
    <row r="431" spans="3:3" ht="15.75" thickBot="1">
      <c r="C431" s="701" t="str">
        <f>IF(Indice_index!$Z$1=1,"P015 - Ambiente e Ação Climática","P015 -  Environment and Climate Action")</f>
        <v>P015 - Ambiente e Ação Climática</v>
      </c>
    </row>
    <row r="432" spans="3:3">
      <c r="C432" s="702" t="s">
        <v>164</v>
      </c>
    </row>
    <row r="433" spans="3:3">
      <c r="C433" s="702" t="s">
        <v>163</v>
      </c>
    </row>
    <row r="434" spans="3:3">
      <c r="C434" s="702" t="s">
        <v>162</v>
      </c>
    </row>
    <row r="435" spans="3:3">
      <c r="C435" s="702" t="s">
        <v>161</v>
      </c>
    </row>
    <row r="436" spans="3:3">
      <c r="C436" s="702" t="s">
        <v>160</v>
      </c>
    </row>
    <row r="437" spans="3:3">
      <c r="C437" s="702" t="s">
        <v>159</v>
      </c>
    </row>
    <row r="438" spans="3:3">
      <c r="C438" s="702" t="s">
        <v>158</v>
      </c>
    </row>
    <row r="439" spans="3:3">
      <c r="C439" s="702" t="s">
        <v>157</v>
      </c>
    </row>
    <row r="440" spans="3:3">
      <c r="C440" s="702" t="s">
        <v>155</v>
      </c>
    </row>
    <row r="441" spans="3:3">
      <c r="C441" s="702" t="s">
        <v>154</v>
      </c>
    </row>
    <row r="442" spans="3:3">
      <c r="C442" s="702" t="s">
        <v>153</v>
      </c>
    </row>
    <row r="443" spans="3:3">
      <c r="C443" s="702" t="s">
        <v>152</v>
      </c>
    </row>
    <row r="444" spans="3:3">
      <c r="C444" s="702" t="s">
        <v>151</v>
      </c>
    </row>
    <row r="445" spans="3:3">
      <c r="C445" s="702" t="s">
        <v>150</v>
      </c>
    </row>
    <row r="446" spans="3:3">
      <c r="C446" s="702" t="s">
        <v>149</v>
      </c>
    </row>
    <row r="447" spans="3:3">
      <c r="C447" s="702" t="s">
        <v>148</v>
      </c>
    </row>
    <row r="448" spans="3:3">
      <c r="C448" s="702" t="s">
        <v>147</v>
      </c>
    </row>
    <row r="449" spans="3:3">
      <c r="C449" s="702" t="s">
        <v>146</v>
      </c>
    </row>
    <row r="450" spans="3:3">
      <c r="C450" s="702" t="s">
        <v>145</v>
      </c>
    </row>
    <row r="451" spans="3:3">
      <c r="C451" s="702" t="s">
        <v>144</v>
      </c>
    </row>
    <row r="452" spans="3:3">
      <c r="C452" s="702" t="s">
        <v>143</v>
      </c>
    </row>
    <row r="453" spans="3:3">
      <c r="C453" s="702" t="s">
        <v>142</v>
      </c>
    </row>
    <row r="454" spans="3:3">
      <c r="C454" s="702" t="s">
        <v>141</v>
      </c>
    </row>
    <row r="455" spans="3:3">
      <c r="C455" s="702" t="s">
        <v>140</v>
      </c>
    </row>
    <row r="456" spans="3:3">
      <c r="C456" s="702" t="s">
        <v>139</v>
      </c>
    </row>
    <row r="457" spans="3:3">
      <c r="C457" s="702" t="s">
        <v>138</v>
      </c>
    </row>
    <row r="458" spans="3:3" ht="15" customHeight="1">
      <c r="C458" s="702" t="s">
        <v>590</v>
      </c>
    </row>
    <row r="459" spans="3:3">
      <c r="C459" s="702" t="s">
        <v>137</v>
      </c>
    </row>
    <row r="460" spans="3:3">
      <c r="C460" s="702" t="s">
        <v>136</v>
      </c>
    </row>
    <row r="461" spans="3:3">
      <c r="C461" s="702" t="s">
        <v>135</v>
      </c>
    </row>
    <row r="462" spans="3:3">
      <c r="C462" s="702" t="s">
        <v>134</v>
      </c>
    </row>
    <row r="463" spans="3:3" ht="15.75" thickBot="1">
      <c r="C463" s="701" t="str">
        <f>IF(Indice_index!$Z$1=1,"P016 - Infraestruturas e Habitação","P016 - Infrastructures and Housing")</f>
        <v>P016 - Infraestruturas e Habitação</v>
      </c>
    </row>
    <row r="464" spans="3:3">
      <c r="C464" s="702" t="s">
        <v>133</v>
      </c>
    </row>
    <row r="465" spans="3:3">
      <c r="C465" s="702" t="s">
        <v>132</v>
      </c>
    </row>
    <row r="466" spans="3:3">
      <c r="C466" s="702" t="s">
        <v>131</v>
      </c>
    </row>
    <row r="467" spans="3:3">
      <c r="C467" s="702" t="s">
        <v>130</v>
      </c>
    </row>
    <row r="468" spans="3:3">
      <c r="C468" s="702" t="s">
        <v>129</v>
      </c>
    </row>
    <row r="469" spans="3:3">
      <c r="C469" s="702" t="s">
        <v>128</v>
      </c>
    </row>
    <row r="470" spans="3:3">
      <c r="C470" s="702" t="s">
        <v>127</v>
      </c>
    </row>
    <row r="471" spans="3:3">
      <c r="C471" s="702" t="s">
        <v>126</v>
      </c>
    </row>
    <row r="472" spans="3:3">
      <c r="C472" s="702" t="s">
        <v>125</v>
      </c>
    </row>
    <row r="473" spans="3:3">
      <c r="C473" s="702" t="s">
        <v>124</v>
      </c>
    </row>
    <row r="474" spans="3:3">
      <c r="C474" s="702" t="s">
        <v>123</v>
      </c>
    </row>
    <row r="475" spans="3:3">
      <c r="C475" s="702" t="s">
        <v>580</v>
      </c>
    </row>
    <row r="476" spans="3:3">
      <c r="C476" s="702" t="s">
        <v>122</v>
      </c>
    </row>
    <row r="477" spans="3:3">
      <c r="C477" s="702" t="s">
        <v>121</v>
      </c>
    </row>
    <row r="478" spans="3:3">
      <c r="C478" s="702" t="s">
        <v>120</v>
      </c>
    </row>
    <row r="479" spans="3:3">
      <c r="C479" s="702" t="s">
        <v>119</v>
      </c>
    </row>
    <row r="480" spans="3:3" ht="15.75" thickBot="1">
      <c r="C480" s="701" t="str">
        <f>IF(Indice_index!$Z$1=1,"P017 - Agricultura e Alimentação","P017 - Agriculture and Food")</f>
        <v>P017 - Agricultura e Alimentação</v>
      </c>
    </row>
    <row r="481" spans="3:3">
      <c r="C481" s="702" t="s">
        <v>581</v>
      </c>
    </row>
    <row r="482" spans="3:3">
      <c r="C482" s="702" t="s">
        <v>103</v>
      </c>
    </row>
    <row r="483" spans="3:3">
      <c r="C483" s="702" t="s">
        <v>118</v>
      </c>
    </row>
    <row r="484" spans="3:3">
      <c r="C484" s="702" t="s">
        <v>117</v>
      </c>
    </row>
    <row r="485" spans="3:3">
      <c r="C485" s="702" t="s">
        <v>116</v>
      </c>
    </row>
    <row r="486" spans="3:3">
      <c r="C486" s="702" t="s">
        <v>115</v>
      </c>
    </row>
    <row r="487" spans="3:3">
      <c r="C487" s="702" t="s">
        <v>114</v>
      </c>
    </row>
    <row r="488" spans="3:3">
      <c r="C488" s="702" t="s">
        <v>113</v>
      </c>
    </row>
    <row r="489" spans="3:3">
      <c r="C489" s="702" t="s">
        <v>112</v>
      </c>
    </row>
    <row r="490" spans="3:3">
      <c r="C490" s="702" t="s">
        <v>101</v>
      </c>
    </row>
    <row r="491" spans="3:3">
      <c r="C491" s="702" t="s">
        <v>111</v>
      </c>
    </row>
    <row r="492" spans="3:3">
      <c r="C492" s="702" t="s">
        <v>110</v>
      </c>
    </row>
    <row r="493" spans="3:3">
      <c r="C493" s="702" t="s">
        <v>98</v>
      </c>
    </row>
    <row r="494" spans="3:3">
      <c r="C494" s="702" t="s">
        <v>109</v>
      </c>
    </row>
    <row r="495" spans="3:3">
      <c r="C495" s="702" t="s">
        <v>108</v>
      </c>
    </row>
    <row r="496" spans="3:3">
      <c r="C496" s="702" t="s">
        <v>107</v>
      </c>
    </row>
    <row r="497" spans="3:3">
      <c r="C497" s="702" t="s">
        <v>106</v>
      </c>
    </row>
    <row r="498" spans="3:3">
      <c r="C498" s="702" t="s">
        <v>105</v>
      </c>
    </row>
    <row r="499" spans="3:3">
      <c r="C499" s="702" t="s">
        <v>104</v>
      </c>
    </row>
    <row r="500" spans="3:3">
      <c r="C500" s="702" t="s">
        <v>97</v>
      </c>
    </row>
    <row r="501" spans="3:3" ht="8.25" customHeight="1">
      <c r="C501" s="247"/>
    </row>
    <row r="502" spans="3:3" ht="8.25" customHeight="1">
      <c r="C502" s="247"/>
    </row>
    <row r="503" spans="3:3">
      <c r="C503" s="863" t="str">
        <f>IF(Indice_index!$Z$1=1,"Notas:","Notes:")</f>
        <v>Notas:</v>
      </c>
    </row>
    <row r="504" spans="3:3">
      <c r="C504" s="864" t="s">
        <v>589</v>
      </c>
    </row>
    <row r="505" spans="3:3" ht="8.25" customHeight="1">
      <c r="C505" s="247"/>
    </row>
    <row r="506" spans="3:3">
      <c r="C506" s="865" t="s">
        <v>588</v>
      </c>
    </row>
    <row r="507" spans="3:3">
      <c r="C507" s="866" t="s">
        <v>586</v>
      </c>
    </row>
    <row r="508" spans="3:3" ht="22.5">
      <c r="C508" s="867" t="s">
        <v>587</v>
      </c>
    </row>
  </sheetData>
  <printOptions horizontalCentered="1"/>
  <pageMargins left="0.70866141732283472" right="0.70866141732283472" top="0.74803149606299213" bottom="0.74803149606299213" header="0.74803149606299213" footer="0.35433070866141736"/>
  <pageSetup paperSize="9" scale="42" fitToHeight="8" orientation="portrait" r:id="rId1"/>
  <headerFooter differentOddEven="1">
    <oddFooter>&amp;R&amp;G</oddFooter>
    <evenFooter>&amp;L&amp;G</evenFooter>
  </headerFooter>
  <rowBreaks count="7" manualBreakCount="7">
    <brk id="72" max="3" man="1"/>
    <brk id="141" max="3" man="1"/>
    <brk id="210" max="3" man="1"/>
    <brk id="279" max="3" man="1"/>
    <brk id="348" max="3" man="1"/>
    <brk id="417" max="3" man="1"/>
    <brk id="487" max="3" man="1"/>
  </rowBreaks>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olha4"/>
  <dimension ref="B1:V27"/>
  <sheetViews>
    <sheetView showGridLines="0" zoomScaleNormal="100" zoomScaleSheetLayoutView="100" workbookViewId="0">
      <selection activeCell="B2" sqref="B2"/>
    </sheetView>
  </sheetViews>
  <sheetFormatPr defaultColWidth="8.85546875" defaultRowHeight="15"/>
  <cols>
    <col min="1" max="1" width="3.42578125" style="511" customWidth="1"/>
    <col min="2" max="2" width="4.42578125" style="511" customWidth="1"/>
    <col min="3" max="3" width="1.42578125" style="511" customWidth="1"/>
    <col min="4" max="5" width="3.85546875" style="511" customWidth="1"/>
    <col min="6" max="6" width="2.42578125" style="511" customWidth="1"/>
    <col min="7" max="7" width="32.42578125" style="511" customWidth="1"/>
    <col min="8" max="15" width="9.5703125" style="511" customWidth="1"/>
    <col min="16" max="20" width="8.85546875" style="511"/>
    <col min="21" max="22" width="10" style="512" customWidth="1"/>
    <col min="23" max="16384" width="8.85546875" style="511"/>
  </cols>
  <sheetData>
    <row r="1" spans="2:22" ht="15" customHeight="1"/>
    <row r="2" spans="2:22" ht="24" customHeight="1">
      <c r="B2" s="8"/>
      <c r="C2" s="523" t="str">
        <f>IF(Indice_index!$Z$1=1,"1 - Receita, despesa e saldo das Administrações Públicas","1 - General Government revenue, expenditure and balance")</f>
        <v>1 - Receita, despesa e saldo das Administrações Públicas</v>
      </c>
      <c r="D2" s="523"/>
      <c r="E2" s="523"/>
      <c r="F2" s="523"/>
      <c r="G2" s="523"/>
      <c r="H2" s="521"/>
      <c r="I2" s="521"/>
      <c r="J2" s="522"/>
      <c r="K2" s="521"/>
      <c r="L2" s="521"/>
      <c r="M2" s="521"/>
      <c r="N2" s="521"/>
      <c r="O2" s="521"/>
      <c r="P2" s="520"/>
      <c r="U2" s="520"/>
      <c r="V2" s="520"/>
    </row>
    <row r="3" spans="2:22" s="17" customFormat="1" ht="15" customHeight="1">
      <c r="C3" s="519"/>
      <c r="H3" s="511"/>
      <c r="I3" s="511"/>
      <c r="K3" s="511"/>
      <c r="L3" s="511"/>
      <c r="M3" s="511"/>
      <c r="N3" s="511"/>
      <c r="O3" s="511"/>
      <c r="U3" s="512"/>
      <c r="V3" s="512"/>
    </row>
    <row r="4" spans="2:22" s="517" customFormat="1" ht="15" customHeight="1">
      <c r="U4" s="518"/>
      <c r="V4" s="518"/>
    </row>
    <row r="5" spans="2:22" s="539" customFormat="1" ht="15" customHeight="1">
      <c r="B5" s="538"/>
      <c r="C5" s="703" t="str">
        <f>+'5 - Conta AC + SS'!C5</f>
        <v>Período: janeiro a julho</v>
      </c>
      <c r="D5" s="1569"/>
      <c r="E5" s="1569"/>
      <c r="F5" s="1569"/>
      <c r="G5" s="1569"/>
      <c r="H5" s="1570"/>
      <c r="I5" s="1570"/>
      <c r="J5" s="1570"/>
      <c r="K5" s="1570"/>
      <c r="L5" s="1570"/>
      <c r="M5" s="1570"/>
      <c r="N5" s="1571"/>
      <c r="O5" s="1572" t="str">
        <f>IF(Indice_index!$Z$1=1,"€ Milhões","€ Millions")</f>
        <v>€ Milhões</v>
      </c>
      <c r="U5" s="250"/>
      <c r="V5" s="250"/>
    </row>
    <row r="6" spans="2:22" s="539" customFormat="1" ht="23.25" customHeight="1">
      <c r="B6" s="540"/>
      <c r="C6" s="1573"/>
      <c r="D6" s="1573"/>
      <c r="E6" s="1573"/>
      <c r="F6" s="1573"/>
      <c r="G6" s="1573"/>
      <c r="H6" s="1647" t="str">
        <f>IF(Indice_index!$Z$1=1,"Saldo","Overall balance")</f>
        <v>Saldo</v>
      </c>
      <c r="I6" s="1647"/>
      <c r="J6" s="1647" t="str">
        <f>IF(Indice_index!$Z$1=1,"Receita","Revenue")</f>
        <v>Receita</v>
      </c>
      <c r="K6" s="1647"/>
      <c r="L6" s="1647" t="str">
        <f>IF(Indice_index!$Z$1=1,"Despesa","Expenditure")</f>
        <v>Despesa</v>
      </c>
      <c r="M6" s="1647"/>
      <c r="N6" s="1648" t="str">
        <f>IF(Indice_index!$Z$1=1,"Variação Homóloga Acumulada (%)","YOY Change Rate (%)")</f>
        <v>Variação Homóloga Acumulada (%)</v>
      </c>
      <c r="O6" s="1649"/>
      <c r="U6" s="1646"/>
      <c r="V6" s="1646"/>
    </row>
    <row r="7" spans="2:22" s="517" customFormat="1" ht="16.350000000000001" customHeight="1">
      <c r="B7" s="541"/>
      <c r="C7" s="1574"/>
      <c r="D7" s="1574"/>
      <c r="E7" s="1574"/>
      <c r="F7" s="1574"/>
      <c r="G7" s="1574"/>
      <c r="H7" s="1575" t="str">
        <f>IF(Indice_index!$Z$1=1,"2021","2021")</f>
        <v>2021</v>
      </c>
      <c r="I7" s="1575" t="str">
        <f>IF(Indice_index!$Z$1=1,"2022","2022")</f>
        <v>2022</v>
      </c>
      <c r="J7" s="1575" t="str">
        <f>IF(Indice_index!$Z$1=1,"2021","2022")</f>
        <v>2021</v>
      </c>
      <c r="K7" s="1575" t="str">
        <f>IF(Indice_index!$Z$1=1,"2022","2022")</f>
        <v>2022</v>
      </c>
      <c r="L7" s="1575" t="str">
        <f>IF(Indice_index!$Z$1=1,"2021","2021")</f>
        <v>2021</v>
      </c>
      <c r="M7" s="1575" t="str">
        <f>IF(Indice_index!$Z$1=1,"2022","2022")</f>
        <v>2022</v>
      </c>
      <c r="N7" s="1576" t="str">
        <f>IF(Indice_index!$Z$1=1,"Receita","Revenue")</f>
        <v>Receita</v>
      </c>
      <c r="O7" s="1577" t="str">
        <f>IF(Indice_index!$Z$1=1,"Despesa","Expenditure")</f>
        <v>Despesa</v>
      </c>
      <c r="U7" s="542"/>
      <c r="V7" s="542"/>
    </row>
    <row r="8" spans="2:22" s="517" customFormat="1" ht="15" customHeight="1">
      <c r="B8" s="543"/>
      <c r="C8" s="1578"/>
      <c r="D8" s="1578" t="str">
        <f>IF(Indice_index!$Z$1=1,"Administração Central e Segurança Social","Central Government and Social Security")</f>
        <v>Administração Central e Segurança Social</v>
      </c>
      <c r="E8" s="1578"/>
      <c r="F8" s="1578"/>
      <c r="G8" s="1578"/>
      <c r="H8" s="1579">
        <f t="shared" ref="H8:H16" si="0">+J8-L8</f>
        <v>-7160.353573579996</v>
      </c>
      <c r="I8" s="1579">
        <f t="shared" ref="I8:I16" si="1">+K8-M8</f>
        <v>195.08894225999393</v>
      </c>
      <c r="J8" s="1579">
        <f>+'5 - Conta AC + SS'!F27</f>
        <v>44240.453401160012</v>
      </c>
      <c r="K8" s="1579">
        <f>+'5 - Conta AC + SS'!G27</f>
        <v>51623.416528639995</v>
      </c>
      <c r="L8" s="1579">
        <f>+'5 - Conta AC + SS'!F50</f>
        <v>51400.806974740008</v>
      </c>
      <c r="M8" s="1579">
        <f>+'5 - Conta AC + SS'!G50</f>
        <v>51428.327586380001</v>
      </c>
      <c r="N8" s="1580">
        <f t="shared" ref="N8:N16" si="2">+IFERROR((K8-J8)/J8*100,"-")</f>
        <v>16.688262799961262</v>
      </c>
      <c r="O8" s="1580">
        <f t="shared" ref="O8:O16" si="3">+IFERROR((M8-L8)/L8*100,"-")</f>
        <v>5.3541205400758886E-2</v>
      </c>
      <c r="U8" s="544"/>
      <c r="V8" s="544"/>
    </row>
    <row r="9" spans="2:22" s="517" customFormat="1" ht="15" customHeight="1">
      <c r="B9" s="543"/>
      <c r="C9" s="1581"/>
      <c r="D9" s="1581"/>
      <c r="E9" s="1582" t="str">
        <f>IF(Indice_index!$Z$1=1,"Administração Central (AC)","Central Government (CG)")</f>
        <v>Administração Central (AC)</v>
      </c>
      <c r="F9" s="1582"/>
      <c r="G9" s="1582"/>
      <c r="H9" s="1583">
        <f t="shared" si="0"/>
        <v>-6714.69221929997</v>
      </c>
      <c r="I9" s="1583">
        <f t="shared" si="1"/>
        <v>-1653.6782909700269</v>
      </c>
      <c r="J9" s="1583">
        <f>+'6 - Conta AC'!F26</f>
        <v>33127.441148570004</v>
      </c>
      <c r="K9" s="1583">
        <f>+'6 - Conta AC'!G26</f>
        <v>39065.936070380005</v>
      </c>
      <c r="L9" s="1583">
        <f>+'6 - Conta AC'!F49</f>
        <v>39842.133367869974</v>
      </c>
      <c r="M9" s="1583">
        <f>+'6 - Conta AC'!G49</f>
        <v>40719.614361350032</v>
      </c>
      <c r="N9" s="1584">
        <f t="shared" si="2"/>
        <v>17.926210766406705</v>
      </c>
      <c r="O9" s="1584">
        <f t="shared" si="3"/>
        <v>2.2023945991498732</v>
      </c>
      <c r="Q9" s="545"/>
      <c r="U9" s="544"/>
      <c r="V9" s="544"/>
    </row>
    <row r="10" spans="2:22" s="517" customFormat="1" ht="15" customHeight="1">
      <c r="B10" s="543"/>
      <c r="C10" s="1581"/>
      <c r="D10" s="1581"/>
      <c r="E10" s="1581"/>
      <c r="F10" s="1585" t="str">
        <f>IF(Indice_index!$Z$1=1,"Subsetor Estado / Serviços integrados","State subsector")</f>
        <v>Subsetor Estado / Serviços integrados</v>
      </c>
      <c r="G10" s="1585"/>
      <c r="H10" s="1586">
        <f t="shared" si="0"/>
        <v>-7575.5236929199928</v>
      </c>
      <c r="I10" s="1586">
        <f t="shared" si="1"/>
        <v>-2591.4590449500101</v>
      </c>
      <c r="J10" s="1586">
        <f>+'7 - Estado'!F32</f>
        <v>25678.120671770001</v>
      </c>
      <c r="K10" s="1586">
        <f>+'7 - Estado'!G32</f>
        <v>31210.246216069994</v>
      </c>
      <c r="L10" s="1586">
        <f>+'7 - Estado'!F59</f>
        <v>33253.644364689993</v>
      </c>
      <c r="M10" s="1586">
        <f>+'7 - Estado'!G59</f>
        <v>33801.705261020004</v>
      </c>
      <c r="N10" s="1587">
        <f t="shared" si="2"/>
        <v>21.544121608486321</v>
      </c>
      <c r="O10" s="1587">
        <f t="shared" si="3"/>
        <v>1.648122805186319</v>
      </c>
      <c r="Q10" s="545"/>
      <c r="U10" s="546"/>
      <c r="V10" s="546"/>
    </row>
    <row r="11" spans="2:22" s="517" customFormat="1" ht="15" customHeight="1">
      <c r="B11" s="543"/>
      <c r="C11" s="1581"/>
      <c r="D11" s="1581"/>
      <c r="E11" s="1581"/>
      <c r="F11" s="1588" t="str">
        <f>IF(Indice_index!$Z$1=1,"Serviços e Fundos Autónomos","Autonomous Services and Funds")</f>
        <v>Serviços e Fundos Autónomos</v>
      </c>
      <c r="G11" s="1588"/>
      <c r="H11" s="1586">
        <f t="shared" si="0"/>
        <v>860.83147362002637</v>
      </c>
      <c r="I11" s="1586">
        <f t="shared" si="1"/>
        <v>937.78075397996872</v>
      </c>
      <c r="J11" s="1586">
        <f>+'9 - SFA'!F32</f>
        <v>20216.705190230001</v>
      </c>
      <c r="K11" s="1586">
        <f>+'9 - SFA'!G32</f>
        <v>20560.447330030001</v>
      </c>
      <c r="L11" s="1586">
        <f>+'9 - SFA'!F59</f>
        <v>19355.873716609975</v>
      </c>
      <c r="M11" s="1586">
        <f>+'9 - SFA'!G59</f>
        <v>19622.666576050033</v>
      </c>
      <c r="N11" s="1587">
        <f t="shared" si="2"/>
        <v>1.700287641163797</v>
      </c>
      <c r="O11" s="1587">
        <f t="shared" si="3"/>
        <v>1.378356065689319</v>
      </c>
      <c r="Q11" s="545"/>
      <c r="U11" s="546"/>
      <c r="V11" s="546"/>
    </row>
    <row r="12" spans="2:22" s="517" customFormat="1" ht="15" customHeight="1">
      <c r="B12" s="543"/>
      <c r="C12" s="1581"/>
      <c r="D12" s="1581"/>
      <c r="E12" s="1581"/>
      <c r="F12" s="1589"/>
      <c r="G12" s="1590" t="str">
        <f>IF(Indice_index!$Z$1=1,"do qual: Entidades Públicas Reclassificadas (EPR)","of which: CG reclassified State Owned Enterprises")</f>
        <v>do qual: Entidades Públicas Reclassificadas (EPR)</v>
      </c>
      <c r="H12" s="1591">
        <f t="shared" si="0"/>
        <v>-502.26079304999894</v>
      </c>
      <c r="I12" s="1591">
        <f t="shared" si="1"/>
        <v>-174.01067425000383</v>
      </c>
      <c r="J12" s="1591">
        <f>+'10 - EPR'!F32</f>
        <v>6458.0872020300003</v>
      </c>
      <c r="K12" s="1591">
        <f>+'10 - EPR'!G32</f>
        <v>6509.6880441999974</v>
      </c>
      <c r="L12" s="1591">
        <f>+'10 - EPR'!F59</f>
        <v>6960.3479950799992</v>
      </c>
      <c r="M12" s="1591">
        <f>+'10 - EPR'!G59</f>
        <v>6683.6987184500013</v>
      </c>
      <c r="N12" s="1592">
        <f t="shared" si="2"/>
        <v>0.79901123282722464</v>
      </c>
      <c r="O12" s="1592">
        <f t="shared" si="3"/>
        <v>-3.9746471990416379</v>
      </c>
      <c r="Q12" s="545"/>
      <c r="U12" s="547"/>
      <c r="V12" s="547"/>
    </row>
    <row r="13" spans="2:22" s="517" customFormat="1" ht="15" customHeight="1">
      <c r="C13" s="1593"/>
      <c r="D13" s="1593"/>
      <c r="E13" s="1582" t="str">
        <f>IF(Indice_index!$Z$1=1,"Segurança Social","Social Security")</f>
        <v>Segurança Social</v>
      </c>
      <c r="F13" s="1593"/>
      <c r="G13" s="1593"/>
      <c r="H13" s="1586">
        <f t="shared" si="0"/>
        <v>-445.66135428000052</v>
      </c>
      <c r="I13" s="1586">
        <f t="shared" si="1"/>
        <v>1848.767233229999</v>
      </c>
      <c r="J13" s="1586">
        <f>+'13 - SS Eco'!F29</f>
        <v>18146.664428930002</v>
      </c>
      <c r="K13" s="1586">
        <f>+'13 - SS Eco'!G29</f>
        <v>19330.599097209997</v>
      </c>
      <c r="L13" s="1586">
        <f>+'13 - SS Eco'!F54</f>
        <v>18592.325783210003</v>
      </c>
      <c r="M13" s="1586">
        <f>+'13 - SS Eco'!G54</f>
        <v>17481.831863979998</v>
      </c>
      <c r="N13" s="1587">
        <f t="shared" si="2"/>
        <v>6.5242550382566611</v>
      </c>
      <c r="O13" s="1587">
        <f t="shared" si="3"/>
        <v>-5.9728617719943768</v>
      </c>
      <c r="Q13" s="545"/>
      <c r="U13" s="546"/>
      <c r="V13" s="546"/>
    </row>
    <row r="14" spans="2:22" ht="15" customHeight="1">
      <c r="C14" s="1593"/>
      <c r="D14" s="1585" t="str">
        <f>IF(Indice_index!$Z$1=1,"Administração Regional","Regional Government")</f>
        <v>Administração Regional</v>
      </c>
      <c r="E14" s="1581"/>
      <c r="F14" s="1593"/>
      <c r="G14" s="1593"/>
      <c r="H14" s="1586">
        <f t="shared" si="0"/>
        <v>-137.78125198999874</v>
      </c>
      <c r="I14" s="1586">
        <f t="shared" si="1"/>
        <v>-184.17054028000075</v>
      </c>
      <c r="J14" s="1586">
        <f>'14 - Adm R'!J35</f>
        <v>1435.1392969900005</v>
      </c>
      <c r="K14" s="1586">
        <f>'14 - Adm R'!K35</f>
        <v>1460.2273989300002</v>
      </c>
      <c r="L14" s="1586">
        <f>'14 - Adm R'!J58</f>
        <v>1572.9205489799992</v>
      </c>
      <c r="M14" s="1586">
        <f>'14 - Adm R'!K58</f>
        <v>1644.3979392100009</v>
      </c>
      <c r="N14" s="1587">
        <f t="shared" si="2"/>
        <v>1.7481300938953011</v>
      </c>
      <c r="O14" s="1587">
        <f t="shared" si="3"/>
        <v>4.5442467056809086</v>
      </c>
      <c r="P14" s="517"/>
      <c r="Q14" s="545"/>
      <c r="U14" s="546"/>
      <c r="V14" s="546"/>
    </row>
    <row r="15" spans="2:22" ht="15" customHeight="1">
      <c r="C15" s="1581"/>
      <c r="D15" s="1582" t="str">
        <f>IF(Indice_index!$Z$1=1,"Administração Local","Local Government")</f>
        <v>Administração Local</v>
      </c>
      <c r="E15" s="1582"/>
      <c r="F15" s="1582"/>
      <c r="G15" s="1582"/>
      <c r="H15" s="1586">
        <f t="shared" si="0"/>
        <v>141.00881201391076</v>
      </c>
      <c r="I15" s="1586">
        <f t="shared" si="1"/>
        <v>420.91189109827064</v>
      </c>
      <c r="J15" s="1586">
        <f>+'15 - Adm Loc'!D43</f>
        <v>5099.4447990843719</v>
      </c>
      <c r="K15" s="1586">
        <f>+'15 - Adm Loc'!E43</f>
        <v>5633.3824774721015</v>
      </c>
      <c r="L15" s="1586">
        <f>+'15 - Adm Loc'!D64</f>
        <v>4958.4359870704611</v>
      </c>
      <c r="M15" s="1586">
        <f>+'15 - Adm Loc'!E64</f>
        <v>5212.4705863738309</v>
      </c>
      <c r="N15" s="1587">
        <f t="shared" si="2"/>
        <v>10.470506092812311</v>
      </c>
      <c r="O15" s="1587">
        <f t="shared" si="3"/>
        <v>5.1232808080166077</v>
      </c>
      <c r="P15" s="517"/>
      <c r="Q15" s="545"/>
      <c r="U15" s="546"/>
      <c r="V15" s="546"/>
    </row>
    <row r="16" spans="2:22" s="539" customFormat="1" ht="15" customHeight="1">
      <c r="B16" s="538"/>
      <c r="C16" s="1594" t="str">
        <f>IF(Indice_index!$Z$1=1,"Administrações Públicas","General Government")</f>
        <v>Administrações Públicas</v>
      </c>
      <c r="D16" s="1594"/>
      <c r="E16" s="1594"/>
      <c r="F16" s="1594"/>
      <c r="G16" s="1594"/>
      <c r="H16" s="1595">
        <f t="shared" si="0"/>
        <v>-7157.1260135560879</v>
      </c>
      <c r="I16" s="1595">
        <f t="shared" si="1"/>
        <v>431.83029307823017</v>
      </c>
      <c r="J16" s="1595">
        <f>'2 - Conta Consol AP'!K27</f>
        <v>48178.042447058775</v>
      </c>
      <c r="K16" s="1595">
        <f>'2 - Conta Consol AP'!Q27</f>
        <v>55909.33606750342</v>
      </c>
      <c r="L16" s="1595">
        <f>'2 - Conta Consol AP'!K50</f>
        <v>55335.168460614863</v>
      </c>
      <c r="M16" s="1595">
        <f>'2 - Conta Consol AP'!Q50</f>
        <v>55477.50577442519</v>
      </c>
      <c r="N16" s="1595">
        <f t="shared" si="2"/>
        <v>16.047338637596788</v>
      </c>
      <c r="O16" s="1595">
        <f t="shared" si="3"/>
        <v>0.25722757835577287</v>
      </c>
      <c r="Q16" s="548"/>
      <c r="U16" s="549"/>
      <c r="V16" s="549"/>
    </row>
    <row r="17" spans="3:22" ht="4.5" customHeight="1">
      <c r="C17" s="1596"/>
      <c r="D17" s="1596"/>
      <c r="E17" s="1596"/>
      <c r="F17" s="1596"/>
      <c r="G17" s="1596"/>
      <c r="H17" s="1596"/>
      <c r="I17" s="1596"/>
      <c r="J17" s="1596"/>
      <c r="K17" s="1596"/>
      <c r="L17" s="1596"/>
      <c r="M17" s="1596"/>
      <c r="N17" s="1596"/>
      <c r="O17" s="1596"/>
      <c r="U17" s="550"/>
      <c r="V17" s="550"/>
    </row>
    <row r="18" spans="3:22" ht="15" customHeight="1">
      <c r="C18" s="1597" t="str">
        <f>IF(Indice_index!$Z$1=1,"Nota:","Note:")</f>
        <v>Nota:</v>
      </c>
      <c r="D18" s="1582"/>
      <c r="E18" s="1582"/>
      <c r="F18" s="1582"/>
      <c r="G18" s="1582"/>
      <c r="H18" s="1598"/>
      <c r="I18" s="1598"/>
      <c r="J18" s="1598"/>
      <c r="K18" s="1598"/>
      <c r="L18" s="1598"/>
      <c r="M18" s="1598"/>
      <c r="N18" s="1598"/>
      <c r="O18" s="1598"/>
      <c r="P18" s="517"/>
      <c r="Q18" s="551"/>
      <c r="U18" s="549"/>
      <c r="V18" s="549"/>
    </row>
    <row r="19" spans="3:22" ht="21.75" customHeight="1">
      <c r="C19" s="1645" t="str">
        <f>IF(Indice_index!$Z$1=1,"Valores na ótica de caixa (Contabilidade Pública) não consolidados de fluxos inter-setoriais; divergências relativamente aos valores publicados em 2021 devem-se a atualizações de valores.","Cash basis amounts not consolidated of flows among different subsectors; differences against the values published in 2021 are due to data updates.")</f>
        <v>Valores na ótica de caixa (Contabilidade Pública) não consolidados de fluxos inter-setoriais; divergências relativamente aos valores publicados em 2021 devem-se a atualizações de valores.</v>
      </c>
      <c r="D19" s="1645"/>
      <c r="E19" s="1645"/>
      <c r="F19" s="1645"/>
      <c r="G19" s="1645"/>
      <c r="H19" s="1645"/>
      <c r="I19" s="1645"/>
      <c r="J19" s="1645"/>
      <c r="K19" s="1645"/>
      <c r="L19" s="1645"/>
      <c r="M19" s="1645"/>
      <c r="N19" s="1645"/>
      <c r="O19" s="1645"/>
      <c r="U19" s="550"/>
      <c r="V19" s="550"/>
    </row>
    <row r="20" spans="3:22" ht="15" customHeight="1">
      <c r="C20" s="136" t="str">
        <f>IF(Indice_index!$Z$1=1,"Fonte: Direção-Geral do Orçamento","Source: Budget General Directorate")</f>
        <v>Fonte: Direção-Geral do Orçamento</v>
      </c>
      <c r="D20" s="1582"/>
      <c r="E20" s="1582"/>
      <c r="F20" s="1582"/>
      <c r="G20" s="1582"/>
      <c r="H20" s="1584"/>
      <c r="I20" s="1599"/>
      <c r="J20" s="1582"/>
      <c r="K20" s="1582"/>
      <c r="L20" s="1582"/>
      <c r="M20" s="1584"/>
      <c r="N20" s="1599"/>
      <c r="O20" s="1599"/>
      <c r="U20" s="550"/>
      <c r="V20" s="18"/>
    </row>
    <row r="21" spans="3:22">
      <c r="I21" s="551"/>
    </row>
    <row r="23" spans="3:22">
      <c r="G23" s="516"/>
    </row>
    <row r="25" spans="3:22" s="513" customFormat="1">
      <c r="M25" s="515"/>
      <c r="U25" s="514"/>
      <c r="V25" s="514"/>
    </row>
    <row r="26" spans="3:22" s="513" customFormat="1">
      <c r="U26" s="514"/>
      <c r="V26" s="514"/>
    </row>
    <row r="27" spans="3:22" s="513" customFormat="1">
      <c r="U27" s="514"/>
      <c r="V27" s="514"/>
    </row>
  </sheetData>
  <mergeCells count="6">
    <mergeCell ref="C19:O19"/>
    <mergeCell ref="U6:V6"/>
    <mergeCell ref="H6:I6"/>
    <mergeCell ref="J6:K6"/>
    <mergeCell ref="L6:M6"/>
    <mergeCell ref="N6:O6"/>
  </mergeCells>
  <printOptions horizontalCentered="1"/>
  <pageMargins left="0.70866141732283472" right="0.70866141732283472" top="0.74803149606299213" bottom="0.74803149606299213" header="0.74803149606299213" footer="0.35433070866141736"/>
  <pageSetup paperSize="9" scale="62" orientation="portrait" r:id="rId1"/>
  <headerFooter differentOddEven="1">
    <oddFooter>&amp;R&amp;G</oddFooter>
    <evenFooter>&amp;L&amp;G</evenFooter>
  </headerFooter>
  <ignoredErrors>
    <ignoredError sqref="J7:M7" formula="1"/>
    <ignoredError sqref="C5" unlockedFormula="1"/>
  </ignoredErrors>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olha5"/>
  <dimension ref="B1:AF218"/>
  <sheetViews>
    <sheetView showGridLines="0" zoomScaleNormal="100" zoomScaleSheetLayoutView="100" workbookViewId="0">
      <selection activeCell="B2" sqref="B2"/>
    </sheetView>
  </sheetViews>
  <sheetFormatPr defaultColWidth="9.140625" defaultRowHeight="12.75"/>
  <cols>
    <col min="1" max="1" width="3.42578125" style="17" customWidth="1"/>
    <col min="2" max="2" width="4.42578125" style="17" customWidth="1"/>
    <col min="3" max="3" width="31" style="17" customWidth="1"/>
    <col min="4" max="4" width="1.5703125" style="17" customWidth="1"/>
    <col min="5" max="5" width="9.5703125" style="17" customWidth="1"/>
    <col min="6" max="6" width="1.5703125" style="17" customWidth="1"/>
    <col min="7" max="8" width="8.42578125" style="17" customWidth="1"/>
    <col min="9" max="9" width="9.42578125" style="17" customWidth="1"/>
    <col min="10" max="10" width="8.42578125" style="17" customWidth="1"/>
    <col min="11" max="11" width="9.5703125" style="17" customWidth="1"/>
    <col min="12" max="12" width="1.5703125" style="20" customWidth="1"/>
    <col min="13" max="14" width="8.42578125" style="17" customWidth="1"/>
    <col min="15" max="15" width="9.5703125" style="17" customWidth="1"/>
    <col min="16" max="16" width="8.42578125" style="17" customWidth="1"/>
    <col min="17" max="17" width="9.140625" style="17" customWidth="1"/>
    <col min="18" max="18" width="1.5703125" style="17" customWidth="1"/>
    <col min="19" max="19" width="9.5703125" style="17" customWidth="1"/>
    <col min="20" max="20" width="9.140625" style="17" customWidth="1"/>
    <col min="21" max="21" width="8.42578125" style="17" customWidth="1"/>
    <col min="22" max="22" width="9.140625" style="17" customWidth="1"/>
    <col min="23" max="23" width="8.42578125" style="17" customWidth="1"/>
    <col min="24" max="24" width="9.5703125" style="19" customWidth="1"/>
    <col min="25" max="28" width="7" style="19" customWidth="1"/>
    <col min="29" max="29" width="10.140625" style="19" customWidth="1"/>
    <col min="30" max="30" width="8.42578125" style="19" customWidth="1"/>
    <col min="31" max="31" width="7" style="19" customWidth="1"/>
    <col min="32" max="16384" width="9.140625" style="17"/>
  </cols>
  <sheetData>
    <row r="1" spans="2:31" ht="15" customHeight="1"/>
    <row r="2" spans="2:31" ht="24" customHeight="1">
      <c r="B2" s="8"/>
      <c r="C2" s="9" t="str">
        <f>IF(Indice_index!$Z$1=1,"2 - Conta Consolidada das Administrações Públicas","2 - General Government Consolidated Account")</f>
        <v>2 - Conta Consolidada das Administrações Públicas</v>
      </c>
      <c r="D2" s="9"/>
      <c r="E2" s="9"/>
      <c r="F2" s="9"/>
      <c r="G2" s="9"/>
      <c r="H2" s="9"/>
      <c r="I2" s="9"/>
      <c r="J2" s="9"/>
      <c r="K2" s="9"/>
      <c r="L2" s="9"/>
      <c r="M2" s="9"/>
      <c r="N2" s="9"/>
      <c r="O2" s="9"/>
      <c r="P2" s="9"/>
      <c r="Q2" s="9"/>
      <c r="R2" s="9"/>
      <c r="S2" s="9"/>
    </row>
    <row r="3" spans="2:31" ht="15" customHeight="1"/>
    <row r="4" spans="2:31" ht="15" customHeight="1"/>
    <row r="5" spans="2:31" s="552" customFormat="1" ht="15" customHeight="1">
      <c r="C5" s="703" t="str">
        <f>+'5 - Conta AC + SS'!C5</f>
        <v>Período: janeiro a julho</v>
      </c>
      <c r="D5" s="1492"/>
      <c r="E5" s="797"/>
      <c r="F5" s="1492"/>
      <c r="G5" s="1493"/>
      <c r="H5" s="1494"/>
      <c r="I5" s="1493"/>
      <c r="J5" s="1493"/>
      <c r="K5" s="1495"/>
      <c r="L5" s="1495"/>
      <c r="M5" s="1493"/>
      <c r="N5" s="1494"/>
      <c r="O5" s="1493"/>
      <c r="P5" s="1493"/>
      <c r="Q5" s="1496"/>
      <c r="R5" s="1492"/>
      <c r="S5" s="1497" t="str">
        <f>IF(Indice_index!$Z$1=1,"€ Milhões","€ Millions")</f>
        <v>€ Milhões</v>
      </c>
      <c r="X5" s="553"/>
      <c r="Y5" s="553"/>
      <c r="Z5" s="553"/>
      <c r="AA5" s="553"/>
      <c r="AB5" s="553"/>
      <c r="AC5" s="553"/>
      <c r="AD5" s="553"/>
      <c r="AE5" s="553"/>
    </row>
    <row r="6" spans="2:31" s="554" customFormat="1" ht="25.35" customHeight="1">
      <c r="C6" s="1498"/>
      <c r="D6" s="1499"/>
      <c r="E6" s="1500" t="str">
        <f>IF(Indice_index!$Z$1=1,"CGE","Final execution")</f>
        <v>CGE</v>
      </c>
      <c r="F6" s="1501"/>
      <c r="G6" s="1652" t="str">
        <f>IF(Indice_index!$Z$1=1,"Execução Acumulada","Accumulated Execution")</f>
        <v>Execução Acumulada</v>
      </c>
      <c r="H6" s="1652"/>
      <c r="I6" s="1652"/>
      <c r="J6" s="1652"/>
      <c r="K6" s="1652"/>
      <c r="L6" s="1652"/>
      <c r="M6" s="1652"/>
      <c r="N6" s="1652"/>
      <c r="O6" s="1652"/>
      <c r="P6" s="1652"/>
      <c r="Q6" s="1652"/>
      <c r="R6" s="1501"/>
      <c r="S6" s="1502" t="str">
        <f>IF(Indice_index!$Z$1=1,"Orçamento Inicial","Budget")</f>
        <v>Orçamento Inicial</v>
      </c>
      <c r="X6" s="555"/>
      <c r="Y6" s="555"/>
      <c r="Z6" s="555"/>
      <c r="AA6" s="555"/>
      <c r="AB6" s="555"/>
      <c r="AC6" s="555"/>
      <c r="AD6" s="555"/>
      <c r="AE6" s="555"/>
    </row>
    <row r="7" spans="2:31" ht="15">
      <c r="C7" s="1503"/>
      <c r="D7" s="1504"/>
      <c r="E7" s="1505" t="s">
        <v>67</v>
      </c>
      <c r="F7" s="1506"/>
      <c r="G7" s="1654" t="s">
        <v>67</v>
      </c>
      <c r="H7" s="1654"/>
      <c r="I7" s="1654"/>
      <c r="J7" s="1654"/>
      <c r="K7" s="1654"/>
      <c r="L7" s="1507"/>
      <c r="M7" s="1654" t="s">
        <v>74</v>
      </c>
      <c r="N7" s="1654"/>
      <c r="O7" s="1654"/>
      <c r="P7" s="1654"/>
      <c r="Q7" s="1654"/>
      <c r="R7" s="1506"/>
      <c r="S7" s="1508" t="s">
        <v>74</v>
      </c>
      <c r="W7" s="556"/>
      <c r="X7" s="557"/>
      <c r="Y7" s="557"/>
      <c r="Z7" s="557"/>
      <c r="AA7" s="557"/>
      <c r="AB7" s="557"/>
      <c r="AC7" s="557"/>
      <c r="AD7" s="557"/>
      <c r="AE7" s="557"/>
    </row>
    <row r="8" spans="2:31" ht="36" customHeight="1">
      <c r="C8" s="1509"/>
      <c r="D8" s="1510"/>
      <c r="E8" s="1511" t="str">
        <f>IF(Indice_index!$Z$1=1,"Adm. Públicas","General Government")</f>
        <v>Adm. Públicas</v>
      </c>
      <c r="F8" s="1510"/>
      <c r="G8" s="1511" t="str">
        <f>IF(Indice_index!$Z$1=1,"Estado","State")</f>
        <v>Estado</v>
      </c>
      <c r="H8" s="1511" t="str">
        <f>IF(Indice_index!$Z$1=1,"Serviços e Fundos Autónomos","Autonomous Funds and Services")</f>
        <v>Serviços e Fundos Autónomos</v>
      </c>
      <c r="I8" s="1511" t="str">
        <f>IF(Indice_index!$Z$1=1,"Adm. Local e Regional","Local and Regional Government")</f>
        <v>Adm. Local e Regional</v>
      </c>
      <c r="J8" s="1511" t="str">
        <f>IF(Indice_index!$Z$1=1,"Segurança Social","Social Security")</f>
        <v>Segurança Social</v>
      </c>
      <c r="K8" s="1511" t="str">
        <f>IF(Indice_index!$Z$1=1,"Adm. Públicas","General Government")</f>
        <v>Adm. Públicas</v>
      </c>
      <c r="L8" s="1510"/>
      <c r="M8" s="1511" t="str">
        <f>IF(Indice_index!$Z$1=1,"Estado","State")</f>
        <v>Estado</v>
      </c>
      <c r="N8" s="1511" t="str">
        <f>IF(Indice_index!$Z$1=1,"Serviços e Fundos Autónomos","Autonomous Funds and Services")</f>
        <v>Serviços e Fundos Autónomos</v>
      </c>
      <c r="O8" s="1511" t="str">
        <f>IF(Indice_index!$Z$1=1,"Adm. Local e Regional","Local and Regional Government")</f>
        <v>Adm. Local e Regional</v>
      </c>
      <c r="P8" s="1511" t="str">
        <f>IF(Indice_index!$Z$1=1,"Segurança Social","Social Security")</f>
        <v>Segurança Social</v>
      </c>
      <c r="Q8" s="1511" t="str">
        <f>IF(Indice_index!$Z$1=1,"Adm. Públicas","General Government")</f>
        <v>Adm. Públicas</v>
      </c>
      <c r="R8" s="1510"/>
      <c r="S8" s="1511" t="str">
        <f>IF(Indice_index!$Z$1=1,"Adm. Públicas","General Government")</f>
        <v>Adm. Públicas</v>
      </c>
      <c r="W8" s="556"/>
      <c r="X8" s="1653"/>
      <c r="Y8" s="1653"/>
      <c r="Z8" s="1653"/>
      <c r="AA8" s="1653"/>
      <c r="AB8" s="1653"/>
      <c r="AC8" s="1653"/>
      <c r="AD8" s="1653"/>
      <c r="AE8" s="1653"/>
    </row>
    <row r="9" spans="2:31" s="554" customFormat="1" ht="15" customHeight="1">
      <c r="C9" s="319" t="str">
        <f>IF(Indice_index!$Z$1=1,"Receita corrente","Current revenue")</f>
        <v>Receita corrente</v>
      </c>
      <c r="D9" s="1512"/>
      <c r="E9" s="1513">
        <f>E10+E13+E14+E17+E18</f>
        <v>89765.995140224419</v>
      </c>
      <c r="F9" s="1503"/>
      <c r="G9" s="1513">
        <f>G10+G13+G14+G17+G18</f>
        <v>25614.115232600001</v>
      </c>
      <c r="H9" s="1513">
        <f t="shared" ref="H9:K9" si="0">H10+H13+H14+H17+H18</f>
        <v>18351.021755379988</v>
      </c>
      <c r="I9" s="1513">
        <f t="shared" si="0"/>
        <v>6108.3954212954832</v>
      </c>
      <c r="J9" s="1513">
        <f t="shared" si="0"/>
        <v>18146.202354590001</v>
      </c>
      <c r="K9" s="1513">
        <f t="shared" si="0"/>
        <v>46926.569265855469</v>
      </c>
      <c r="L9" s="1513"/>
      <c r="M9" s="1513">
        <f>M10+M13+M14+M17+M18</f>
        <v>30931.389778309993</v>
      </c>
      <c r="N9" s="1513">
        <f t="shared" ref="N9" si="1">N10+N13+N14+N17+N18</f>
        <v>19157.304375889998</v>
      </c>
      <c r="O9" s="1513">
        <f t="shared" ref="O9" si="2">O10+O13+O14+O17+O18</f>
        <v>6819.8637009359491</v>
      </c>
      <c r="P9" s="1513">
        <f t="shared" ref="P9" si="3">P10+P13+P14+P17+P18</f>
        <v>19330.270459800002</v>
      </c>
      <c r="Q9" s="1513">
        <f t="shared" ref="Q9" si="4">Q10+Q13+Q14+Q17+Q18</f>
        <v>54433.072554385944</v>
      </c>
      <c r="R9" s="1503"/>
      <c r="S9" s="1513">
        <f>S10+S13+S14+S17+S18</f>
        <v>96778.614674379249</v>
      </c>
      <c r="T9" s="559"/>
      <c r="U9" s="558"/>
      <c r="V9" s="559"/>
      <c r="W9" s="560"/>
      <c r="X9" s="561"/>
      <c r="Y9" s="561"/>
      <c r="Z9" s="561"/>
      <c r="AA9" s="561"/>
      <c r="AB9" s="561"/>
      <c r="AC9" s="561"/>
      <c r="AD9" s="561"/>
      <c r="AE9" s="561"/>
    </row>
    <row r="10" spans="2:31" ht="15" customHeight="1">
      <c r="C10" s="830" t="str">
        <f>IF(Indice_index!$Z$1=1,"Receita Fiscal","Tax")</f>
        <v>Receita Fiscal</v>
      </c>
      <c r="D10" s="1514"/>
      <c r="E10" s="768">
        <f>E11+E12</f>
        <v>51432.173478075827</v>
      </c>
      <c r="F10" s="768"/>
      <c r="G10" s="768">
        <f t="shared" ref="G10:J10" si="5">G11+G12</f>
        <v>23157.140848409999</v>
      </c>
      <c r="H10" s="768">
        <f t="shared" si="5"/>
        <v>309.77405197999997</v>
      </c>
      <c r="I10" s="768">
        <f t="shared" si="5"/>
        <v>2428.9756924936842</v>
      </c>
      <c r="J10" s="768">
        <f t="shared" si="5"/>
        <v>121.9170304</v>
      </c>
      <c r="K10" s="768">
        <f>K11+K12</f>
        <v>26017.807623283683</v>
      </c>
      <c r="L10" s="768"/>
      <c r="M10" s="768">
        <f t="shared" ref="M10:P10" si="6">M11+M12</f>
        <v>28156.054557239997</v>
      </c>
      <c r="N10" s="768">
        <f t="shared" si="6"/>
        <v>347.74387093000007</v>
      </c>
      <c r="O10" s="768">
        <f t="shared" si="6"/>
        <v>2873.7435548541798</v>
      </c>
      <c r="P10" s="768">
        <f t="shared" si="6"/>
        <v>132.82032068999999</v>
      </c>
      <c r="Q10" s="768">
        <f>Q11+Q12</f>
        <v>31510.362303714181</v>
      </c>
      <c r="R10" s="768"/>
      <c r="S10" s="768">
        <f>S11+S12</f>
        <v>54751.217192179742</v>
      </c>
      <c r="T10" s="562"/>
      <c r="U10" s="563"/>
      <c r="V10" s="562"/>
      <c r="W10" s="564"/>
      <c r="X10" s="557"/>
      <c r="Y10" s="557"/>
      <c r="Z10" s="557"/>
      <c r="AA10" s="557"/>
      <c r="AB10" s="557"/>
      <c r="AC10" s="557"/>
      <c r="AD10" s="557"/>
      <c r="AE10" s="557"/>
    </row>
    <row r="11" spans="2:31" ht="15" customHeight="1">
      <c r="C11" s="1177" t="str">
        <f>IF(Indice_index!$Z$1=1,"Impostos diretos","Direct taxes")</f>
        <v>Impostos diretos</v>
      </c>
      <c r="D11" s="1514"/>
      <c r="E11" s="768">
        <v>23916.184590335437</v>
      </c>
      <c r="F11" s="247"/>
      <c r="G11" s="768">
        <v>9499.6362817299996</v>
      </c>
      <c r="H11" s="768">
        <v>0</v>
      </c>
      <c r="I11" s="768">
        <v>1829.266567563735</v>
      </c>
      <c r="J11" s="768">
        <v>0</v>
      </c>
      <c r="K11" s="768">
        <v>11328.902849293734</v>
      </c>
      <c r="L11" s="768"/>
      <c r="M11" s="768">
        <v>11970.641093509999</v>
      </c>
      <c r="N11" s="768">
        <v>0</v>
      </c>
      <c r="O11" s="768">
        <v>2233.561810122193</v>
      </c>
      <c r="P11" s="768">
        <v>0</v>
      </c>
      <c r="Q11" s="768">
        <v>14204.202903632193</v>
      </c>
      <c r="R11" s="247"/>
      <c r="S11" s="768">
        <v>25045.517224378542</v>
      </c>
      <c r="T11" s="562"/>
      <c r="U11" s="563"/>
      <c r="V11" s="562"/>
      <c r="W11" s="564"/>
      <c r="X11" s="557"/>
      <c r="Y11" s="557"/>
      <c r="Z11" s="557"/>
      <c r="AA11" s="557"/>
      <c r="AB11" s="557"/>
      <c r="AC11" s="557"/>
      <c r="AD11" s="557"/>
      <c r="AE11" s="557"/>
    </row>
    <row r="12" spans="2:31" ht="15" customHeight="1">
      <c r="C12" s="1177" t="str">
        <f>IF(Indice_index!$Z$1=1,"Impostos indiretos","Indirect taxes")</f>
        <v>Impostos indiretos</v>
      </c>
      <c r="D12" s="1514"/>
      <c r="E12" s="768">
        <v>27515.988887740394</v>
      </c>
      <c r="F12" s="247"/>
      <c r="G12" s="768">
        <v>13657.50456668</v>
      </c>
      <c r="H12" s="768">
        <v>309.77405197999997</v>
      </c>
      <c r="I12" s="768">
        <v>599.7091249299491</v>
      </c>
      <c r="J12" s="768">
        <v>121.9170304</v>
      </c>
      <c r="K12" s="768">
        <v>14688.904773989947</v>
      </c>
      <c r="L12" s="768"/>
      <c r="M12" s="768">
        <v>16185.413463729998</v>
      </c>
      <c r="N12" s="768">
        <v>347.74387093000007</v>
      </c>
      <c r="O12" s="768">
        <v>640.1817447319869</v>
      </c>
      <c r="P12" s="768">
        <v>132.82032068999999</v>
      </c>
      <c r="Q12" s="768">
        <v>17306.159400081986</v>
      </c>
      <c r="R12" s="247"/>
      <c r="S12" s="768">
        <v>29705.699967801203</v>
      </c>
      <c r="T12" s="562"/>
      <c r="U12" s="563"/>
      <c r="V12" s="562"/>
      <c r="W12" s="564"/>
      <c r="X12" s="557"/>
      <c r="Y12" s="557"/>
      <c r="Z12" s="557"/>
      <c r="AA12" s="557"/>
      <c r="AB12" s="557"/>
      <c r="AC12" s="557"/>
      <c r="AD12" s="557"/>
      <c r="AE12" s="557"/>
    </row>
    <row r="13" spans="2:31" ht="15" customHeight="1">
      <c r="C13" s="873" t="str">
        <f>IF(Indice_index!$Z$1=1,"Contribuições de Segurança Social","Social security contributions")</f>
        <v>Contribuições de Segurança Social</v>
      </c>
      <c r="D13" s="1514"/>
      <c r="E13" s="768">
        <v>24205.521009030002</v>
      </c>
      <c r="F13" s="247"/>
      <c r="G13" s="768">
        <v>37.152121210000004</v>
      </c>
      <c r="H13" s="768">
        <v>2375.8696259700005</v>
      </c>
      <c r="I13" s="768">
        <v>0</v>
      </c>
      <c r="J13" s="768">
        <v>10998.416102720001</v>
      </c>
      <c r="K13" s="768">
        <v>13411.437849900001</v>
      </c>
      <c r="L13" s="768"/>
      <c r="M13" s="768">
        <v>39.057319120000002</v>
      </c>
      <c r="N13" s="768">
        <v>2292.00824865</v>
      </c>
      <c r="O13" s="768">
        <v>0</v>
      </c>
      <c r="P13" s="768">
        <v>12372.260110599998</v>
      </c>
      <c r="Q13" s="768">
        <v>14703.325678369998</v>
      </c>
      <c r="R13" s="247"/>
      <c r="S13" s="768">
        <v>25361.125842000001</v>
      </c>
      <c r="T13" s="562"/>
      <c r="U13" s="563"/>
      <c r="V13" s="562"/>
      <c r="W13" s="564"/>
      <c r="X13" s="557"/>
      <c r="Y13" s="557"/>
      <c r="Z13" s="557"/>
      <c r="AA13" s="557"/>
      <c r="AB13" s="557"/>
      <c r="AC13" s="557"/>
      <c r="AD13" s="557"/>
      <c r="AE13" s="557"/>
    </row>
    <row r="14" spans="2:31" ht="15" customHeight="1">
      <c r="C14" s="873" t="str">
        <f>IF(Indice_index!$Z$1=1,"Transferências Correntes","Current transfers")</f>
        <v>Transferências Correntes</v>
      </c>
      <c r="D14" s="1514"/>
      <c r="E14" s="768">
        <v>3017.7043054748233</v>
      </c>
      <c r="F14" s="247"/>
      <c r="G14" s="768">
        <v>699.28612496000005</v>
      </c>
      <c r="H14" s="768">
        <v>12942.811633859998</v>
      </c>
      <c r="I14" s="768">
        <v>2640.0168179235338</v>
      </c>
      <c r="J14" s="768">
        <v>6410.2476733599997</v>
      </c>
      <c r="K14" s="768">
        <v>1883.3914682035347</v>
      </c>
      <c r="L14" s="768"/>
      <c r="M14" s="768">
        <v>551.11108691999993</v>
      </c>
      <c r="N14" s="768">
        <v>13279.647816919998</v>
      </c>
      <c r="O14" s="768">
        <v>2862.4268442352732</v>
      </c>
      <c r="P14" s="768">
        <v>6299.9659884200009</v>
      </c>
      <c r="Q14" s="768">
        <v>1425.9173694052706</v>
      </c>
      <c r="R14" s="247"/>
      <c r="S14" s="768">
        <v>4960.3380585247996</v>
      </c>
      <c r="T14" s="562"/>
      <c r="U14" s="563"/>
      <c r="V14" s="562"/>
      <c r="W14" s="564"/>
      <c r="X14" s="557"/>
      <c r="Y14" s="557"/>
      <c r="Z14" s="557"/>
      <c r="AA14" s="557"/>
      <c r="AB14" s="557"/>
      <c r="AC14" s="557"/>
      <c r="AD14" s="557"/>
      <c r="AE14" s="557"/>
    </row>
    <row r="15" spans="2:31" ht="15" customHeight="1">
      <c r="C15" s="1515" t="str">
        <f>IF(Indice_index!$Z$1=1,"Administrações Públicas","General Government subsectors")</f>
        <v>Administrações Públicas</v>
      </c>
      <c r="D15" s="1514"/>
      <c r="E15" s="1516">
        <v>0</v>
      </c>
      <c r="F15" s="1517"/>
      <c r="G15" s="1516">
        <v>391.59979786000008</v>
      </c>
      <c r="H15" s="1516">
        <v>12300.248134289997</v>
      </c>
      <c r="I15" s="1516">
        <v>2525.7106753999988</v>
      </c>
      <c r="J15" s="1516">
        <v>5591.41217435</v>
      </c>
      <c r="K15" s="1516">
        <v>0</v>
      </c>
      <c r="L15" s="1516"/>
      <c r="M15" s="1516">
        <v>386.51396348000003</v>
      </c>
      <c r="N15" s="1516">
        <v>12840.778897029999</v>
      </c>
      <c r="O15" s="1516">
        <v>2706.2447191200026</v>
      </c>
      <c r="P15" s="1516">
        <v>5633.6967874600005</v>
      </c>
      <c r="Q15" s="1516">
        <v>0</v>
      </c>
      <c r="R15" s="1517"/>
      <c r="S15" s="1516">
        <v>0</v>
      </c>
      <c r="T15" s="562"/>
      <c r="U15" s="563"/>
      <c r="V15" s="562"/>
      <c r="W15" s="564"/>
      <c r="X15" s="557"/>
      <c r="Y15" s="557"/>
      <c r="Z15" s="557"/>
      <c r="AA15" s="557"/>
      <c r="AB15" s="557"/>
      <c r="AC15" s="557"/>
      <c r="AD15" s="557"/>
      <c r="AE15" s="557"/>
    </row>
    <row r="16" spans="2:31" ht="15" customHeight="1">
      <c r="C16" s="1515" t="str">
        <f>IF(Indice_index!$Z$1=1,"Outras","Others")</f>
        <v>Outras</v>
      </c>
      <c r="D16" s="1514"/>
      <c r="E16" s="1516">
        <v>3017.7043054748233</v>
      </c>
      <c r="F16" s="1517"/>
      <c r="G16" s="1516">
        <v>307.68632709999997</v>
      </c>
      <c r="H16" s="1516">
        <v>642.56349956999998</v>
      </c>
      <c r="I16" s="1516">
        <v>114.3061425235349</v>
      </c>
      <c r="J16" s="1516">
        <v>818.83549901000004</v>
      </c>
      <c r="K16" s="1516">
        <v>1883.3914682035347</v>
      </c>
      <c r="L16" s="1516"/>
      <c r="M16" s="1516">
        <v>164.59712343999996</v>
      </c>
      <c r="N16" s="1516">
        <v>438.86891989000003</v>
      </c>
      <c r="O16" s="1516">
        <v>156.18212511527054</v>
      </c>
      <c r="P16" s="1516">
        <v>666.26920096000003</v>
      </c>
      <c r="Q16" s="1516">
        <v>1425.9173694052706</v>
      </c>
      <c r="R16" s="1517"/>
      <c r="S16" s="1516">
        <v>4960.3380585247996</v>
      </c>
      <c r="T16" s="562"/>
      <c r="U16" s="563"/>
      <c r="V16" s="562"/>
      <c r="W16" s="564"/>
      <c r="X16" s="557"/>
      <c r="Y16" s="557"/>
      <c r="Z16" s="557"/>
      <c r="AA16" s="557"/>
      <c r="AB16" s="557"/>
      <c r="AC16" s="557"/>
      <c r="AD16" s="557"/>
      <c r="AE16" s="557"/>
    </row>
    <row r="17" spans="3:31" ht="15" customHeight="1">
      <c r="C17" s="873" t="str">
        <f>IF(Indice_index!$Z$1=1,"Outras receitas correntes","Other current revenue")</f>
        <v>Outras receitas correntes</v>
      </c>
      <c r="D17" s="1514"/>
      <c r="E17" s="768">
        <v>11070.632556263767</v>
      </c>
      <c r="F17" s="247"/>
      <c r="G17" s="768">
        <v>1720.5336897</v>
      </c>
      <c r="H17" s="768">
        <v>2703.652513509991</v>
      </c>
      <c r="I17" s="768">
        <v>1039.4029108782652</v>
      </c>
      <c r="J17" s="768">
        <v>615.62154810999982</v>
      </c>
      <c r="K17" s="768">
        <v>5595.0159460882569</v>
      </c>
      <c r="L17" s="768"/>
      <c r="M17" s="768">
        <v>2177.5338246200004</v>
      </c>
      <c r="N17" s="768">
        <v>3237.8792666899999</v>
      </c>
      <c r="O17" s="768">
        <v>1083.1105661464962</v>
      </c>
      <c r="P17" s="768">
        <v>525.22404009000002</v>
      </c>
      <c r="Q17" s="768">
        <v>6704.2878074664968</v>
      </c>
      <c r="R17" s="247"/>
      <c r="S17" s="768">
        <v>11696.608343674707</v>
      </c>
      <c r="T17" s="562"/>
      <c r="U17" s="563"/>
      <c r="V17" s="562"/>
      <c r="W17" s="564"/>
      <c r="X17" s="557"/>
      <c r="Y17" s="557"/>
      <c r="Z17" s="557"/>
      <c r="AA17" s="557"/>
      <c r="AB17" s="557"/>
      <c r="AC17" s="557"/>
      <c r="AD17" s="557"/>
      <c r="AE17" s="557"/>
    </row>
    <row r="18" spans="3:31" ht="15" customHeight="1">
      <c r="C18" s="830" t="str">
        <f>IF(Indice_index!$Z$1=1,"Diferenças de consolidação","Consolidation differences")</f>
        <v>Diferenças de consolidação</v>
      </c>
      <c r="D18" s="1514"/>
      <c r="E18" s="768">
        <v>39.963791380003521</v>
      </c>
      <c r="F18" s="247"/>
      <c r="G18" s="768">
        <v>2.4483200000000004E-3</v>
      </c>
      <c r="H18" s="768">
        <v>18.91393005999938</v>
      </c>
      <c r="I18" s="768">
        <v>0</v>
      </c>
      <c r="J18" s="768">
        <v>0</v>
      </c>
      <c r="K18" s="768">
        <v>18.916378379999379</v>
      </c>
      <c r="L18" s="768"/>
      <c r="M18" s="768">
        <v>7.6329904099999109</v>
      </c>
      <c r="N18" s="768">
        <v>2.5172699999999999E-2</v>
      </c>
      <c r="O18" s="768">
        <v>0.58273570000005748</v>
      </c>
      <c r="P18" s="768">
        <v>0</v>
      </c>
      <c r="Q18" s="768">
        <v>89.179395429994088</v>
      </c>
      <c r="R18" s="247"/>
      <c r="S18" s="768">
        <v>9.3252379999995192</v>
      </c>
      <c r="T18" s="562"/>
      <c r="U18" s="563"/>
      <c r="V18" s="562"/>
      <c r="W18" s="564"/>
      <c r="X18" s="557"/>
      <c r="Y18" s="557"/>
      <c r="Z18" s="557"/>
      <c r="AA18" s="557"/>
      <c r="AB18" s="557"/>
      <c r="AC18" s="557"/>
      <c r="AD18" s="557"/>
      <c r="AE18" s="557"/>
    </row>
    <row r="19" spans="3:31" s="554" customFormat="1" ht="15" customHeight="1">
      <c r="C19" s="319" t="str">
        <f>IF(Indice_index!$Z$1=1,"Receita de capital","Capital revenue")</f>
        <v>Receita de capital</v>
      </c>
      <c r="D19" s="1518"/>
      <c r="E19" s="1513">
        <f>E20+E21+E24+E25</f>
        <v>2152.4292713541913</v>
      </c>
      <c r="F19" s="247"/>
      <c r="G19" s="1513">
        <f>G20+G21+G24+G25</f>
        <v>64.005439170000002</v>
      </c>
      <c r="H19" s="1513">
        <f t="shared" ref="H19:M19" si="7">H20+H21+H24+H25</f>
        <v>1865.6834348499999</v>
      </c>
      <c r="I19" s="1513">
        <f t="shared" si="7"/>
        <v>852.99162787330749</v>
      </c>
      <c r="J19" s="1513">
        <f t="shared" si="7"/>
        <v>0.46207433999999997</v>
      </c>
      <c r="K19" s="1513">
        <f t="shared" si="7"/>
        <v>1251.4731812033078</v>
      </c>
      <c r="L19" s="1513"/>
      <c r="M19" s="1513">
        <f t="shared" si="7"/>
        <v>278.85643776000001</v>
      </c>
      <c r="N19" s="1513">
        <f t="shared" ref="N19" si="8">N20+N21+N24+N25</f>
        <v>1403.1429541399998</v>
      </c>
      <c r="O19" s="1513">
        <f t="shared" ref="O19" si="9">O20+O21+O24+O25</f>
        <v>714.80363112747375</v>
      </c>
      <c r="P19" s="1513">
        <f t="shared" ref="P19" si="10">P20+P21+P24+P25</f>
        <v>0.32863741000000002</v>
      </c>
      <c r="Q19" s="1513">
        <f t="shared" ref="Q19" si="11">Q20+Q21+Q24+Q25</f>
        <v>1476.2635131174738</v>
      </c>
      <c r="R19" s="247"/>
      <c r="S19" s="1513">
        <f>S20+S21+S24+S25</f>
        <v>4617.421407629301</v>
      </c>
      <c r="T19" s="559"/>
      <c r="U19" s="558"/>
      <c r="V19" s="559"/>
      <c r="W19" s="560"/>
      <c r="X19" s="561"/>
      <c r="Y19" s="561"/>
      <c r="Z19" s="561"/>
      <c r="AA19" s="561"/>
      <c r="AB19" s="561"/>
      <c r="AC19" s="561"/>
      <c r="AD19" s="561"/>
      <c r="AE19" s="561"/>
    </row>
    <row r="20" spans="3:31" s="554" customFormat="1" ht="15" customHeight="1">
      <c r="C20" s="873" t="str">
        <f>IF(Indice_index!$Z$1=1,"Venda de bens de investimento","Sale of investment goods")</f>
        <v>Venda de bens de investimento</v>
      </c>
      <c r="D20" s="1518"/>
      <c r="E20" s="768">
        <v>234.08499364003021</v>
      </c>
      <c r="F20" s="247"/>
      <c r="G20" s="768">
        <v>30.722280610000002</v>
      </c>
      <c r="H20" s="768">
        <v>53.328706329999996</v>
      </c>
      <c r="I20" s="768">
        <v>53.401084015280297</v>
      </c>
      <c r="J20" s="768">
        <v>0.46207433999999997</v>
      </c>
      <c r="K20" s="768">
        <v>137.91414529528029</v>
      </c>
      <c r="L20" s="768"/>
      <c r="M20" s="768">
        <v>33.67608027</v>
      </c>
      <c r="N20" s="768">
        <v>50.347343680000002</v>
      </c>
      <c r="O20" s="768">
        <v>27.864037042246444</v>
      </c>
      <c r="P20" s="768">
        <v>0.32441848000000001</v>
      </c>
      <c r="Q20" s="768">
        <v>112.21187947224644</v>
      </c>
      <c r="R20" s="247"/>
      <c r="S20" s="768">
        <v>260.02846068002685</v>
      </c>
      <c r="T20" s="559"/>
      <c r="U20" s="558"/>
      <c r="V20" s="559"/>
      <c r="W20" s="560"/>
      <c r="X20" s="561"/>
      <c r="Y20" s="561"/>
      <c r="Z20" s="561"/>
      <c r="AA20" s="561"/>
      <c r="AB20" s="561"/>
      <c r="AC20" s="561"/>
      <c r="AD20" s="561"/>
      <c r="AE20" s="561"/>
    </row>
    <row r="21" spans="3:31" s="554" customFormat="1" ht="15" customHeight="1">
      <c r="C21" s="873" t="str">
        <f>IF(Indice_index!$Z$1=1,"Transferências de Capital","Capital transfers")</f>
        <v>Transferências de Capital</v>
      </c>
      <c r="D21" s="1518"/>
      <c r="E21" s="768">
        <v>1867.3452393440825</v>
      </c>
      <c r="F21" s="247"/>
      <c r="G21" s="768">
        <v>24.367803730000002</v>
      </c>
      <c r="H21" s="768">
        <v>1807.45462623</v>
      </c>
      <c r="I21" s="768">
        <v>790.73834007735149</v>
      </c>
      <c r="J21" s="768">
        <v>0</v>
      </c>
      <c r="K21" s="768">
        <v>1089.2748918473517</v>
      </c>
      <c r="L21" s="768"/>
      <c r="M21" s="768">
        <v>232.92298134999999</v>
      </c>
      <c r="N21" s="768">
        <v>1344.2669379499998</v>
      </c>
      <c r="O21" s="768">
        <v>672.55845465029631</v>
      </c>
      <c r="P21" s="768">
        <v>0</v>
      </c>
      <c r="Q21" s="768">
        <v>1328.8802266302962</v>
      </c>
      <c r="R21" s="247"/>
      <c r="S21" s="768">
        <v>4283.4085149757511</v>
      </c>
      <c r="T21" s="559"/>
      <c r="U21" s="558"/>
      <c r="V21" s="559"/>
      <c r="W21" s="560"/>
      <c r="X21" s="561"/>
      <c r="Y21" s="561"/>
      <c r="Z21" s="561"/>
      <c r="AA21" s="561"/>
      <c r="AB21" s="561"/>
      <c r="AC21" s="561"/>
      <c r="AD21" s="561"/>
      <c r="AE21" s="561"/>
    </row>
    <row r="22" spans="3:31" s="554" customFormat="1" ht="15" customHeight="1">
      <c r="C22" s="1515" t="str">
        <f>IF(Indice_index!$Z$1=1,"Administrações Públicas","General Government subsectors")</f>
        <v>Administrações Públicas</v>
      </c>
      <c r="D22" s="1518"/>
      <c r="E22" s="768">
        <v>0</v>
      </c>
      <c r="F22" s="247"/>
      <c r="G22" s="768">
        <v>7.426415060000001</v>
      </c>
      <c r="H22" s="768">
        <v>1169.52932076</v>
      </c>
      <c r="I22" s="768">
        <v>356.33014236999992</v>
      </c>
      <c r="J22" s="768">
        <v>0</v>
      </c>
      <c r="K22" s="768">
        <v>0</v>
      </c>
      <c r="L22" s="768"/>
      <c r="M22" s="768">
        <v>8.0620463000000004</v>
      </c>
      <c r="N22" s="768">
        <v>563.94620623000003</v>
      </c>
      <c r="O22" s="768">
        <v>348.85989478999994</v>
      </c>
      <c r="P22" s="768">
        <v>0</v>
      </c>
      <c r="Q22" s="768">
        <v>0</v>
      </c>
      <c r="R22" s="247"/>
      <c r="S22" s="768">
        <v>0</v>
      </c>
      <c r="T22" s="559"/>
      <c r="U22" s="558"/>
      <c r="V22" s="559"/>
      <c r="W22" s="560"/>
      <c r="X22" s="561"/>
      <c r="Y22" s="561"/>
      <c r="Z22" s="561"/>
      <c r="AA22" s="561"/>
      <c r="AB22" s="561"/>
      <c r="AC22" s="561"/>
      <c r="AD22" s="561"/>
      <c r="AE22" s="561"/>
    </row>
    <row r="23" spans="3:31" s="554" customFormat="1" ht="15" customHeight="1">
      <c r="C23" s="1515" t="str">
        <f>IF(Indice_index!$Z$1=1,"Outras","Others")</f>
        <v>Outras</v>
      </c>
      <c r="D23" s="1518"/>
      <c r="E23" s="1516">
        <v>1867.3452393440825</v>
      </c>
      <c r="F23" s="1517"/>
      <c r="G23" s="1516">
        <v>16.941388670000002</v>
      </c>
      <c r="H23" s="1516">
        <v>637.92530547000013</v>
      </c>
      <c r="I23" s="1516">
        <v>434.40819770735152</v>
      </c>
      <c r="J23" s="1516">
        <v>0</v>
      </c>
      <c r="K23" s="1516">
        <v>1089.2748918473517</v>
      </c>
      <c r="L23" s="1516"/>
      <c r="M23" s="1516">
        <v>224.86093504999999</v>
      </c>
      <c r="N23" s="1516">
        <v>780.3207317199998</v>
      </c>
      <c r="O23" s="1516">
        <v>323.69855986029637</v>
      </c>
      <c r="P23" s="1516">
        <v>0</v>
      </c>
      <c r="Q23" s="1516">
        <v>1328.8802266302962</v>
      </c>
      <c r="R23" s="1517"/>
      <c r="S23" s="1516">
        <v>4283.4085149757511</v>
      </c>
      <c r="T23" s="559"/>
      <c r="U23" s="558"/>
      <c r="V23" s="559"/>
      <c r="W23" s="560"/>
      <c r="X23" s="561"/>
      <c r="Y23" s="561"/>
      <c r="Z23" s="561"/>
      <c r="AA23" s="561"/>
      <c r="AB23" s="561"/>
      <c r="AC23" s="561"/>
      <c r="AD23" s="561"/>
      <c r="AE23" s="561"/>
    </row>
    <row r="24" spans="3:31" s="554" customFormat="1" ht="15" customHeight="1">
      <c r="C24" s="873" t="str">
        <f>IF(Indice_index!$Z$1=1,"Outras receitas de capital","Other capital revenue")</f>
        <v>Outras receitas de capital</v>
      </c>
      <c r="D24" s="1518"/>
      <c r="E24" s="1516">
        <v>42.809041090078466</v>
      </c>
      <c r="F24" s="1517"/>
      <c r="G24" s="1516">
        <v>7.9932602600000005</v>
      </c>
      <c r="H24" s="1516">
        <v>4.9001022900000004</v>
      </c>
      <c r="I24" s="1516">
        <v>8.8522037806757528</v>
      </c>
      <c r="J24" s="1516">
        <v>0</v>
      </c>
      <c r="K24" s="1516">
        <v>21.745566330675754</v>
      </c>
      <c r="L24" s="1516"/>
      <c r="M24" s="1516">
        <v>12.25737614</v>
      </c>
      <c r="N24" s="1516">
        <v>8.5286725100000016</v>
      </c>
      <c r="O24" s="1516">
        <v>14.300492654931061</v>
      </c>
      <c r="P24" s="1516">
        <v>4.2189300000000001E-3</v>
      </c>
      <c r="Q24" s="1516">
        <v>35.090760234931068</v>
      </c>
      <c r="R24" s="1517"/>
      <c r="S24" s="1516">
        <v>64.622553296611642</v>
      </c>
      <c r="T24" s="559"/>
      <c r="U24" s="558"/>
      <c r="V24" s="559"/>
      <c r="W24" s="560"/>
      <c r="X24" s="561"/>
      <c r="Y24" s="561"/>
      <c r="Z24" s="561"/>
      <c r="AA24" s="561"/>
      <c r="AB24" s="561"/>
      <c r="AC24" s="561"/>
      <c r="AD24" s="561"/>
      <c r="AE24" s="561"/>
    </row>
    <row r="25" spans="3:31" ht="15" customHeight="1">
      <c r="C25" s="830" t="str">
        <f>IF(Indice_index!$Z$1=1,"Diferenças de consolidação","Consolidation differences")</f>
        <v>Diferenças de consolidação</v>
      </c>
      <c r="D25" s="1514"/>
      <c r="E25" s="768">
        <v>8.1899972800002416</v>
      </c>
      <c r="F25" s="247"/>
      <c r="G25" s="768">
        <v>0.92209457000000006</v>
      </c>
      <c r="H25" s="768">
        <v>0</v>
      </c>
      <c r="I25" s="768">
        <v>0</v>
      </c>
      <c r="J25" s="768">
        <v>0</v>
      </c>
      <c r="K25" s="768">
        <v>2.5385777300001435</v>
      </c>
      <c r="L25" s="768"/>
      <c r="M25" s="768">
        <v>0</v>
      </c>
      <c r="N25" s="768">
        <v>0</v>
      </c>
      <c r="O25" s="768">
        <v>8.0646779999966611E-2</v>
      </c>
      <c r="P25" s="768">
        <v>0</v>
      </c>
      <c r="Q25" s="768">
        <v>8.0646779999966611E-2</v>
      </c>
      <c r="R25" s="247"/>
      <c r="S25" s="768">
        <v>9.3618786769106919</v>
      </c>
      <c r="T25" s="562"/>
      <c r="U25" s="563"/>
      <c r="V25" s="562"/>
      <c r="W25" s="564"/>
      <c r="X25" s="557"/>
      <c r="Y25" s="557"/>
      <c r="Z25" s="557"/>
      <c r="AA25" s="557"/>
      <c r="AB25" s="557"/>
      <c r="AC25" s="557"/>
      <c r="AD25" s="557"/>
      <c r="AE25" s="557"/>
    </row>
    <row r="26" spans="3:31" s="565" customFormat="1" ht="4.5" customHeight="1">
      <c r="C26" s="836"/>
      <c r="D26" s="739"/>
      <c r="E26" s="1519"/>
      <c r="F26" s="739"/>
      <c r="G26" s="1519"/>
      <c r="H26" s="1519"/>
      <c r="I26" s="1519"/>
      <c r="J26" s="1519"/>
      <c r="K26" s="1519"/>
      <c r="L26" s="1519"/>
      <c r="M26" s="1519"/>
      <c r="N26" s="1519"/>
      <c r="O26" s="1519"/>
      <c r="P26" s="1519"/>
      <c r="Q26" s="1519"/>
      <c r="R26" s="739"/>
      <c r="S26" s="1519"/>
      <c r="T26" s="562"/>
      <c r="U26" s="566"/>
      <c r="V26" s="562"/>
      <c r="W26" s="564"/>
      <c r="X26" s="557"/>
      <c r="Y26" s="557"/>
      <c r="Z26" s="567"/>
      <c r="AA26" s="567"/>
      <c r="AB26" s="567"/>
      <c r="AC26" s="567"/>
      <c r="AD26" s="557"/>
      <c r="AE26" s="557"/>
    </row>
    <row r="27" spans="3:31" s="554" customFormat="1" ht="13.5" customHeight="1">
      <c r="C27" s="1520" t="str">
        <f>IF(Indice_index!$Z$1=1,"Receita efetiva","Effective revenue")</f>
        <v>Receita efetiva</v>
      </c>
      <c r="D27" s="319"/>
      <c r="E27" s="1521">
        <f>E9+E19</f>
        <v>91918.424411578613</v>
      </c>
      <c r="F27" s="1513"/>
      <c r="G27" s="1521">
        <f t="shared" ref="G27:J27" si="12">G9+G19</f>
        <v>25678.120671770001</v>
      </c>
      <c r="H27" s="1521">
        <f t="shared" si="12"/>
        <v>20216.70519022999</v>
      </c>
      <c r="I27" s="1521">
        <f t="shared" si="12"/>
        <v>6961.3870491687903</v>
      </c>
      <c r="J27" s="1521">
        <f t="shared" si="12"/>
        <v>18146.664428930002</v>
      </c>
      <c r="K27" s="1521">
        <f>K9+K19</f>
        <v>48178.042447058775</v>
      </c>
      <c r="L27" s="1513"/>
      <c r="M27" s="1521">
        <f t="shared" ref="M27:P27" si="13">M9+M19</f>
        <v>31210.246216069994</v>
      </c>
      <c r="N27" s="1521">
        <f t="shared" si="13"/>
        <v>20560.447330029998</v>
      </c>
      <c r="O27" s="1521">
        <f t="shared" si="13"/>
        <v>7534.6673320634227</v>
      </c>
      <c r="P27" s="1521">
        <f t="shared" si="13"/>
        <v>19330.599097210001</v>
      </c>
      <c r="Q27" s="1521">
        <f>Q9+Q19</f>
        <v>55909.33606750342</v>
      </c>
      <c r="R27" s="1513"/>
      <c r="S27" s="1521">
        <f>S9+S19</f>
        <v>101396.03608200855</v>
      </c>
      <c r="T27" s="559"/>
      <c r="U27" s="558"/>
      <c r="V27" s="559"/>
      <c r="W27" s="560"/>
      <c r="X27" s="561"/>
      <c r="Y27" s="561"/>
      <c r="Z27" s="561"/>
      <c r="AA27" s="561"/>
      <c r="AB27" s="561"/>
      <c r="AC27" s="561"/>
      <c r="AD27" s="561"/>
      <c r="AE27" s="561"/>
    </row>
    <row r="28" spans="3:31" s="565" customFormat="1" ht="4.5" customHeight="1">
      <c r="C28" s="836"/>
      <c r="D28" s="739"/>
      <c r="E28" s="1519"/>
      <c r="F28" s="739"/>
      <c r="G28" s="1519"/>
      <c r="H28" s="1519"/>
      <c r="I28" s="1519"/>
      <c r="J28" s="1519"/>
      <c r="K28" s="1519"/>
      <c r="L28" s="1519"/>
      <c r="M28" s="1519"/>
      <c r="N28" s="1519"/>
      <c r="O28" s="1519"/>
      <c r="P28" s="1519"/>
      <c r="Q28" s="1519"/>
      <c r="R28" s="739"/>
      <c r="S28" s="1519"/>
      <c r="T28" s="562"/>
      <c r="U28" s="566"/>
      <c r="V28" s="562"/>
      <c r="W28" s="564"/>
      <c r="X28" s="557"/>
      <c r="Y28" s="557"/>
      <c r="Z28" s="567"/>
      <c r="AA28" s="567"/>
      <c r="AB28" s="567"/>
      <c r="AC28" s="567"/>
      <c r="AD28" s="557"/>
      <c r="AE28" s="557"/>
    </row>
    <row r="29" spans="3:31" s="554" customFormat="1" ht="15" customHeight="1">
      <c r="C29" s="319" t="str">
        <f>IF(Indice_index!$Z$1=1,"Despesa corrente","Current expenditure")</f>
        <v>Despesa corrente</v>
      </c>
      <c r="D29" s="1518"/>
      <c r="E29" s="1513">
        <f>E30+E34+E35+E36+E39+E40+E41</f>
        <v>92213.860103929823</v>
      </c>
      <c r="F29" s="247"/>
      <c r="G29" s="1513">
        <f>G30+G34+G35+G36+G39+G40+G41</f>
        <v>31385.274660089995</v>
      </c>
      <c r="H29" s="1513">
        <f t="shared" ref="H29:K29" si="14">H30+H34+H35+H36+H39+H40+H41</f>
        <v>17041.715583309975</v>
      </c>
      <c r="I29" s="1513">
        <f t="shared" si="14"/>
        <v>5364.9124998924308</v>
      </c>
      <c r="J29" s="1513">
        <f t="shared" si="14"/>
        <v>18575.649524010001</v>
      </c>
      <c r="K29" s="1513">
        <f t="shared" si="14"/>
        <v>51074.38676929241</v>
      </c>
      <c r="L29" s="1513"/>
      <c r="M29" s="1513">
        <f>M30+M34+M35+M36+M39+M40+M41</f>
        <v>32478.508796530012</v>
      </c>
      <c r="N29" s="1513">
        <f t="shared" ref="N29" si="15">N30+N34+N35+N36+N39+N40+N41</f>
        <v>17690.435848080029</v>
      </c>
      <c r="O29" s="1513">
        <f t="shared" ref="O29" si="16">O30+O34+O35+O36+O39+O40+O41</f>
        <v>5759.3842644854967</v>
      </c>
      <c r="P29" s="1513">
        <f t="shared" ref="P29" si="17">P30+P34+P35+P36+P39+P40+P41</f>
        <v>17469.127604199995</v>
      </c>
      <c r="Q29" s="1513">
        <f t="shared" ref="Q29" si="18">Q30+Q34+Q35+Q36+Q39+Q40+Q41</f>
        <v>51591.700752745535</v>
      </c>
      <c r="R29" s="247"/>
      <c r="S29" s="1513">
        <f>S30+S34+S35+S36+S39+S40+S41</f>
        <v>95191.114346141418</v>
      </c>
      <c r="T29" s="559"/>
      <c r="U29" s="558"/>
      <c r="V29" s="559"/>
      <c r="W29" s="560"/>
      <c r="X29" s="561"/>
      <c r="Y29" s="561"/>
      <c r="Z29" s="561"/>
      <c r="AA29" s="561"/>
      <c r="AB29" s="561"/>
      <c r="AC29" s="561"/>
      <c r="AD29" s="561"/>
      <c r="AE29" s="561"/>
    </row>
    <row r="30" spans="3:31" ht="15" customHeight="1">
      <c r="C30" s="830" t="str">
        <f>IF(Indice_index!$Z$1=1,"Despesas com o pessoal","Compensation of employees")</f>
        <v>Despesas com o pessoal</v>
      </c>
      <c r="D30" s="1514"/>
      <c r="E30" s="768">
        <f>E31+E32+E33</f>
        <v>23503.247919816382</v>
      </c>
      <c r="F30" s="247"/>
      <c r="G30" s="768">
        <f>G31+G32+G33</f>
        <v>5824.0367275400022</v>
      </c>
      <c r="H30" s="768">
        <f t="shared" ref="H30:M30" si="19">H31+H32+H33</f>
        <v>4830.4983369499878</v>
      </c>
      <c r="I30" s="768">
        <f t="shared" si="19"/>
        <v>2558.402520696442</v>
      </c>
      <c r="J30" s="768">
        <f t="shared" si="19"/>
        <v>164.52367730000003</v>
      </c>
      <c r="K30" s="768">
        <f t="shared" si="19"/>
        <v>13377.461262486431</v>
      </c>
      <c r="L30" s="768"/>
      <c r="M30" s="768">
        <f t="shared" si="19"/>
        <v>5821.4795363000057</v>
      </c>
      <c r="N30" s="768">
        <f t="shared" ref="N30" si="20">N31+N32+N33</f>
        <v>4920.332407949998</v>
      </c>
      <c r="O30" s="768">
        <f t="shared" ref="O30" si="21">O31+O32+O33</f>
        <v>2788.883610242312</v>
      </c>
      <c r="P30" s="768">
        <f t="shared" ref="P30" si="22">P31+P32+P33</f>
        <v>170.37000442999997</v>
      </c>
      <c r="Q30" s="768">
        <f t="shared" ref="Q30" si="23">Q31+Q32+Q33</f>
        <v>13701.065558922317</v>
      </c>
      <c r="R30" s="247"/>
      <c r="S30" s="768">
        <f>S31+S32+S33</f>
        <v>24073.728630555852</v>
      </c>
      <c r="T30" s="562"/>
      <c r="U30" s="563"/>
      <c r="V30" s="562"/>
      <c r="W30" s="564"/>
      <c r="X30" s="557"/>
      <c r="Y30" s="557"/>
      <c r="Z30" s="557"/>
      <c r="AA30" s="557"/>
      <c r="AB30" s="557"/>
      <c r="AC30" s="557"/>
      <c r="AD30" s="557"/>
      <c r="AE30" s="557"/>
    </row>
    <row r="31" spans="3:31" ht="15" customHeight="1">
      <c r="C31" s="1515" t="str">
        <f>IF(Indice_index!$Z$1=1,"Remunerações Certas e Permanentes","Certain and permanent wages")</f>
        <v>Remunerações Certas e Permanentes</v>
      </c>
      <c r="D31" s="1514"/>
      <c r="E31" s="768">
        <v>16863.182267150922</v>
      </c>
      <c r="F31" s="247"/>
      <c r="G31" s="768">
        <v>4198.0145292200004</v>
      </c>
      <c r="H31" s="768">
        <v>3364.1345238199892</v>
      </c>
      <c r="I31" s="768">
        <v>1910.7370563620495</v>
      </c>
      <c r="J31" s="768">
        <v>131.67843855000004</v>
      </c>
      <c r="K31" s="768">
        <v>9604.564547952039</v>
      </c>
      <c r="L31" s="768"/>
      <c r="M31" s="768">
        <v>4210.4813119800083</v>
      </c>
      <c r="N31" s="768">
        <v>3455.3182783499965</v>
      </c>
      <c r="O31" s="768">
        <v>2087.4557555760716</v>
      </c>
      <c r="P31" s="768">
        <v>136.71701804999995</v>
      </c>
      <c r="Q31" s="768">
        <v>9889.9723639560762</v>
      </c>
      <c r="R31" s="247"/>
      <c r="S31" s="768">
        <v>17758.848699476399</v>
      </c>
      <c r="T31" s="562"/>
      <c r="U31" s="563"/>
      <c r="V31" s="562"/>
      <c r="W31" s="564"/>
      <c r="X31" s="557"/>
      <c r="Y31" s="557"/>
      <c r="Z31" s="557"/>
      <c r="AA31" s="557"/>
      <c r="AB31" s="557"/>
      <c r="AC31" s="557"/>
      <c r="AD31" s="557"/>
      <c r="AE31" s="557"/>
    </row>
    <row r="32" spans="3:31" ht="15" customHeight="1">
      <c r="C32" s="1515" t="str">
        <f>IF(Indice_index!$Z$1=1,"Abonos Variáveis ou Eventuais","Variable or contingent bonuses")</f>
        <v>Abonos Variáveis ou Eventuais</v>
      </c>
      <c r="D32" s="1514"/>
      <c r="E32" s="768">
        <v>1572.0595564559444</v>
      </c>
      <c r="F32" s="247"/>
      <c r="G32" s="768">
        <v>191.05022974999957</v>
      </c>
      <c r="H32" s="768">
        <v>551.77852146999919</v>
      </c>
      <c r="I32" s="768">
        <v>129.89667584922819</v>
      </c>
      <c r="J32" s="768">
        <v>2.6922048400000009</v>
      </c>
      <c r="K32" s="768">
        <v>875.41763190922711</v>
      </c>
      <c r="L32" s="768"/>
      <c r="M32" s="768">
        <v>205.92684518999988</v>
      </c>
      <c r="N32" s="768">
        <v>539.12050816999999</v>
      </c>
      <c r="O32" s="768">
        <v>147.5509147228928</v>
      </c>
      <c r="P32" s="768">
        <v>2.8726287400000001</v>
      </c>
      <c r="Q32" s="768">
        <v>895.47089682289266</v>
      </c>
      <c r="R32" s="247"/>
      <c r="S32" s="768">
        <v>1519.7661324667183</v>
      </c>
      <c r="T32" s="562"/>
      <c r="U32" s="563"/>
      <c r="V32" s="562"/>
      <c r="W32" s="564"/>
      <c r="X32" s="557"/>
      <c r="Y32" s="557"/>
      <c r="Z32" s="557"/>
      <c r="AA32" s="557"/>
      <c r="AB32" s="557"/>
      <c r="AC32" s="557"/>
      <c r="AD32" s="557"/>
      <c r="AE32" s="557"/>
    </row>
    <row r="33" spans="3:31" ht="15" customHeight="1">
      <c r="C33" s="1515" t="str">
        <f>IF(Indice_index!$Z$1=1,"Segurança social","Social security")</f>
        <v>Segurança social</v>
      </c>
      <c r="D33" s="1514"/>
      <c r="E33" s="768">
        <v>5068.0060962095167</v>
      </c>
      <c r="F33" s="247"/>
      <c r="G33" s="768">
        <v>1434.9719685700018</v>
      </c>
      <c r="H33" s="768">
        <v>914.5852916599996</v>
      </c>
      <c r="I33" s="768">
        <v>517.76878848516435</v>
      </c>
      <c r="J33" s="768">
        <v>30.153033909999998</v>
      </c>
      <c r="K33" s="768">
        <v>2897.4790826251656</v>
      </c>
      <c r="L33" s="768"/>
      <c r="M33" s="768">
        <v>1405.0713791299977</v>
      </c>
      <c r="N33" s="768">
        <v>925.8936214300013</v>
      </c>
      <c r="O33" s="768">
        <v>553.87693994334768</v>
      </c>
      <c r="P33" s="768">
        <v>30.780357640000005</v>
      </c>
      <c r="Q33" s="768">
        <v>2915.6222981433466</v>
      </c>
      <c r="R33" s="247"/>
      <c r="S33" s="768">
        <v>4795.1137986127342</v>
      </c>
      <c r="T33" s="562"/>
      <c r="U33" s="563"/>
      <c r="V33" s="562"/>
      <c r="W33" s="564"/>
      <c r="X33" s="557"/>
      <c r="Y33" s="557"/>
      <c r="Z33" s="557"/>
      <c r="AA33" s="557"/>
      <c r="AB33" s="557"/>
      <c r="AC33" s="557"/>
      <c r="AD33" s="557"/>
      <c r="AE33" s="557"/>
    </row>
    <row r="34" spans="3:31" ht="15" customHeight="1">
      <c r="C34" s="830" t="str">
        <f>IF(Indice_index!$Z$1=1,"Aquisição de bens e serviços","Purchase of goods and services")</f>
        <v>Aquisição de bens e serviços</v>
      </c>
      <c r="D34" s="1514"/>
      <c r="E34" s="768">
        <v>14824.748358832137</v>
      </c>
      <c r="F34" s="247"/>
      <c r="G34" s="768">
        <v>639.17048250999801</v>
      </c>
      <c r="H34" s="768">
        <v>4531.2239521099873</v>
      </c>
      <c r="I34" s="768">
        <v>1723.1280528787092</v>
      </c>
      <c r="J34" s="768">
        <v>50.880880510000004</v>
      </c>
      <c r="K34" s="768">
        <v>6941.7734462286944</v>
      </c>
      <c r="L34" s="768"/>
      <c r="M34" s="768">
        <v>713.46815837000224</v>
      </c>
      <c r="N34" s="768">
        <v>5081.1429977900352</v>
      </c>
      <c r="O34" s="768">
        <v>1868.3001592607434</v>
      </c>
      <c r="P34" s="768">
        <v>43.411637700000007</v>
      </c>
      <c r="Q34" s="768">
        <v>7705.8502820007807</v>
      </c>
      <c r="R34" s="247"/>
      <c r="S34" s="768">
        <v>15878.382236609272</v>
      </c>
      <c r="T34" s="562"/>
      <c r="U34" s="563"/>
      <c r="V34" s="562"/>
      <c r="W34" s="564"/>
      <c r="X34" s="557"/>
      <c r="Y34" s="557"/>
      <c r="Z34" s="557"/>
      <c r="AA34" s="557"/>
      <c r="AB34" s="557"/>
      <c r="AC34" s="557"/>
      <c r="AD34" s="557"/>
      <c r="AE34" s="557"/>
    </row>
    <row r="35" spans="3:31" ht="15" customHeight="1">
      <c r="C35" s="830" t="str">
        <f>IF(Indice_index!$Z$1=1,"Juros e outros encargos","Interests and other charges")</f>
        <v>Juros e outros encargos</v>
      </c>
      <c r="D35" s="1514"/>
      <c r="E35" s="768">
        <v>6950.9798698186814</v>
      </c>
      <c r="F35" s="247"/>
      <c r="G35" s="768">
        <v>3986.3164952399998</v>
      </c>
      <c r="H35" s="768">
        <v>275.06050517999984</v>
      </c>
      <c r="I35" s="768">
        <v>96.598789330124021</v>
      </c>
      <c r="J35" s="768">
        <v>3.518316829999999</v>
      </c>
      <c r="K35" s="768">
        <v>4227.8799760701231</v>
      </c>
      <c r="L35" s="768"/>
      <c r="M35" s="768">
        <v>3763.8803457400004</v>
      </c>
      <c r="N35" s="768">
        <v>133.61709542</v>
      </c>
      <c r="O35" s="768">
        <v>112.00728625738815</v>
      </c>
      <c r="P35" s="768">
        <v>4.08062287</v>
      </c>
      <c r="Q35" s="768">
        <v>3964.8483721773887</v>
      </c>
      <c r="R35" s="247"/>
      <c r="S35" s="768">
        <v>6811.6674575227453</v>
      </c>
      <c r="T35" s="562"/>
      <c r="U35" s="563"/>
      <c r="V35" s="562"/>
      <c r="W35" s="564"/>
      <c r="X35" s="557"/>
      <c r="Y35" s="557"/>
      <c r="Z35" s="557"/>
      <c r="AA35" s="557"/>
      <c r="AB35" s="557"/>
      <c r="AC35" s="557"/>
      <c r="AD35" s="557"/>
      <c r="AE35" s="557"/>
    </row>
    <row r="36" spans="3:31" ht="15" customHeight="1">
      <c r="C36" s="830" t="str">
        <f>IF(Indice_index!$Z$1=1,"Transferências correntes","Current transfers")</f>
        <v>Transferências correntes</v>
      </c>
      <c r="D36" s="1514"/>
      <c r="E36" s="768">
        <v>43772.156764577245</v>
      </c>
      <c r="F36" s="247"/>
      <c r="G36" s="768">
        <v>20685.130931619995</v>
      </c>
      <c r="H36" s="768">
        <v>6793.3938522600019</v>
      </c>
      <c r="I36" s="768">
        <v>611.44761963701455</v>
      </c>
      <c r="J36" s="768">
        <v>17705.689440639999</v>
      </c>
      <c r="K36" s="768">
        <v>24882.128198477018</v>
      </c>
      <c r="L36" s="768"/>
      <c r="M36" s="768">
        <v>21795.815423950004</v>
      </c>
      <c r="N36" s="768">
        <v>6977.6062078500008</v>
      </c>
      <c r="O36" s="768">
        <v>622.96143010483274</v>
      </c>
      <c r="P36" s="768">
        <v>16734.363364549998</v>
      </c>
      <c r="Q36" s="768">
        <v>24528.056817444831</v>
      </c>
      <c r="R36" s="247"/>
      <c r="S36" s="768">
        <v>43612.929022356679</v>
      </c>
      <c r="T36" s="562"/>
      <c r="U36" s="563"/>
      <c r="V36" s="562"/>
      <c r="W36" s="564"/>
      <c r="X36" s="557"/>
      <c r="Y36" s="557"/>
      <c r="Z36" s="557"/>
      <c r="AA36" s="557"/>
      <c r="AB36" s="557"/>
      <c r="AC36" s="557"/>
      <c r="AD36" s="557"/>
      <c r="AE36" s="557"/>
    </row>
    <row r="37" spans="3:31" ht="15" customHeight="1">
      <c r="C37" s="1515" t="str">
        <f>IF(Indice_index!$Z$1=1,"Administrações Públicas","General Government subsectors")</f>
        <v>Administrações Públicas</v>
      </c>
      <c r="D37" s="1514"/>
      <c r="E37" s="768">
        <v>0</v>
      </c>
      <c r="F37" s="247"/>
      <c r="G37" s="768">
        <v>18961.359049789997</v>
      </c>
      <c r="H37" s="768">
        <v>611.79422823000004</v>
      </c>
      <c r="I37" s="768">
        <v>82.022236960000001</v>
      </c>
      <c r="J37" s="768">
        <v>1258.3581307000002</v>
      </c>
      <c r="K37" s="768">
        <v>0</v>
      </c>
      <c r="L37" s="768"/>
      <c r="M37" s="768">
        <v>19885.608096310003</v>
      </c>
      <c r="N37" s="768">
        <v>554.80644665</v>
      </c>
      <c r="O37" s="768">
        <v>99.531538529999978</v>
      </c>
      <c r="P37" s="768">
        <v>1062.74352752</v>
      </c>
      <c r="Q37" s="768">
        <v>0</v>
      </c>
      <c r="R37" s="247"/>
      <c r="S37" s="768">
        <v>0</v>
      </c>
      <c r="T37" s="562"/>
      <c r="U37" s="563"/>
      <c r="V37" s="562"/>
      <c r="W37" s="564"/>
      <c r="X37" s="557"/>
      <c r="Y37" s="557"/>
      <c r="Z37" s="557"/>
      <c r="AA37" s="557"/>
      <c r="AB37" s="557"/>
      <c r="AC37" s="557"/>
      <c r="AD37" s="557"/>
      <c r="AE37" s="557"/>
    </row>
    <row r="38" spans="3:31" ht="15" customHeight="1">
      <c r="C38" s="1515" t="str">
        <f>IF(Indice_index!$Z$1=1,"Outras","Others")</f>
        <v>Outras</v>
      </c>
      <c r="D38" s="1514"/>
      <c r="E38" s="1516">
        <v>43772.156764577245</v>
      </c>
      <c r="F38" s="1517"/>
      <c r="G38" s="1516">
        <v>1723.7718818299998</v>
      </c>
      <c r="H38" s="1516">
        <v>6181.5996240300019</v>
      </c>
      <c r="I38" s="1516">
        <v>529.42538267701457</v>
      </c>
      <c r="J38" s="1516">
        <v>16447.33130994</v>
      </c>
      <c r="K38" s="1516">
        <v>24882.128198477018</v>
      </c>
      <c r="L38" s="1516"/>
      <c r="M38" s="1516">
        <v>1910.2073276399999</v>
      </c>
      <c r="N38" s="1516">
        <v>6422.7997612000008</v>
      </c>
      <c r="O38" s="1516">
        <v>523.42989157483271</v>
      </c>
      <c r="P38" s="1516">
        <v>15671.619837029999</v>
      </c>
      <c r="Q38" s="1516">
        <v>24528.056817444831</v>
      </c>
      <c r="R38" s="1517"/>
      <c r="S38" s="1516">
        <v>43612.929022356679</v>
      </c>
      <c r="T38" s="562"/>
      <c r="U38" s="563"/>
      <c r="V38" s="562"/>
      <c r="W38" s="564"/>
      <c r="X38" s="557"/>
      <c r="Y38" s="557"/>
      <c r="Z38" s="557"/>
      <c r="AA38" s="557"/>
      <c r="AB38" s="557"/>
      <c r="AC38" s="557"/>
      <c r="AD38" s="557"/>
      <c r="AE38" s="557"/>
    </row>
    <row r="39" spans="3:31" ht="15" customHeight="1">
      <c r="C39" s="830" t="str">
        <f>IF(Indice_index!$Z$1=1,"Subsídios","Subsidies")</f>
        <v>Subsídios</v>
      </c>
      <c r="D39" s="1514"/>
      <c r="E39" s="768">
        <v>2149.9127327166143</v>
      </c>
      <c r="F39" s="247"/>
      <c r="G39" s="768">
        <v>26.415149709999994</v>
      </c>
      <c r="H39" s="768">
        <v>522.94981715000017</v>
      </c>
      <c r="I39" s="768">
        <v>312.70949546480642</v>
      </c>
      <c r="J39" s="768">
        <v>645.46045809000009</v>
      </c>
      <c r="K39" s="768">
        <v>1169.3606811048066</v>
      </c>
      <c r="L39" s="768"/>
      <c r="M39" s="768">
        <v>128.63423202999999</v>
      </c>
      <c r="N39" s="768">
        <v>402.46966050999998</v>
      </c>
      <c r="O39" s="768">
        <v>285.68008320428839</v>
      </c>
      <c r="P39" s="768">
        <v>511.21670311000003</v>
      </c>
      <c r="Q39" s="768">
        <v>1174.1441765442883</v>
      </c>
      <c r="R39" s="247"/>
      <c r="S39" s="768">
        <v>2114.0344561551046</v>
      </c>
      <c r="T39" s="562"/>
      <c r="U39" s="563"/>
      <c r="V39" s="562"/>
      <c r="W39" s="564"/>
      <c r="X39" s="557"/>
      <c r="Y39" s="557"/>
      <c r="Z39" s="557"/>
      <c r="AA39" s="557"/>
      <c r="AB39" s="557"/>
      <c r="AC39" s="557"/>
      <c r="AD39" s="557"/>
      <c r="AE39" s="557"/>
    </row>
    <row r="40" spans="3:31" ht="15" customHeight="1">
      <c r="C40" s="830" t="str">
        <f>IF(Indice_index!$Z$1=1,"Outras despesas correntes","Other current expenditures")</f>
        <v>Outras despesas correntes</v>
      </c>
      <c r="D40" s="1514"/>
      <c r="E40" s="768">
        <v>767.44553545876136</v>
      </c>
      <c r="F40" s="247"/>
      <c r="G40" s="768">
        <v>219.53258607999987</v>
      </c>
      <c r="H40" s="768">
        <v>88.589119659999994</v>
      </c>
      <c r="I40" s="768">
        <v>62.036559385333518</v>
      </c>
      <c r="J40" s="768">
        <v>5.5767506400000002</v>
      </c>
      <c r="K40" s="768">
        <v>375.7350157653334</v>
      </c>
      <c r="L40" s="768"/>
      <c r="M40" s="768">
        <v>255.23110014</v>
      </c>
      <c r="N40" s="768">
        <v>106.14654386999997</v>
      </c>
      <c r="O40" s="768">
        <v>81.551695415932826</v>
      </c>
      <c r="P40" s="768">
        <v>5.6852715400000005</v>
      </c>
      <c r="Q40" s="768">
        <v>448.6146109659328</v>
      </c>
      <c r="R40" s="247"/>
      <c r="S40" s="768">
        <v>2461.5376299429199</v>
      </c>
      <c r="T40" s="562"/>
      <c r="U40" s="563"/>
      <c r="V40" s="562"/>
      <c r="W40" s="564"/>
      <c r="X40" s="557"/>
      <c r="Y40" s="557"/>
      <c r="Z40" s="557"/>
      <c r="AA40" s="557"/>
      <c r="AB40" s="557"/>
      <c r="AC40" s="557"/>
      <c r="AD40" s="557"/>
      <c r="AE40" s="557"/>
    </row>
    <row r="41" spans="3:31" ht="15" customHeight="1">
      <c r="C41" s="830" t="str">
        <f>IF(Indice_index!$Z$1=1,"Diferenças de consolidação","Consolidation differences")</f>
        <v>Diferenças de consolidação</v>
      </c>
      <c r="D41" s="1514"/>
      <c r="E41" s="768">
        <v>245.36892270998956</v>
      </c>
      <c r="F41" s="247"/>
      <c r="G41" s="768">
        <v>4.6722873900000934</v>
      </c>
      <c r="H41" s="768">
        <v>0</v>
      </c>
      <c r="I41" s="768">
        <v>0.5894624999999678</v>
      </c>
      <c r="J41" s="768">
        <v>0</v>
      </c>
      <c r="K41" s="768">
        <v>100.04818915999945</v>
      </c>
      <c r="L41" s="768"/>
      <c r="M41" s="768">
        <v>0</v>
      </c>
      <c r="N41" s="768">
        <v>69.12093468999683</v>
      </c>
      <c r="O41" s="768">
        <v>0</v>
      </c>
      <c r="P41" s="768">
        <v>0</v>
      </c>
      <c r="Q41" s="768">
        <v>69.12093468999683</v>
      </c>
      <c r="R41" s="247"/>
      <c r="S41" s="768">
        <v>238.83491299884827</v>
      </c>
      <c r="T41" s="562"/>
      <c r="U41" s="563"/>
      <c r="V41" s="562"/>
      <c r="W41" s="564"/>
      <c r="X41" s="557"/>
      <c r="Y41" s="557"/>
      <c r="Z41" s="557"/>
      <c r="AA41" s="557"/>
      <c r="AB41" s="557"/>
      <c r="AC41" s="557"/>
      <c r="AD41" s="557"/>
      <c r="AE41" s="557"/>
    </row>
    <row r="42" spans="3:31" s="554" customFormat="1" ht="15" customHeight="1">
      <c r="C42" s="319" t="str">
        <f>IF(Indice_index!$Z$1=1,"Despesa de capital","Capital expenditure")</f>
        <v>Despesa de capital</v>
      </c>
      <c r="D42" s="1518"/>
      <c r="E42" s="1513">
        <f>E43+E44+E47+E48</f>
        <v>8347.7309172296245</v>
      </c>
      <c r="F42" s="247"/>
      <c r="G42" s="1513">
        <f>G43+G44+G47+G48</f>
        <v>1868.3697045999997</v>
      </c>
      <c r="H42" s="1513">
        <f t="shared" ref="H42:K42" si="24">H43+H44+H47+H48</f>
        <v>2314.1581332999995</v>
      </c>
      <c r="I42" s="1513">
        <f t="shared" si="24"/>
        <v>1593.2469892524496</v>
      </c>
      <c r="J42" s="1513">
        <f t="shared" si="24"/>
        <v>16.676259200000001</v>
      </c>
      <c r="K42" s="1513">
        <f t="shared" si="24"/>
        <v>4260.7816913224488</v>
      </c>
      <c r="L42" s="1513"/>
      <c r="M42" s="1513">
        <f>M43+M44+M47+M48</f>
        <v>1323.1964644899997</v>
      </c>
      <c r="N42" s="1513">
        <f t="shared" ref="N42" si="25">N43+N44+N47+N48</f>
        <v>1932.2307279700001</v>
      </c>
      <c r="O42" s="1513">
        <f t="shared" ref="O42" si="26">O43+O44+O47+O48</f>
        <v>1538.5417167596568</v>
      </c>
      <c r="P42" s="1513">
        <f t="shared" ref="P42" si="27">P43+P44+P47+P48</f>
        <v>12.704259780000001</v>
      </c>
      <c r="Q42" s="1513">
        <f t="shared" ref="Q42" si="28">Q43+Q44+Q47+Q48</f>
        <v>3885.8050216796569</v>
      </c>
      <c r="R42" s="247"/>
      <c r="S42" s="1513">
        <f>S43+S44+S47+S48</f>
        <v>11396.598151081178</v>
      </c>
      <c r="T42" s="559"/>
      <c r="U42" s="568"/>
      <c r="V42" s="559"/>
      <c r="W42" s="560"/>
      <c r="X42" s="561"/>
      <c r="Y42" s="561"/>
      <c r="Z42" s="561"/>
      <c r="AA42" s="561"/>
      <c r="AB42" s="561"/>
      <c r="AC42" s="561"/>
      <c r="AD42" s="561"/>
      <c r="AE42" s="561"/>
    </row>
    <row r="43" spans="3:31" ht="15" customHeight="1">
      <c r="C43" s="830" t="str">
        <f>IF(Indice_index!$Z$1=1,"Investimentos","Investments")</f>
        <v>Investimentos</v>
      </c>
      <c r="D43" s="1514"/>
      <c r="E43" s="768">
        <v>6350.2217419787266</v>
      </c>
      <c r="F43" s="247"/>
      <c r="G43" s="768">
        <v>298.21023231000004</v>
      </c>
      <c r="H43" s="768">
        <v>1474.0311433099994</v>
      </c>
      <c r="I43" s="768">
        <v>1362.0199675319691</v>
      </c>
      <c r="J43" s="768">
        <v>14.996977129999999</v>
      </c>
      <c r="K43" s="768">
        <v>3149.2583202819687</v>
      </c>
      <c r="L43" s="768"/>
      <c r="M43" s="768">
        <v>392.45253464999979</v>
      </c>
      <c r="N43" s="768">
        <v>1441.0145672900003</v>
      </c>
      <c r="O43" s="768">
        <v>1302.8423480538177</v>
      </c>
      <c r="P43" s="768">
        <v>12.366999860000002</v>
      </c>
      <c r="Q43" s="768">
        <v>3148.6764498538178</v>
      </c>
      <c r="R43" s="247"/>
      <c r="S43" s="768">
        <v>9105.9564992394389</v>
      </c>
      <c r="T43" s="562"/>
      <c r="U43" s="563"/>
      <c r="V43" s="562"/>
      <c r="W43" s="564"/>
      <c r="X43" s="557"/>
      <c r="Y43" s="557"/>
      <c r="Z43" s="557"/>
      <c r="AA43" s="557"/>
      <c r="AB43" s="557"/>
      <c r="AC43" s="557"/>
      <c r="AD43" s="557"/>
      <c r="AE43" s="557"/>
    </row>
    <row r="44" spans="3:31" ht="15" customHeight="1">
      <c r="C44" s="830" t="str">
        <f>IF(Indice_index!$Z$1=1,"Transferências de capital","Capital transfers")</f>
        <v>Transferências de capital</v>
      </c>
      <c r="D44" s="1514"/>
      <c r="E44" s="768">
        <v>1784.3860212726904</v>
      </c>
      <c r="F44" s="247"/>
      <c r="G44" s="768">
        <v>1557.1722695199996</v>
      </c>
      <c r="H44" s="768">
        <v>825.23507744000005</v>
      </c>
      <c r="I44" s="768">
        <v>225.70652729548061</v>
      </c>
      <c r="J44" s="768">
        <v>1.6792820700000002</v>
      </c>
      <c r="K44" s="768">
        <v>1078.1237612954806</v>
      </c>
      <c r="L44" s="768"/>
      <c r="M44" s="768">
        <v>926.14058766999983</v>
      </c>
      <c r="N44" s="768">
        <v>453.15794018999998</v>
      </c>
      <c r="O44" s="768">
        <v>231.97906117421462</v>
      </c>
      <c r="P44" s="768">
        <v>0.33725991999999999</v>
      </c>
      <c r="Q44" s="768">
        <v>687.4082437742145</v>
      </c>
      <c r="R44" s="247"/>
      <c r="S44" s="768">
        <v>2030.9235200694229</v>
      </c>
      <c r="T44" s="562"/>
      <c r="U44" s="563"/>
      <c r="V44" s="562"/>
      <c r="W44" s="564"/>
      <c r="X44" s="557"/>
      <c r="Y44" s="557"/>
      <c r="Z44" s="557"/>
      <c r="AA44" s="557"/>
      <c r="AB44" s="557"/>
      <c r="AC44" s="557"/>
      <c r="AD44" s="557"/>
      <c r="AE44" s="557"/>
    </row>
    <row r="45" spans="3:31" ht="15" customHeight="1">
      <c r="C45" s="1515" t="str">
        <f>IF(Indice_index!$Z$1=1,"Administrações Públicas","General Government subsectors")</f>
        <v>Administrações Públicas</v>
      </c>
      <c r="D45" s="1514"/>
      <c r="E45" s="768">
        <v>0</v>
      </c>
      <c r="F45" s="247"/>
      <c r="G45" s="768">
        <v>1511.9325504999997</v>
      </c>
      <c r="H45" s="768">
        <v>14.959641450000001</v>
      </c>
      <c r="I45" s="768">
        <v>4.7772030800000049</v>
      </c>
      <c r="J45" s="768">
        <v>0</v>
      </c>
      <c r="K45" s="768">
        <v>0</v>
      </c>
      <c r="L45" s="768"/>
      <c r="M45" s="768">
        <v>889.63233900999978</v>
      </c>
      <c r="N45" s="768">
        <v>26.632822190000006</v>
      </c>
      <c r="O45" s="768">
        <v>7.9414439799999998</v>
      </c>
      <c r="P45" s="768">
        <v>0</v>
      </c>
      <c r="Q45" s="768">
        <v>0</v>
      </c>
      <c r="R45" s="247"/>
      <c r="S45" s="768">
        <v>0</v>
      </c>
      <c r="T45" s="562"/>
      <c r="U45" s="563"/>
      <c r="V45" s="562"/>
      <c r="W45" s="564"/>
      <c r="X45" s="557"/>
      <c r="Y45" s="557"/>
      <c r="Z45" s="557"/>
      <c r="AA45" s="557"/>
      <c r="AB45" s="557"/>
      <c r="AC45" s="557"/>
      <c r="AD45" s="557"/>
      <c r="AE45" s="557"/>
    </row>
    <row r="46" spans="3:31" ht="15" customHeight="1">
      <c r="C46" s="1515" t="str">
        <f>IF(Indice_index!$Z$1=1,"Outras","Others")</f>
        <v>Outras</v>
      </c>
      <c r="D46" s="1514"/>
      <c r="E46" s="1516">
        <v>1784.3860212726904</v>
      </c>
      <c r="F46" s="1517"/>
      <c r="G46" s="1516">
        <v>45.239719019999995</v>
      </c>
      <c r="H46" s="1516">
        <v>810.27543599000001</v>
      </c>
      <c r="I46" s="1516">
        <v>220.92932421548062</v>
      </c>
      <c r="J46" s="1516">
        <v>1.6792820700000002</v>
      </c>
      <c r="K46" s="1516">
        <v>1078.1237612954806</v>
      </c>
      <c r="L46" s="1516"/>
      <c r="M46" s="1516">
        <v>36.508248660000007</v>
      </c>
      <c r="N46" s="1516">
        <v>426.52511799999996</v>
      </c>
      <c r="O46" s="1516">
        <v>224.03761719421462</v>
      </c>
      <c r="P46" s="1516">
        <v>0.33725991999999999</v>
      </c>
      <c r="Q46" s="1516">
        <v>687.4082437742145</v>
      </c>
      <c r="R46" s="1517"/>
      <c r="S46" s="1516">
        <v>2030.9235200694229</v>
      </c>
      <c r="T46" s="562"/>
      <c r="U46" s="563"/>
      <c r="V46" s="562"/>
      <c r="W46" s="564"/>
      <c r="X46" s="557"/>
      <c r="Y46" s="557"/>
      <c r="Z46" s="557"/>
      <c r="AA46" s="557"/>
      <c r="AB46" s="557"/>
      <c r="AC46" s="557"/>
      <c r="AD46" s="557"/>
      <c r="AE46" s="557"/>
    </row>
    <row r="47" spans="3:31" ht="15" customHeight="1">
      <c r="C47" s="830" t="str">
        <f>IF(Indice_index!$Z$1=1,"Outras despesas de capital","Other capital expenditures")</f>
        <v>Outras despesas de capital</v>
      </c>
      <c r="D47" s="1514"/>
      <c r="E47" s="768">
        <v>161.298410108208</v>
      </c>
      <c r="F47" s="247"/>
      <c r="G47" s="768">
        <v>12.987202770000001</v>
      </c>
      <c r="H47" s="768">
        <v>7.1204401100000005</v>
      </c>
      <c r="I47" s="768">
        <v>5.5204944250000016</v>
      </c>
      <c r="J47" s="768">
        <v>0</v>
      </c>
      <c r="K47" s="768">
        <v>25.628137305000003</v>
      </c>
      <c r="L47" s="768"/>
      <c r="M47" s="768">
        <v>3.9325956799999995</v>
      </c>
      <c r="N47" s="768">
        <v>16.148132589999999</v>
      </c>
      <c r="O47" s="768">
        <v>3.7203075316244392</v>
      </c>
      <c r="P47" s="768">
        <v>0</v>
      </c>
      <c r="Q47" s="768">
        <v>23.801035801624437</v>
      </c>
      <c r="R47" s="247"/>
      <c r="S47" s="768">
        <v>257.19700877231622</v>
      </c>
      <c r="T47" s="562"/>
      <c r="U47" s="563"/>
      <c r="V47" s="562"/>
      <c r="W47" s="564"/>
      <c r="X47" s="557"/>
      <c r="Y47" s="557"/>
      <c r="Z47" s="557"/>
      <c r="AA47" s="557"/>
      <c r="AB47" s="557"/>
      <c r="AC47" s="557"/>
      <c r="AD47" s="557"/>
      <c r="AE47" s="557"/>
    </row>
    <row r="48" spans="3:31" ht="15" customHeight="1">
      <c r="C48" s="830" t="str">
        <f>IF(Indice_index!$Z$1=1,"Diferenças de consolidação","Consolidation differences")</f>
        <v>Diferenças de consolidação</v>
      </c>
      <c r="D48" s="1514"/>
      <c r="E48" s="768">
        <v>51.824743870000162</v>
      </c>
      <c r="F48" s="247"/>
      <c r="G48" s="768">
        <v>0</v>
      </c>
      <c r="H48" s="768">
        <v>7.7714724400000392</v>
      </c>
      <c r="I48" s="768">
        <v>0</v>
      </c>
      <c r="J48" s="768">
        <v>0</v>
      </c>
      <c r="K48" s="768">
        <v>7.7714724400000392</v>
      </c>
      <c r="L48" s="768"/>
      <c r="M48" s="768">
        <v>0.67074648999999997</v>
      </c>
      <c r="N48" s="768">
        <v>21.910087899999979</v>
      </c>
      <c r="O48" s="768">
        <v>0</v>
      </c>
      <c r="P48" s="768">
        <v>0</v>
      </c>
      <c r="Q48" s="768">
        <v>25.919292249999927</v>
      </c>
      <c r="R48" s="247"/>
      <c r="S48" s="768">
        <v>2.5211229999999887</v>
      </c>
      <c r="T48" s="562"/>
      <c r="U48" s="563"/>
      <c r="V48" s="562"/>
      <c r="W48" s="564"/>
      <c r="X48" s="557"/>
      <c r="Y48" s="557"/>
      <c r="Z48" s="557"/>
      <c r="AA48" s="557"/>
      <c r="AB48" s="557"/>
      <c r="AC48" s="557"/>
      <c r="AD48" s="557"/>
      <c r="AE48" s="557"/>
    </row>
    <row r="49" spans="3:31" s="565" customFormat="1" ht="4.5" customHeight="1">
      <c r="C49" s="739"/>
      <c r="D49" s="739"/>
      <c r="E49" s="1522"/>
      <c r="F49" s="739"/>
      <c r="G49" s="1522"/>
      <c r="H49" s="1522"/>
      <c r="I49" s="1522"/>
      <c r="J49" s="1522"/>
      <c r="K49" s="1522"/>
      <c r="L49" s="1522"/>
      <c r="M49" s="1522"/>
      <c r="N49" s="1522"/>
      <c r="O49" s="1522"/>
      <c r="P49" s="1522"/>
      <c r="Q49" s="1522"/>
      <c r="R49" s="739"/>
      <c r="S49" s="1522"/>
      <c r="T49" s="562"/>
      <c r="U49" s="563"/>
      <c r="V49" s="563"/>
      <c r="W49" s="564"/>
      <c r="X49" s="557"/>
      <c r="Y49" s="557"/>
      <c r="Z49" s="563"/>
      <c r="AA49" s="563"/>
      <c r="AB49" s="564"/>
      <c r="AC49" s="557"/>
      <c r="AD49" s="557"/>
      <c r="AE49" s="557"/>
    </row>
    <row r="50" spans="3:31" s="554" customFormat="1" ht="15" customHeight="1">
      <c r="C50" s="1520" t="str">
        <f>IF(Indice_index!$Z$1=1,"Despesa efetiva","Effective expenditure")</f>
        <v>Despesa efetiva</v>
      </c>
      <c r="D50" s="319"/>
      <c r="E50" s="1521">
        <f>E29+E42</f>
        <v>100561.59102115945</v>
      </c>
      <c r="F50" s="1513"/>
      <c r="G50" s="1521">
        <f t="shared" ref="G50:J50" si="29">G29+G42</f>
        <v>33253.644364689993</v>
      </c>
      <c r="H50" s="1521">
        <f t="shared" si="29"/>
        <v>19355.873716609975</v>
      </c>
      <c r="I50" s="1521">
        <f t="shared" si="29"/>
        <v>6958.1594891448804</v>
      </c>
      <c r="J50" s="1521">
        <f t="shared" si="29"/>
        <v>18592.325783210003</v>
      </c>
      <c r="K50" s="1521">
        <f>K29+K42</f>
        <v>55335.168460614863</v>
      </c>
      <c r="L50" s="1513"/>
      <c r="M50" s="1521">
        <f t="shared" ref="M50:P50" si="30">M29+M42</f>
        <v>33801.705261020012</v>
      </c>
      <c r="N50" s="1521">
        <f t="shared" si="30"/>
        <v>19622.666576050029</v>
      </c>
      <c r="O50" s="1521">
        <f t="shared" si="30"/>
        <v>7297.9259812451537</v>
      </c>
      <c r="P50" s="1521">
        <f t="shared" si="30"/>
        <v>17481.831863979995</v>
      </c>
      <c r="Q50" s="1521">
        <f>Q29+Q42</f>
        <v>55477.50577442519</v>
      </c>
      <c r="R50" s="1513"/>
      <c r="S50" s="1521">
        <f>S29+S42</f>
        <v>106587.7124972226</v>
      </c>
      <c r="T50" s="559"/>
      <c r="U50" s="568"/>
      <c r="V50" s="559"/>
      <c r="W50" s="560"/>
      <c r="X50" s="561"/>
      <c r="Y50" s="561"/>
      <c r="Z50" s="568"/>
      <c r="AA50" s="559"/>
      <c r="AB50" s="560"/>
      <c r="AC50" s="561"/>
      <c r="AD50" s="561"/>
      <c r="AE50" s="561"/>
    </row>
    <row r="51" spans="3:31" s="565" customFormat="1" ht="4.5" customHeight="1">
      <c r="C51" s="830"/>
      <c r="D51" s="830"/>
      <c r="E51" s="1523"/>
      <c r="F51" s="1524"/>
      <c r="G51" s="1523"/>
      <c r="H51" s="1523"/>
      <c r="I51" s="1523"/>
      <c r="J51" s="1523"/>
      <c r="K51" s="1523"/>
      <c r="L51" s="1525"/>
      <c r="M51" s="1523"/>
      <c r="N51" s="1523"/>
      <c r="O51" s="1523"/>
      <c r="P51" s="1523"/>
      <c r="Q51" s="1523"/>
      <c r="R51" s="1524"/>
      <c r="S51" s="1523"/>
      <c r="T51" s="562"/>
      <c r="U51" s="563"/>
      <c r="V51" s="562"/>
      <c r="W51" s="564"/>
      <c r="X51" s="557"/>
      <c r="Y51" s="557"/>
      <c r="Z51" s="557"/>
      <c r="AA51" s="557"/>
      <c r="AB51" s="557"/>
      <c r="AC51" s="557"/>
      <c r="AD51" s="557"/>
      <c r="AE51" s="557"/>
    </row>
    <row r="52" spans="3:31" s="554" customFormat="1" ht="15" customHeight="1">
      <c r="C52" s="1520" t="str">
        <f>IF(Indice_index!$Z$1=1,"Saldo global","Overall balance")</f>
        <v>Saldo global</v>
      </c>
      <c r="D52" s="319"/>
      <c r="E52" s="1521">
        <f>+E27-E50</f>
        <v>-8643.1666095808323</v>
      </c>
      <c r="F52" s="1513"/>
      <c r="G52" s="1521">
        <f t="shared" ref="G52:J52" si="31">+G27-G50</f>
        <v>-7575.5236929199928</v>
      </c>
      <c r="H52" s="1521">
        <f t="shared" si="31"/>
        <v>860.83147362001546</v>
      </c>
      <c r="I52" s="1521">
        <f t="shared" si="31"/>
        <v>3.2275600239099731</v>
      </c>
      <c r="J52" s="1521">
        <f t="shared" si="31"/>
        <v>-445.66135428000052</v>
      </c>
      <c r="K52" s="1521">
        <f>+K27-K50</f>
        <v>-7157.1260135560879</v>
      </c>
      <c r="L52" s="1513"/>
      <c r="M52" s="1521">
        <f t="shared" ref="M52:P52" si="32">+M27-M50</f>
        <v>-2591.4590449500174</v>
      </c>
      <c r="N52" s="1521">
        <f t="shared" si="32"/>
        <v>937.78075397996872</v>
      </c>
      <c r="O52" s="1521">
        <f t="shared" si="32"/>
        <v>236.74135081826898</v>
      </c>
      <c r="P52" s="1521">
        <f t="shared" si="32"/>
        <v>1848.7672332300062</v>
      </c>
      <c r="Q52" s="1521">
        <f>+Q27-Q50</f>
        <v>431.83029307823017</v>
      </c>
      <c r="R52" s="1513"/>
      <c r="S52" s="1521">
        <f>+S27-S50</f>
        <v>-5191.6764152140531</v>
      </c>
      <c r="T52" s="559"/>
      <c r="AD52" s="561"/>
      <c r="AE52" s="561"/>
    </row>
    <row r="53" spans="3:31" ht="15" customHeight="1">
      <c r="C53" s="874" t="str">
        <f>IF(Indice_index!$Z$1=1,"Despesa primária","Primary expenditure")</f>
        <v>Despesa primária</v>
      </c>
      <c r="D53" s="786"/>
      <c r="E53" s="786">
        <f t="shared" ref="E53" si="33">E50-E35</f>
        <v>93610.611151340767</v>
      </c>
      <c r="F53" s="786"/>
      <c r="G53" s="786">
        <f t="shared" ref="G53:K53" si="34">G50-G35</f>
        <v>29267.327869449993</v>
      </c>
      <c r="H53" s="786">
        <f t="shared" si="34"/>
        <v>19080.813211429973</v>
      </c>
      <c r="I53" s="786">
        <f t="shared" si="34"/>
        <v>6861.5606998147559</v>
      </c>
      <c r="J53" s="786">
        <f t="shared" si="34"/>
        <v>18588.807466380003</v>
      </c>
      <c r="K53" s="786">
        <f t="shared" si="34"/>
        <v>51107.288484544741</v>
      </c>
      <c r="L53" s="786"/>
      <c r="M53" s="786">
        <f t="shared" ref="M53:Q53" si="35">M50-M35</f>
        <v>30037.824915280013</v>
      </c>
      <c r="N53" s="786">
        <f t="shared" si="35"/>
        <v>19489.04948063003</v>
      </c>
      <c r="O53" s="786">
        <f t="shared" si="35"/>
        <v>7185.9186949877658</v>
      </c>
      <c r="P53" s="786">
        <f t="shared" si="35"/>
        <v>17477.751241109996</v>
      </c>
      <c r="Q53" s="786">
        <f t="shared" si="35"/>
        <v>51512.657402247802</v>
      </c>
      <c r="R53" s="786"/>
      <c r="S53" s="786">
        <f t="shared" ref="S53" si="36">S50-S35</f>
        <v>99776.045039699849</v>
      </c>
      <c r="T53" s="562"/>
      <c r="X53" s="17"/>
      <c r="Y53" s="17"/>
      <c r="Z53" s="17"/>
      <c r="AA53" s="17"/>
      <c r="AB53" s="17"/>
      <c r="AC53" s="17"/>
      <c r="AD53" s="557"/>
      <c r="AE53" s="557"/>
    </row>
    <row r="54" spans="3:31" ht="15" customHeight="1">
      <c r="C54" s="874" t="str">
        <f>IF(Indice_index!$Z$1=1," Saldo corrente","Current balance")</f>
        <v xml:space="preserve"> Saldo corrente</v>
      </c>
      <c r="D54" s="786"/>
      <c r="E54" s="786">
        <f t="shared" ref="E54" si="37">E9-E29</f>
        <v>-2447.8649637054041</v>
      </c>
      <c r="F54" s="786"/>
      <c r="G54" s="786">
        <f t="shared" ref="G54:K54" si="38">G9-G29</f>
        <v>-5771.1594274899944</v>
      </c>
      <c r="H54" s="786">
        <f t="shared" si="38"/>
        <v>1309.3061720700134</v>
      </c>
      <c r="I54" s="786">
        <f t="shared" si="38"/>
        <v>743.48292140305239</v>
      </c>
      <c r="J54" s="786">
        <f t="shared" si="38"/>
        <v>-429.44716942000014</v>
      </c>
      <c r="K54" s="786">
        <f t="shared" si="38"/>
        <v>-4147.8175034369415</v>
      </c>
      <c r="L54" s="786"/>
      <c r="M54" s="786">
        <f>M9-M29</f>
        <v>-1547.1190182200189</v>
      </c>
      <c r="N54" s="786">
        <f t="shared" ref="N54:Q54" si="39">N9-N29</f>
        <v>1466.8685278099692</v>
      </c>
      <c r="O54" s="786">
        <f t="shared" si="39"/>
        <v>1060.4794364504523</v>
      </c>
      <c r="P54" s="786">
        <f t="shared" si="39"/>
        <v>1861.1428556000064</v>
      </c>
      <c r="Q54" s="786">
        <f t="shared" si="39"/>
        <v>2841.3718016404091</v>
      </c>
      <c r="R54" s="786"/>
      <c r="S54" s="786">
        <f t="shared" ref="S54" si="40">S9-S29</f>
        <v>1587.5003282378311</v>
      </c>
      <c r="T54" s="562"/>
      <c r="X54" s="17"/>
      <c r="Y54" s="17"/>
      <c r="Z54" s="17"/>
      <c r="AA54" s="17"/>
      <c r="AB54" s="17"/>
      <c r="AC54" s="17"/>
      <c r="AD54" s="557"/>
      <c r="AE54" s="557"/>
    </row>
    <row r="55" spans="3:31" ht="15" customHeight="1">
      <c r="C55" s="874" t="str">
        <f>IF(Indice_index!$Z$1=1,"Saldo de capital","Capital balance")</f>
        <v>Saldo de capital</v>
      </c>
      <c r="D55" s="180"/>
      <c r="E55" s="768">
        <f t="shared" ref="E55" si="41">E19-E42</f>
        <v>-6195.3016458754337</v>
      </c>
      <c r="F55" s="768"/>
      <c r="G55" s="768">
        <f t="shared" ref="G55:K55" si="42">G19-G42</f>
        <v>-1804.3642654299997</v>
      </c>
      <c r="H55" s="768">
        <f t="shared" si="42"/>
        <v>-448.47469844999955</v>
      </c>
      <c r="I55" s="768">
        <f t="shared" si="42"/>
        <v>-740.25536137914207</v>
      </c>
      <c r="J55" s="768">
        <f t="shared" si="42"/>
        <v>-16.21418486</v>
      </c>
      <c r="K55" s="768">
        <f t="shared" si="42"/>
        <v>-3009.3085101191409</v>
      </c>
      <c r="L55" s="768"/>
      <c r="M55" s="768">
        <f>M19-M42</f>
        <v>-1044.3400267299996</v>
      </c>
      <c r="N55" s="768">
        <f t="shared" ref="N55:Q55" si="43">N19-N42</f>
        <v>-529.08777383000029</v>
      </c>
      <c r="O55" s="768">
        <f t="shared" si="43"/>
        <v>-823.73808563218302</v>
      </c>
      <c r="P55" s="768">
        <f t="shared" si="43"/>
        <v>-12.37562237</v>
      </c>
      <c r="Q55" s="768">
        <f t="shared" si="43"/>
        <v>-2409.541508562183</v>
      </c>
      <c r="R55" s="768"/>
      <c r="S55" s="768">
        <f t="shared" ref="S55" si="44">S19-S42</f>
        <v>-6779.176743451877</v>
      </c>
      <c r="T55" s="562"/>
      <c r="X55" s="17"/>
      <c r="Y55" s="17"/>
      <c r="Z55" s="17"/>
      <c r="AA55" s="17"/>
      <c r="AB55" s="17"/>
      <c r="AC55" s="17"/>
      <c r="AD55" s="557"/>
      <c r="AE55" s="557"/>
    </row>
    <row r="56" spans="3:31" s="20" customFormat="1" ht="15" customHeight="1">
      <c r="C56" s="897" t="str">
        <f>IF(Indice_index!$Z$1=1,"Saldo primário","Primary balance")</f>
        <v>Saldo primário</v>
      </c>
      <c r="D56" s="1526"/>
      <c r="E56" s="1527">
        <f t="shared" ref="E56" si="45">E27-E53</f>
        <v>-1692.1867397621536</v>
      </c>
      <c r="F56" s="1527"/>
      <c r="G56" s="1527">
        <f t="shared" ref="G56:K56" si="46">G27-G53</f>
        <v>-3589.2071976799925</v>
      </c>
      <c r="H56" s="1527">
        <f t="shared" si="46"/>
        <v>1135.8919788000167</v>
      </c>
      <c r="I56" s="1527">
        <f t="shared" si="46"/>
        <v>99.826349354034392</v>
      </c>
      <c r="J56" s="1527">
        <f t="shared" si="46"/>
        <v>-442.14303745000143</v>
      </c>
      <c r="K56" s="1527">
        <f t="shared" si="46"/>
        <v>-2929.2460374859656</v>
      </c>
      <c r="L56" s="1527"/>
      <c r="M56" s="1527">
        <f>M27-M53</f>
        <v>1172.4213007899816</v>
      </c>
      <c r="N56" s="1527">
        <f t="shared" ref="N56:Q56" si="47">N27-N53</f>
        <v>1071.3978493999675</v>
      </c>
      <c r="O56" s="1527">
        <f t="shared" si="47"/>
        <v>348.74863707565692</v>
      </c>
      <c r="P56" s="1527">
        <f t="shared" si="47"/>
        <v>1852.8478561000047</v>
      </c>
      <c r="Q56" s="1527">
        <f t="shared" si="47"/>
        <v>4396.6786652556184</v>
      </c>
      <c r="R56" s="1527"/>
      <c r="S56" s="1527">
        <f t="shared" ref="S56" si="48">S27-S53</f>
        <v>1619.9910423086985</v>
      </c>
      <c r="T56" s="562"/>
      <c r="U56" s="569"/>
      <c r="V56" s="17"/>
      <c r="W56" s="17"/>
      <c r="X56" s="17"/>
      <c r="Y56" s="17"/>
      <c r="Z56" s="17"/>
      <c r="AA56" s="17"/>
      <c r="AB56" s="17"/>
      <c r="AC56" s="17"/>
      <c r="AD56" s="557"/>
      <c r="AE56" s="557"/>
    </row>
    <row r="57" spans="3:31" ht="4.5" customHeight="1">
      <c r="C57" s="1650"/>
      <c r="D57" s="1650"/>
      <c r="E57" s="1650"/>
      <c r="F57" s="1650"/>
      <c r="G57" s="1650"/>
      <c r="H57" s="1650"/>
      <c r="I57" s="1650"/>
      <c r="J57" s="1650"/>
      <c r="K57" s="1650"/>
      <c r="L57" s="1650"/>
      <c r="M57" s="1650"/>
      <c r="N57" s="1650"/>
      <c r="O57" s="1650"/>
      <c r="P57" s="1650"/>
      <c r="Q57" s="1650"/>
      <c r="R57" s="1528"/>
      <c r="S57" s="1528"/>
      <c r="X57" s="17"/>
      <c r="Y57" s="17"/>
      <c r="Z57" s="17"/>
      <c r="AA57" s="17"/>
      <c r="AB57" s="17"/>
      <c r="AC57" s="17"/>
      <c r="AD57" s="557"/>
      <c r="AE57" s="557"/>
    </row>
    <row r="58" spans="3:31" ht="15" customHeight="1">
      <c r="C58" s="1529" t="str">
        <f>IF(Indice_index!$Z$1=1,"Notas:","Notes:")</f>
        <v>Notas:</v>
      </c>
      <c r="D58" s="1514"/>
      <c r="E58" s="1530"/>
      <c r="F58" s="1514"/>
      <c r="G58" s="1514"/>
      <c r="H58" s="1514"/>
      <c r="I58" s="1514"/>
      <c r="J58" s="1514"/>
      <c r="K58" s="1514"/>
      <c r="L58" s="1531"/>
      <c r="M58" s="1514"/>
      <c r="N58" s="1514"/>
      <c r="O58" s="1514"/>
      <c r="P58" s="1514"/>
      <c r="Q58" s="1532"/>
      <c r="R58" s="1514"/>
      <c r="S58" s="1530"/>
      <c r="X58" s="17"/>
      <c r="Y58" s="17"/>
      <c r="Z58" s="17"/>
      <c r="AA58" s="17"/>
      <c r="AB58" s="17"/>
      <c r="AC58" s="17"/>
      <c r="AD58" s="557"/>
      <c r="AE58" s="557"/>
    </row>
    <row r="59" spans="3:31" ht="15">
      <c r="C59" s="1650" t="str">
        <f>IF(Indice_index!$Z$1=1,"A execução da Administração Regional e Local acima identificada difere da soma da execução dos setores (14 - Adm R e 15 - Adm Loc) devido à inclusão de uma estimativa das freguesias na conta consolidada.","The Regional and Local Government data identified in the table above differs from the sum of each sector (14 - Adm R and 15 - Adm Loc) due to the inclusion in the consolidated account of a budget execution estimate for parishes.")</f>
        <v>A execução da Administração Regional e Local acima identificada difere da soma da execução dos setores (14 - Adm R e 15 - Adm Loc) devido à inclusão de uma estimativa das freguesias na conta consolidada.</v>
      </c>
      <c r="D59" s="1650"/>
      <c r="E59" s="1650"/>
      <c r="F59" s="1650"/>
      <c r="G59" s="1650"/>
      <c r="H59" s="1650"/>
      <c r="I59" s="1650"/>
      <c r="J59" s="1650"/>
      <c r="K59" s="1650"/>
      <c r="L59" s="1650"/>
      <c r="M59" s="1650"/>
      <c r="N59" s="1650"/>
      <c r="O59" s="1650"/>
      <c r="P59" s="1650"/>
      <c r="Q59" s="1650"/>
      <c r="R59" s="1650"/>
      <c r="S59" s="1650"/>
      <c r="U59" s="570"/>
      <c r="X59" s="17"/>
      <c r="Y59" s="17"/>
      <c r="Z59" s="17"/>
      <c r="AA59" s="17"/>
      <c r="AB59" s="17"/>
      <c r="AC59" s="17"/>
      <c r="AD59" s="557"/>
      <c r="AE59" s="557"/>
    </row>
    <row r="60" spans="3:31" ht="14.1" hidden="1" customHeight="1">
      <c r="C60" s="1651"/>
      <c r="D60" s="1651"/>
      <c r="E60" s="1651"/>
      <c r="F60" s="1651"/>
      <c r="G60" s="1651"/>
      <c r="H60" s="1651"/>
      <c r="I60" s="1651"/>
      <c r="J60" s="1651"/>
      <c r="K60" s="1651"/>
      <c r="L60" s="1651"/>
      <c r="M60" s="1651"/>
      <c r="N60" s="1651"/>
      <c r="O60" s="1651"/>
      <c r="P60" s="1651"/>
      <c r="Q60" s="1651"/>
      <c r="R60" s="1533"/>
      <c r="S60" s="1533"/>
      <c r="X60" s="17"/>
      <c r="Y60" s="17"/>
      <c r="Z60" s="17"/>
      <c r="AA60" s="17"/>
      <c r="AB60" s="17"/>
      <c r="AC60" s="17"/>
      <c r="AD60" s="557"/>
      <c r="AE60" s="557"/>
    </row>
    <row r="61" spans="3:31" s="20" customFormat="1" ht="15" customHeight="1">
      <c r="C61" s="1534" t="str">
        <f>IF(Indice_index!$Z$1=1,"Fonte: Direção-Geral do Orçamento","Source: Budget General Directorate")</f>
        <v>Fonte: Direção-Geral do Orçamento</v>
      </c>
      <c r="D61" s="836"/>
      <c r="E61" s="836"/>
      <c r="F61" s="836"/>
      <c r="G61" s="836"/>
      <c r="H61" s="836"/>
      <c r="I61" s="836"/>
      <c r="J61" s="836"/>
      <c r="K61" s="836"/>
      <c r="L61" s="836"/>
      <c r="M61" s="836"/>
      <c r="N61" s="836"/>
      <c r="O61" s="836"/>
      <c r="P61" s="836"/>
      <c r="Q61" s="836"/>
      <c r="R61" s="836"/>
      <c r="S61" s="836"/>
      <c r="W61" s="571"/>
      <c r="X61" s="572"/>
      <c r="Y61" s="572"/>
      <c r="Z61" s="572"/>
      <c r="AA61" s="572"/>
      <c r="AB61" s="572"/>
      <c r="AC61" s="572"/>
      <c r="AD61" s="572"/>
      <c r="AE61" s="572"/>
    </row>
    <row r="62" spans="3:31" s="20" customFormat="1" ht="15" customHeight="1">
      <c r="C62" s="1534"/>
      <c r="D62" s="836"/>
      <c r="E62" s="836"/>
      <c r="F62" s="836"/>
      <c r="G62" s="836"/>
      <c r="H62" s="836"/>
      <c r="I62" s="836"/>
      <c r="J62" s="836"/>
      <c r="K62" s="836"/>
      <c r="L62" s="836"/>
      <c r="M62" s="836"/>
      <c r="N62" s="836"/>
      <c r="O62" s="836"/>
      <c r="P62" s="836"/>
      <c r="Q62" s="836"/>
      <c r="R62" s="836"/>
      <c r="S62" s="836"/>
      <c r="W62" s="571"/>
      <c r="X62" s="572"/>
      <c r="Y62" s="572"/>
      <c r="Z62" s="572"/>
      <c r="AA62" s="572"/>
      <c r="AB62" s="572"/>
      <c r="AC62" s="572"/>
      <c r="AD62" s="572"/>
      <c r="AE62" s="572"/>
    </row>
    <row r="63" spans="3:31" s="20" customFormat="1" ht="15" customHeight="1">
      <c r="C63" s="1534"/>
      <c r="D63" s="836"/>
      <c r="E63" s="836"/>
      <c r="F63" s="836"/>
      <c r="G63" s="836"/>
      <c r="H63" s="836"/>
      <c r="I63" s="836"/>
      <c r="J63" s="836"/>
      <c r="K63" s="836"/>
      <c r="L63" s="836"/>
      <c r="M63" s="836"/>
      <c r="N63" s="836"/>
      <c r="O63" s="836"/>
      <c r="P63" s="836"/>
      <c r="Q63" s="836"/>
      <c r="R63" s="836"/>
      <c r="S63" s="836"/>
      <c r="W63" s="571"/>
      <c r="X63" s="572"/>
      <c r="Y63" s="572"/>
      <c r="Z63" s="572"/>
      <c r="AA63" s="572"/>
      <c r="AB63" s="572"/>
      <c r="AC63" s="572"/>
      <c r="AD63" s="572"/>
      <c r="AE63" s="572"/>
    </row>
    <row r="64" spans="3:31" s="573" customFormat="1" ht="15" customHeight="1">
      <c r="C64" s="703" t="str">
        <f>+'5 - Conta AC + SS'!C5</f>
        <v>Período: janeiro a julho</v>
      </c>
      <c r="D64" s="1535"/>
      <c r="E64" s="1535"/>
      <c r="F64" s="1535"/>
      <c r="G64" s="1535"/>
      <c r="H64" s="1535"/>
      <c r="I64" s="1535"/>
      <c r="J64" s="1535"/>
      <c r="K64" s="1535"/>
      <c r="L64" s="1535"/>
      <c r="M64" s="1535"/>
      <c r="N64" s="1535"/>
      <c r="O64" s="1535"/>
      <c r="P64" s="1535"/>
      <c r="Q64" s="1535"/>
      <c r="R64" s="836"/>
      <c r="S64" s="836"/>
      <c r="W64" s="574"/>
      <c r="X64" s="575"/>
      <c r="Y64" s="575"/>
      <c r="Z64" s="575"/>
      <c r="AA64" s="575"/>
      <c r="AB64" s="575"/>
      <c r="AC64" s="575"/>
      <c r="AD64" s="575"/>
      <c r="AE64" s="575"/>
    </row>
    <row r="65" spans="3:32" ht="20.45" customHeight="1">
      <c r="C65" s="1536"/>
      <c r="D65" s="1536"/>
      <c r="E65" s="1536"/>
      <c r="F65" s="1536"/>
      <c r="G65" s="1652" t="str">
        <f>IF(Indice_index!$Z$1=1,"Variação Homóloga Absoluta","YOY Variation")</f>
        <v>Variação Homóloga Absoluta</v>
      </c>
      <c r="H65" s="1652"/>
      <c r="I65" s="1652"/>
      <c r="J65" s="1652"/>
      <c r="K65" s="1652"/>
      <c r="L65" s="1537"/>
      <c r="M65" s="1652" t="str">
        <f>IF(Indice_index!$Z$1=1,"Variação Homóloga Relativa (%)","Relative YOY Variation")</f>
        <v>Variação Homóloga Relativa (%)</v>
      </c>
      <c r="N65" s="1652"/>
      <c r="O65" s="1652"/>
      <c r="P65" s="1652"/>
      <c r="Q65" s="1652"/>
      <c r="R65" s="836"/>
      <c r="S65" s="836"/>
      <c r="U65" s="556"/>
      <c r="V65" s="557"/>
      <c r="W65" s="557"/>
      <c r="X65" s="557"/>
      <c r="Y65" s="557"/>
      <c r="Z65" s="557"/>
      <c r="AA65" s="557"/>
      <c r="AB65" s="557"/>
      <c r="AC65" s="557"/>
      <c r="AD65" s="17"/>
      <c r="AE65" s="17"/>
    </row>
    <row r="66" spans="3:32" ht="36" customHeight="1">
      <c r="C66" s="1538"/>
      <c r="D66" s="1538"/>
      <c r="E66" s="1538"/>
      <c r="F66" s="1538"/>
      <c r="G66" s="1539" t="str">
        <f>IF(Indice_index!$Z$1=1,"Estado","State")</f>
        <v>Estado</v>
      </c>
      <c r="H66" s="1539" t="str">
        <f>IF(Indice_index!$Z$1=1,"Serviços e Fundos Autónomos","Autonomous Funds and Services")</f>
        <v>Serviços e Fundos Autónomos</v>
      </c>
      <c r="I66" s="1539" t="str">
        <f>IF(Indice_index!$Z$1=1,"Adm. Local e Regional","Local and Regional Government")</f>
        <v>Adm. Local e Regional</v>
      </c>
      <c r="J66" s="1539" t="str">
        <f>IF(Indice_index!$Z$1=1,"Segurança Social","Social Security")</f>
        <v>Segurança Social</v>
      </c>
      <c r="K66" s="1539" t="str">
        <f>IF(Indice_index!$Z$1=1,"Adm. Públicas","General Government")</f>
        <v>Adm. Públicas</v>
      </c>
      <c r="L66" s="1540"/>
      <c r="M66" s="1539" t="str">
        <f>IF(Indice_index!$Z$1=1,"Estado","State")</f>
        <v>Estado</v>
      </c>
      <c r="N66" s="1539" t="str">
        <f>IF(Indice_index!$Z$1=1,"Serviços e Fundos Autónomos","Autonomous Funds and Services")</f>
        <v>Serviços e Fundos Autónomos</v>
      </c>
      <c r="O66" s="1539" t="str">
        <f>IF(Indice_index!$Z$1=1,"Adm. Local e Regional","Local and Regional Government")</f>
        <v>Adm. Local e Regional</v>
      </c>
      <c r="P66" s="1539" t="str">
        <f>IF(Indice_index!$Z$1=1,"Segurança Social","Social Security")</f>
        <v>Segurança Social</v>
      </c>
      <c r="Q66" s="1539" t="str">
        <f>IF(Indice_index!$Z$1=1,"Adm. Públicas","General Government")</f>
        <v>Adm. Públicas</v>
      </c>
      <c r="R66" s="836"/>
      <c r="S66" s="836"/>
      <c r="U66" s="556"/>
      <c r="V66" s="557"/>
      <c r="W66" s="557"/>
      <c r="X66" s="557"/>
      <c r="Y66" s="557"/>
      <c r="Z66" s="557"/>
      <c r="AA66" s="557"/>
      <c r="AB66" s="557"/>
      <c r="AC66" s="557"/>
      <c r="AD66" s="17"/>
      <c r="AE66" s="17"/>
    </row>
    <row r="67" spans="3:32" s="554" customFormat="1" ht="15" customHeight="1">
      <c r="C67" s="319" t="str">
        <f>IF(Indice_index!$Z$1=1,"Receita corrente","Current revenue")</f>
        <v>Receita corrente</v>
      </c>
      <c r="D67" s="319"/>
      <c r="E67" s="319"/>
      <c r="F67" s="319"/>
      <c r="G67" s="1541">
        <f t="shared" ref="G67:G83" si="49">M9-G9</f>
        <v>5317.2745457099918</v>
      </c>
      <c r="H67" s="1541">
        <f t="shared" ref="H67:H83" si="50">N9-H9</f>
        <v>806.28262051001002</v>
      </c>
      <c r="I67" s="1541">
        <f t="shared" ref="I67:I83" si="51">O9-I9</f>
        <v>711.46827964046588</v>
      </c>
      <c r="J67" s="1541">
        <f t="shared" ref="J67:J83" si="52">P9-J9</f>
        <v>1184.0681052100008</v>
      </c>
      <c r="K67" s="1541">
        <f t="shared" ref="K67:K83" si="53">Q9-K9</f>
        <v>7506.5032885304754</v>
      </c>
      <c r="L67" s="1541"/>
      <c r="M67" s="1542">
        <f t="shared" ref="M67:M75" si="54">IF(IFERROR((M9-G9)/G9*100,"")&gt;500,"-",IFERROR((M9-G9)/G9*100,""))</f>
        <v>20.759157587229506</v>
      </c>
      <c r="N67" s="1542">
        <f t="shared" ref="N67:N75" si="55">IF(IFERROR((N9-H9)/H9*100,"")&gt;500,"-",IFERROR((N9-H9)/H9*100,""))</f>
        <v>4.3936660925903555</v>
      </c>
      <c r="O67" s="1542">
        <f t="shared" ref="O67:O75" si="56">IF(IFERROR((O9-I9)/I9*100,"")&gt;500,"-",IFERROR((O9-I9)/I9*100,""))</f>
        <v>11.647384142161117</v>
      </c>
      <c r="P67" s="1542">
        <f t="shared" ref="P67:P75" si="57">IF(IFERROR((P9-J9)/J9*100,"")&gt;500,"-",IFERROR((P9-J9)/J9*100,""))</f>
        <v>6.5251565152446123</v>
      </c>
      <c r="Q67" s="1542">
        <f t="shared" ref="Q67:Q75" si="58">IF(IFERROR((Q9-K9)/K9*100,"")&gt;500,"-",IFERROR((Q9-K9)/K9*100,""))</f>
        <v>15.996275470306603</v>
      </c>
      <c r="R67" s="836"/>
      <c r="S67" s="836"/>
      <c r="T67" s="576"/>
      <c r="U67" s="560"/>
      <c r="V67" s="561"/>
      <c r="W67" s="561"/>
      <c r="X67" s="561"/>
      <c r="Y67" s="561"/>
      <c r="Z67" s="561"/>
      <c r="AA67" s="561"/>
      <c r="AB67" s="561"/>
      <c r="AC67" s="561"/>
      <c r="AD67" s="576"/>
      <c r="AE67" s="576"/>
      <c r="AF67" s="576"/>
    </row>
    <row r="68" spans="3:32" ht="15" customHeight="1">
      <c r="C68" s="830" t="str">
        <f>IF(Indice_index!$Z$1=1,"Receita Fiscal","Tax")</f>
        <v>Receita Fiscal</v>
      </c>
      <c r="D68" s="836"/>
      <c r="E68" s="830"/>
      <c r="F68" s="836"/>
      <c r="G68" s="1516">
        <f t="shared" si="49"/>
        <v>4998.9137088299976</v>
      </c>
      <c r="H68" s="1516">
        <f t="shared" si="50"/>
        <v>37.969818950000104</v>
      </c>
      <c r="I68" s="1516">
        <f t="shared" si="51"/>
        <v>444.76786236049566</v>
      </c>
      <c r="J68" s="1516">
        <f t="shared" si="52"/>
        <v>10.903290289999987</v>
      </c>
      <c r="K68" s="1516">
        <f t="shared" si="53"/>
        <v>5492.5546804304977</v>
      </c>
      <c r="L68" s="1516"/>
      <c r="M68" s="1516">
        <f t="shared" si="54"/>
        <v>21.586921034654544</v>
      </c>
      <c r="N68" s="1516">
        <f t="shared" si="55"/>
        <v>12.257262578097263</v>
      </c>
      <c r="O68" s="1516">
        <f t="shared" si="56"/>
        <v>18.310922737307394</v>
      </c>
      <c r="P68" s="1516">
        <f t="shared" si="57"/>
        <v>8.9432052718370567</v>
      </c>
      <c r="Q68" s="1516">
        <f t="shared" si="58"/>
        <v>21.110751374436092</v>
      </c>
      <c r="R68" s="836"/>
      <c r="S68" s="836"/>
      <c r="T68" s="577"/>
      <c r="U68" s="564"/>
      <c r="V68" s="557"/>
      <c r="W68" s="557"/>
      <c r="X68" s="557"/>
      <c r="Y68" s="557"/>
      <c r="Z68" s="557"/>
      <c r="AA68" s="557"/>
      <c r="AB68" s="557"/>
      <c r="AC68" s="557"/>
      <c r="AD68" s="577"/>
      <c r="AE68" s="577"/>
      <c r="AF68" s="577"/>
    </row>
    <row r="69" spans="3:32" ht="15" customHeight="1">
      <c r="C69" s="874" t="str">
        <f>IF(Indice_index!$Z$1=1,"Impostos diretos","Direct taxes")</f>
        <v>Impostos diretos</v>
      </c>
      <c r="D69" s="836"/>
      <c r="E69" s="874"/>
      <c r="F69" s="836"/>
      <c r="G69" s="1516">
        <f t="shared" si="49"/>
        <v>2471.0048117799997</v>
      </c>
      <c r="H69" s="1516">
        <f t="shared" si="50"/>
        <v>0</v>
      </c>
      <c r="I69" s="1516">
        <f t="shared" si="51"/>
        <v>404.29524255845809</v>
      </c>
      <c r="J69" s="1516">
        <f t="shared" si="52"/>
        <v>0</v>
      </c>
      <c r="K69" s="1516">
        <f t="shared" si="53"/>
        <v>2875.3000543384587</v>
      </c>
      <c r="L69" s="1516"/>
      <c r="M69" s="1516">
        <f t="shared" si="54"/>
        <v>26.011572848660681</v>
      </c>
      <c r="N69" s="1516" t="str">
        <f t="shared" si="55"/>
        <v>-</v>
      </c>
      <c r="O69" s="1516">
        <f t="shared" si="56"/>
        <v>22.101494103011412</v>
      </c>
      <c r="P69" s="1516" t="str">
        <f t="shared" si="57"/>
        <v>-</v>
      </c>
      <c r="Q69" s="1516">
        <f t="shared" si="58"/>
        <v>25.380216359766123</v>
      </c>
      <c r="R69" s="836"/>
      <c r="S69" s="836"/>
      <c r="T69" s="577"/>
      <c r="U69" s="564"/>
      <c r="V69" s="557"/>
      <c r="W69" s="557"/>
      <c r="X69" s="557"/>
      <c r="Y69" s="557"/>
      <c r="Z69" s="557"/>
      <c r="AA69" s="557"/>
      <c r="AB69" s="557"/>
      <c r="AC69" s="557"/>
      <c r="AD69" s="577"/>
      <c r="AE69" s="577"/>
      <c r="AF69" s="577"/>
    </row>
    <row r="70" spans="3:32" ht="15" customHeight="1">
      <c r="C70" s="874" t="str">
        <f>IF(Indice_index!$Z$1=1,"Impostos indiretos","Indirect taxes")</f>
        <v>Impostos indiretos</v>
      </c>
      <c r="D70" s="836"/>
      <c r="E70" s="874"/>
      <c r="F70" s="836"/>
      <c r="G70" s="1516">
        <f t="shared" si="49"/>
        <v>2527.9088970499979</v>
      </c>
      <c r="H70" s="1516">
        <f t="shared" si="50"/>
        <v>37.969818950000104</v>
      </c>
      <c r="I70" s="1516">
        <f t="shared" si="51"/>
        <v>40.472619802037798</v>
      </c>
      <c r="J70" s="1516">
        <f t="shared" si="52"/>
        <v>10.903290289999987</v>
      </c>
      <c r="K70" s="1516">
        <f t="shared" si="53"/>
        <v>2617.254626092039</v>
      </c>
      <c r="L70" s="1516"/>
      <c r="M70" s="1516">
        <f t="shared" si="54"/>
        <v>18.50930296020034</v>
      </c>
      <c r="N70" s="1516">
        <f t="shared" si="55"/>
        <v>12.257262578097263</v>
      </c>
      <c r="O70" s="1516">
        <f t="shared" si="56"/>
        <v>6.7487083520307163</v>
      </c>
      <c r="P70" s="1516">
        <f t="shared" si="57"/>
        <v>8.9432052718370567</v>
      </c>
      <c r="Q70" s="1516">
        <f t="shared" si="58"/>
        <v>17.817901786159609</v>
      </c>
      <c r="R70" s="836"/>
      <c r="S70" s="836"/>
      <c r="T70" s="577"/>
      <c r="U70" s="564"/>
      <c r="V70" s="557"/>
      <c r="W70" s="557"/>
      <c r="X70" s="557"/>
      <c r="Y70" s="557"/>
      <c r="Z70" s="557"/>
      <c r="AA70" s="557"/>
      <c r="AB70" s="557"/>
      <c r="AC70" s="557"/>
      <c r="AD70" s="577"/>
      <c r="AE70" s="577"/>
      <c r="AF70" s="577"/>
    </row>
    <row r="71" spans="3:32" ht="15" customHeight="1">
      <c r="C71" s="873" t="str">
        <f>IF(Indice_index!$Z$1=1,"Contribuições de Segurança Social","Social security contributions")</f>
        <v>Contribuições de Segurança Social</v>
      </c>
      <c r="D71" s="836"/>
      <c r="E71" s="873"/>
      <c r="F71" s="836"/>
      <c r="G71" s="1516">
        <f t="shared" si="49"/>
        <v>1.9051979099999983</v>
      </c>
      <c r="H71" s="1516">
        <f t="shared" si="50"/>
        <v>-83.861377320000429</v>
      </c>
      <c r="I71" s="1516">
        <f t="shared" si="51"/>
        <v>0</v>
      </c>
      <c r="J71" s="1516">
        <f t="shared" si="52"/>
        <v>1373.8440078799977</v>
      </c>
      <c r="K71" s="1516">
        <f t="shared" si="53"/>
        <v>1291.8878284699967</v>
      </c>
      <c r="L71" s="1516"/>
      <c r="M71" s="1516">
        <f t="shared" si="54"/>
        <v>5.1280999521695891</v>
      </c>
      <c r="N71" s="1516">
        <f t="shared" si="55"/>
        <v>-3.5297129271460843</v>
      </c>
      <c r="O71" s="1516" t="str">
        <f t="shared" si="56"/>
        <v>-</v>
      </c>
      <c r="P71" s="1516">
        <f t="shared" si="57"/>
        <v>12.491289609785126</v>
      </c>
      <c r="Q71" s="1516">
        <f t="shared" si="58"/>
        <v>9.63273172443348</v>
      </c>
      <c r="R71" s="836"/>
      <c r="S71" s="836"/>
      <c r="T71" s="577"/>
      <c r="U71" s="564"/>
      <c r="V71" s="557"/>
      <c r="W71" s="557"/>
      <c r="X71" s="557"/>
      <c r="Y71" s="557"/>
      <c r="Z71" s="557"/>
      <c r="AA71" s="557"/>
      <c r="AB71" s="557"/>
      <c r="AC71" s="557"/>
      <c r="AD71" s="577"/>
      <c r="AE71" s="577"/>
      <c r="AF71" s="577"/>
    </row>
    <row r="72" spans="3:32" ht="15" customHeight="1">
      <c r="C72" s="873" t="str">
        <f>IF(Indice_index!$Z$1=1,"Transferências Correntes","Current transfers")</f>
        <v>Transferências Correntes</v>
      </c>
      <c r="D72" s="836"/>
      <c r="E72" s="873"/>
      <c r="F72" s="836"/>
      <c r="G72" s="1516">
        <f t="shared" si="49"/>
        <v>-148.17503804000012</v>
      </c>
      <c r="H72" s="1516">
        <f t="shared" si="50"/>
        <v>336.83618306000062</v>
      </c>
      <c r="I72" s="1516">
        <f t="shared" si="51"/>
        <v>222.41002631173933</v>
      </c>
      <c r="J72" s="1516">
        <f t="shared" si="52"/>
        <v>-110.28168493999874</v>
      </c>
      <c r="K72" s="1516">
        <f t="shared" si="53"/>
        <v>-457.47409879826409</v>
      </c>
      <c r="L72" s="1516"/>
      <c r="M72" s="1516">
        <f t="shared" si="54"/>
        <v>-21.189472056016541</v>
      </c>
      <c r="N72" s="1516">
        <f t="shared" si="55"/>
        <v>2.602496216346033</v>
      </c>
      <c r="O72" s="1516">
        <f t="shared" si="56"/>
        <v>8.4245685406910642</v>
      </c>
      <c r="P72" s="1516">
        <f t="shared" si="57"/>
        <v>-1.7203966298886142</v>
      </c>
      <c r="Q72" s="1516">
        <f t="shared" si="58"/>
        <v>-24.289910330464856</v>
      </c>
      <c r="R72" s="836"/>
      <c r="S72" s="836"/>
      <c r="T72" s="577"/>
      <c r="U72" s="564"/>
      <c r="V72" s="557"/>
      <c r="W72" s="557"/>
      <c r="X72" s="557"/>
      <c r="Y72" s="557"/>
      <c r="Z72" s="557"/>
      <c r="AA72" s="557"/>
      <c r="AB72" s="557"/>
      <c r="AC72" s="557"/>
      <c r="AD72" s="577"/>
      <c r="AE72" s="577"/>
      <c r="AF72" s="577"/>
    </row>
    <row r="73" spans="3:32" ht="15" customHeight="1">
      <c r="C73" s="1515" t="str">
        <f>IF(Indice_index!$Z$1=1,"Administrações Públicas","General Government subsectors")</f>
        <v>Administrações Públicas</v>
      </c>
      <c r="D73" s="836"/>
      <c r="E73" s="873"/>
      <c r="F73" s="836"/>
      <c r="G73" s="1516">
        <f t="shared" si="49"/>
        <v>-5.0858343800000512</v>
      </c>
      <c r="H73" s="1516">
        <f t="shared" si="50"/>
        <v>540.53076274000159</v>
      </c>
      <c r="I73" s="1516">
        <f t="shared" si="51"/>
        <v>180.53404372000387</v>
      </c>
      <c r="J73" s="1516">
        <f t="shared" si="52"/>
        <v>42.284613110000464</v>
      </c>
      <c r="K73" s="1516">
        <f t="shared" si="53"/>
        <v>0</v>
      </c>
      <c r="L73" s="1516"/>
      <c r="M73" s="1516">
        <f t="shared" si="54"/>
        <v>-1.2987326366849341</v>
      </c>
      <c r="N73" s="1516">
        <f t="shared" si="55"/>
        <v>4.3944703947324273</v>
      </c>
      <c r="O73" s="1516">
        <f t="shared" si="56"/>
        <v>7.1478513148150888</v>
      </c>
      <c r="P73" s="1516">
        <f t="shared" si="57"/>
        <v>0.7562421047043637</v>
      </c>
      <c r="Q73" s="1516" t="str">
        <f t="shared" si="58"/>
        <v>-</v>
      </c>
      <c r="R73" s="836"/>
      <c r="S73" s="836"/>
      <c r="T73" s="577"/>
      <c r="U73" s="564"/>
      <c r="V73" s="557"/>
      <c r="W73" s="557"/>
      <c r="X73" s="557"/>
      <c r="Y73" s="557"/>
      <c r="Z73" s="557"/>
      <c r="AA73" s="557"/>
      <c r="AB73" s="557"/>
      <c r="AC73" s="557"/>
      <c r="AD73" s="577"/>
      <c r="AE73" s="577"/>
      <c r="AF73" s="577"/>
    </row>
    <row r="74" spans="3:32" ht="15" customHeight="1">
      <c r="C74" s="1515" t="str">
        <f>IF(Indice_index!$Z$1=1,"Outras","Others")</f>
        <v>Outras</v>
      </c>
      <c r="D74" s="836"/>
      <c r="E74" s="873"/>
      <c r="F74" s="836"/>
      <c r="G74" s="1516">
        <f t="shared" si="49"/>
        <v>-143.08920366000001</v>
      </c>
      <c r="H74" s="1516">
        <f t="shared" si="50"/>
        <v>-203.69457967999995</v>
      </c>
      <c r="I74" s="1516">
        <f t="shared" si="51"/>
        <v>41.875982591735635</v>
      </c>
      <c r="J74" s="1516">
        <f t="shared" si="52"/>
        <v>-152.56629805</v>
      </c>
      <c r="K74" s="1516">
        <f t="shared" si="53"/>
        <v>-457.47409879826409</v>
      </c>
      <c r="L74" s="1516"/>
      <c r="M74" s="1516">
        <f t="shared" si="54"/>
        <v>-46.504895101658235</v>
      </c>
      <c r="N74" s="1516">
        <f t="shared" si="55"/>
        <v>-31.700303521179034</v>
      </c>
      <c r="O74" s="1516">
        <f t="shared" si="56"/>
        <v>36.634936379830719</v>
      </c>
      <c r="P74" s="1516">
        <f t="shared" si="57"/>
        <v>-18.632105988865632</v>
      </c>
      <c r="Q74" s="1516">
        <f t="shared" si="58"/>
        <v>-24.289910330464856</v>
      </c>
      <c r="R74" s="836"/>
      <c r="S74" s="836"/>
      <c r="T74" s="577"/>
      <c r="U74" s="564"/>
      <c r="V74" s="557"/>
      <c r="W74" s="557"/>
      <c r="X74" s="557"/>
      <c r="Y74" s="557"/>
      <c r="Z74" s="557"/>
      <c r="AA74" s="557"/>
      <c r="AB74" s="557"/>
      <c r="AC74" s="557"/>
      <c r="AD74" s="577"/>
      <c r="AE74" s="577"/>
      <c r="AF74" s="577"/>
    </row>
    <row r="75" spans="3:32" ht="15" customHeight="1">
      <c r="C75" s="873" t="str">
        <f>IF(Indice_index!$Z$1=1,"Outras receitas correntes","Other current revenue")</f>
        <v>Outras receitas correntes</v>
      </c>
      <c r="D75" s="836"/>
      <c r="E75" s="873"/>
      <c r="F75" s="836"/>
      <c r="G75" s="1516">
        <f t="shared" si="49"/>
        <v>457.00013492000039</v>
      </c>
      <c r="H75" s="1516">
        <f t="shared" si="50"/>
        <v>534.22675318000893</v>
      </c>
      <c r="I75" s="1516">
        <f t="shared" si="51"/>
        <v>43.707655268231065</v>
      </c>
      <c r="J75" s="1516">
        <f t="shared" si="52"/>
        <v>-90.397508019999805</v>
      </c>
      <c r="K75" s="1516">
        <f t="shared" si="53"/>
        <v>1109.2718613782399</v>
      </c>
      <c r="L75" s="1516"/>
      <c r="M75" s="1516">
        <f t="shared" si="54"/>
        <v>26.56153364829985</v>
      </c>
      <c r="N75" s="1516">
        <f t="shared" si="55"/>
        <v>19.759445805646607</v>
      </c>
      <c r="O75" s="1516">
        <f t="shared" si="56"/>
        <v>4.2050733946183936</v>
      </c>
      <c r="P75" s="1516">
        <f t="shared" si="57"/>
        <v>-14.683941505544491</v>
      </c>
      <c r="Q75" s="1516">
        <f t="shared" si="58"/>
        <v>19.826071490534087</v>
      </c>
      <c r="R75" s="836"/>
      <c r="S75" s="836"/>
      <c r="T75" s="577"/>
      <c r="U75" s="564"/>
      <c r="V75" s="557"/>
      <c r="W75" s="557"/>
      <c r="X75" s="557"/>
      <c r="Y75" s="557"/>
      <c r="Z75" s="557"/>
      <c r="AA75" s="557"/>
      <c r="AB75" s="557"/>
      <c r="AC75" s="557"/>
      <c r="AD75" s="577"/>
      <c r="AE75" s="577"/>
      <c r="AF75" s="577"/>
    </row>
    <row r="76" spans="3:32" ht="15" customHeight="1">
      <c r="C76" s="830" t="str">
        <f>IF(Indice_index!$Z$1=1,"Diferenças de consolidação","Consolidation differences")</f>
        <v>Diferenças de consolidação</v>
      </c>
      <c r="D76" s="836"/>
      <c r="E76" s="1543"/>
      <c r="F76" s="836"/>
      <c r="G76" s="1516">
        <f t="shared" si="49"/>
        <v>7.6305420899999108</v>
      </c>
      <c r="H76" s="1516">
        <f t="shared" si="50"/>
        <v>-18.888757359999381</v>
      </c>
      <c r="I76" s="1516">
        <f t="shared" si="51"/>
        <v>0.58273570000005748</v>
      </c>
      <c r="J76" s="1516">
        <f t="shared" si="52"/>
        <v>0</v>
      </c>
      <c r="K76" s="1516">
        <f t="shared" si="53"/>
        <v>70.263017049994716</v>
      </c>
      <c r="L76" s="1516"/>
      <c r="M76" s="1544" t="s">
        <v>2</v>
      </c>
      <c r="N76" s="1544" t="s">
        <v>2</v>
      </c>
      <c r="O76" s="1544" t="s">
        <v>2</v>
      </c>
      <c r="P76" s="1544" t="s">
        <v>2</v>
      </c>
      <c r="Q76" s="1544" t="s">
        <v>2</v>
      </c>
      <c r="R76" s="836"/>
      <c r="S76" s="836"/>
      <c r="T76" s="577"/>
      <c r="U76" s="564"/>
      <c r="V76" s="557"/>
      <c r="W76" s="557"/>
      <c r="X76" s="557"/>
      <c r="Y76" s="557"/>
      <c r="Z76" s="557"/>
      <c r="AA76" s="557"/>
      <c r="AB76" s="557"/>
      <c r="AC76" s="557"/>
      <c r="AD76" s="577"/>
      <c r="AE76" s="577"/>
      <c r="AF76" s="577"/>
    </row>
    <row r="77" spans="3:32" s="554" customFormat="1" ht="15" customHeight="1">
      <c r="C77" s="319" t="str">
        <f>IF(Indice_index!$Z$1=1,"Receita de capital","Capital revenue")</f>
        <v>Receita de capital</v>
      </c>
      <c r="D77" s="319"/>
      <c r="E77" s="319"/>
      <c r="F77" s="319"/>
      <c r="G77" s="1541">
        <f t="shared" si="49"/>
        <v>214.85099859000002</v>
      </c>
      <c r="H77" s="1541">
        <f t="shared" si="50"/>
        <v>-462.54048071000011</v>
      </c>
      <c r="I77" s="1541">
        <f t="shared" si="51"/>
        <v>-138.18799674583374</v>
      </c>
      <c r="J77" s="1541">
        <f t="shared" si="52"/>
        <v>-0.13343692999999995</v>
      </c>
      <c r="K77" s="1541">
        <f t="shared" si="53"/>
        <v>224.79033191416602</v>
      </c>
      <c r="L77" s="1541"/>
      <c r="M77" s="1541">
        <f t="shared" ref="M77:Q82" si="59">IF(IFERROR((M19-G19)/G19*100,"")&gt;500,"-",IFERROR((M19-G19)/G19*100,""))</f>
        <v>335.67615717681514</v>
      </c>
      <c r="N77" s="1541">
        <f t="shared" si="59"/>
        <v>-24.792013053768049</v>
      </c>
      <c r="O77" s="1541">
        <f t="shared" si="59"/>
        <v>-16.200393090652749</v>
      </c>
      <c r="P77" s="1541">
        <f t="shared" si="59"/>
        <v>-28.877805679493036</v>
      </c>
      <c r="Q77" s="1541">
        <f t="shared" si="59"/>
        <v>17.962057460794099</v>
      </c>
      <c r="R77" s="319"/>
      <c r="S77" s="836"/>
      <c r="T77" s="576"/>
      <c r="U77" s="560"/>
      <c r="V77" s="561"/>
      <c r="W77" s="561"/>
      <c r="X77" s="561"/>
      <c r="Y77" s="561"/>
      <c r="Z77" s="561"/>
      <c r="AA77" s="561"/>
      <c r="AB77" s="561"/>
      <c r="AC77" s="561"/>
      <c r="AD77" s="576"/>
      <c r="AE77" s="576"/>
      <c r="AF77" s="576"/>
    </row>
    <row r="78" spans="3:32" s="554" customFormat="1" ht="15" customHeight="1">
      <c r="C78" s="873" t="str">
        <f>IF(Indice_index!$Z$1=1,"Venda de bens de investimento","Sale of investment goods")</f>
        <v>Venda de bens de investimento</v>
      </c>
      <c r="D78" s="319"/>
      <c r="E78" s="319"/>
      <c r="F78" s="319"/>
      <c r="G78" s="1516">
        <f t="shared" si="49"/>
        <v>2.9537996599999978</v>
      </c>
      <c r="H78" s="1516">
        <f t="shared" si="50"/>
        <v>-2.9813626499999941</v>
      </c>
      <c r="I78" s="1516">
        <f t="shared" si="51"/>
        <v>-25.537046973033853</v>
      </c>
      <c r="J78" s="1516">
        <f t="shared" si="52"/>
        <v>-0.13765585999999996</v>
      </c>
      <c r="K78" s="1516">
        <f t="shared" si="53"/>
        <v>-25.702265823033855</v>
      </c>
      <c r="L78" s="1541"/>
      <c r="M78" s="1516">
        <f t="shared" si="59"/>
        <v>9.6145194996967298</v>
      </c>
      <c r="N78" s="1516">
        <f t="shared" si="59"/>
        <v>-5.5905399833838318</v>
      </c>
      <c r="O78" s="1516">
        <f t="shared" si="59"/>
        <v>-47.821214576330753</v>
      </c>
      <c r="P78" s="1516">
        <f t="shared" si="59"/>
        <v>-29.790847074520517</v>
      </c>
      <c r="Q78" s="1516">
        <f t="shared" si="59"/>
        <v>-18.636424688710619</v>
      </c>
      <c r="R78" s="319"/>
      <c r="S78" s="836"/>
      <c r="T78" s="576"/>
      <c r="U78" s="560"/>
      <c r="V78" s="561"/>
      <c r="W78" s="561"/>
      <c r="X78" s="561"/>
      <c r="Y78" s="561"/>
      <c r="Z78" s="561"/>
      <c r="AA78" s="561"/>
      <c r="AB78" s="561"/>
      <c r="AC78" s="561"/>
      <c r="AD78" s="576"/>
      <c r="AE78" s="576"/>
      <c r="AF78" s="576"/>
    </row>
    <row r="79" spans="3:32" s="554" customFormat="1" ht="15" customHeight="1">
      <c r="C79" s="830" t="str">
        <f>IF(Indice_index!$Z$1=1,"Transferências de Capital","Capital transfers")</f>
        <v>Transferências de Capital</v>
      </c>
      <c r="D79" s="319"/>
      <c r="E79" s="319"/>
      <c r="F79" s="319"/>
      <c r="G79" s="1516">
        <f t="shared" si="49"/>
        <v>208.55517761999999</v>
      </c>
      <c r="H79" s="1516">
        <f t="shared" si="50"/>
        <v>-463.1876882800002</v>
      </c>
      <c r="I79" s="1516">
        <f t="shared" si="51"/>
        <v>-118.17988542705518</v>
      </c>
      <c r="J79" s="1516">
        <f t="shared" si="52"/>
        <v>0</v>
      </c>
      <c r="K79" s="1516">
        <f t="shared" si="53"/>
        <v>239.60533478294451</v>
      </c>
      <c r="L79" s="1541"/>
      <c r="M79" s="1516" t="str">
        <f t="shared" si="59"/>
        <v>-</v>
      </c>
      <c r="N79" s="1516">
        <f t="shared" si="59"/>
        <v>-25.626518174130876</v>
      </c>
      <c r="O79" s="1516">
        <f t="shared" si="59"/>
        <v>-14.945510978447638</v>
      </c>
      <c r="P79" s="1516" t="str">
        <f t="shared" si="59"/>
        <v>-</v>
      </c>
      <c r="Q79" s="1516">
        <f t="shared" si="59"/>
        <v>21.996773870054671</v>
      </c>
      <c r="R79" s="319"/>
      <c r="S79" s="836"/>
      <c r="T79" s="576"/>
      <c r="U79" s="560"/>
      <c r="V79" s="561"/>
      <c r="W79" s="561"/>
      <c r="X79" s="561"/>
      <c r="Y79" s="561"/>
      <c r="Z79" s="561"/>
      <c r="AA79" s="561"/>
      <c r="AB79" s="561"/>
      <c r="AC79" s="561"/>
      <c r="AD79" s="576"/>
      <c r="AE79" s="576"/>
      <c r="AF79" s="576"/>
    </row>
    <row r="80" spans="3:32" s="554" customFormat="1" ht="15" customHeight="1">
      <c r="C80" s="1515" t="str">
        <f>IF(Indice_index!$Z$1=1,"Administrações Públicas","General Government subsectors")</f>
        <v>Administrações Públicas</v>
      </c>
      <c r="D80" s="319"/>
      <c r="E80" s="319"/>
      <c r="F80" s="319"/>
      <c r="G80" s="1516">
        <f t="shared" si="49"/>
        <v>0.63563123999999949</v>
      </c>
      <c r="H80" s="1516">
        <f t="shared" si="50"/>
        <v>-605.58311452999999</v>
      </c>
      <c r="I80" s="1516">
        <f t="shared" si="51"/>
        <v>-7.4702475799999775</v>
      </c>
      <c r="J80" s="1516">
        <f t="shared" si="52"/>
        <v>0</v>
      </c>
      <c r="K80" s="1516">
        <f t="shared" si="53"/>
        <v>0</v>
      </c>
      <c r="L80" s="1541"/>
      <c r="M80" s="1516">
        <f t="shared" si="59"/>
        <v>8.5590589115281617</v>
      </c>
      <c r="N80" s="1516">
        <f t="shared" si="59"/>
        <v>-51.780071160291342</v>
      </c>
      <c r="O80" s="1516">
        <f t="shared" si="59"/>
        <v>-2.0964399840873273</v>
      </c>
      <c r="P80" s="1516" t="str">
        <f t="shared" si="59"/>
        <v>-</v>
      </c>
      <c r="Q80" s="1516" t="str">
        <f t="shared" si="59"/>
        <v>-</v>
      </c>
      <c r="R80" s="319"/>
      <c r="S80" s="836"/>
      <c r="T80" s="576"/>
      <c r="U80" s="560"/>
      <c r="V80" s="561"/>
      <c r="W80" s="561"/>
      <c r="X80" s="561"/>
      <c r="Y80" s="561"/>
      <c r="Z80" s="561"/>
      <c r="AA80" s="561"/>
      <c r="AB80" s="561"/>
      <c r="AC80" s="561"/>
      <c r="AD80" s="576"/>
      <c r="AE80" s="576"/>
      <c r="AF80" s="576"/>
    </row>
    <row r="81" spans="2:32" s="554" customFormat="1" ht="15" customHeight="1">
      <c r="C81" s="1515" t="str">
        <f>IF(Indice_index!$Z$1=1,"Outras","Others")</f>
        <v>Outras</v>
      </c>
      <c r="D81" s="319"/>
      <c r="E81" s="319"/>
      <c r="F81" s="319"/>
      <c r="G81" s="1516">
        <f t="shared" si="49"/>
        <v>207.91954637999999</v>
      </c>
      <c r="H81" s="1516">
        <f t="shared" si="50"/>
        <v>142.39542624999967</v>
      </c>
      <c r="I81" s="1516">
        <f t="shared" si="51"/>
        <v>-110.70963784705515</v>
      </c>
      <c r="J81" s="1516">
        <f t="shared" si="52"/>
        <v>0</v>
      </c>
      <c r="K81" s="1516">
        <f t="shared" si="53"/>
        <v>239.60533478294451</v>
      </c>
      <c r="L81" s="1541"/>
      <c r="M81" s="1516" t="str">
        <f t="shared" si="59"/>
        <v>-</v>
      </c>
      <c r="N81" s="1516">
        <f t="shared" si="59"/>
        <v>22.321645658042662</v>
      </c>
      <c r="O81" s="1516">
        <f t="shared" si="59"/>
        <v>-25.48516313258828</v>
      </c>
      <c r="P81" s="1516" t="str">
        <f t="shared" si="59"/>
        <v>-</v>
      </c>
      <c r="Q81" s="1516">
        <f t="shared" si="59"/>
        <v>21.996773870054671</v>
      </c>
      <c r="R81" s="319"/>
      <c r="S81" s="836"/>
      <c r="T81" s="576"/>
      <c r="U81" s="560"/>
      <c r="V81" s="561"/>
      <c r="W81" s="561"/>
      <c r="X81" s="561"/>
      <c r="Y81" s="561"/>
      <c r="Z81" s="561"/>
      <c r="AA81" s="561"/>
      <c r="AB81" s="561"/>
      <c r="AC81" s="561"/>
      <c r="AD81" s="576"/>
      <c r="AE81" s="576"/>
      <c r="AF81" s="576"/>
    </row>
    <row r="82" spans="2:32" ht="15" customHeight="1">
      <c r="C82" s="873" t="str">
        <f>IF(Indice_index!$Z$1=1,"Outras receitas de capital","Other capital revenue")</f>
        <v>Outras receitas de capital</v>
      </c>
      <c r="D82" s="836"/>
      <c r="E82" s="1545"/>
      <c r="F82" s="836"/>
      <c r="G82" s="1516">
        <f t="shared" si="49"/>
        <v>4.2641158799999994</v>
      </c>
      <c r="H82" s="1516">
        <f t="shared" si="50"/>
        <v>3.6285702200000012</v>
      </c>
      <c r="I82" s="1516">
        <f t="shared" si="51"/>
        <v>5.4482888742553079</v>
      </c>
      <c r="J82" s="1516">
        <f t="shared" si="52"/>
        <v>4.2189300000000001E-3</v>
      </c>
      <c r="K82" s="1516">
        <f t="shared" si="53"/>
        <v>13.345193904255314</v>
      </c>
      <c r="L82" s="1541"/>
      <c r="M82" s="1516">
        <f t="shared" si="59"/>
        <v>53.346391100744661</v>
      </c>
      <c r="N82" s="1516">
        <f t="shared" si="59"/>
        <v>74.050907618910159</v>
      </c>
      <c r="O82" s="1516">
        <f t="shared" si="59"/>
        <v>61.54725997326058</v>
      </c>
      <c r="P82" s="1516" t="str">
        <f t="shared" si="59"/>
        <v>-</v>
      </c>
      <c r="Q82" s="1516">
        <f t="shared" si="59"/>
        <v>61.369723378644267</v>
      </c>
      <c r="R82" s="836"/>
      <c r="S82" s="836"/>
      <c r="T82" s="577"/>
      <c r="U82" s="564"/>
      <c r="V82" s="557"/>
      <c r="W82" s="557"/>
      <c r="X82" s="557"/>
      <c r="Y82" s="557"/>
      <c r="Z82" s="557"/>
      <c r="AA82" s="557"/>
      <c r="AB82" s="557"/>
      <c r="AC82" s="557"/>
      <c r="AD82" s="577"/>
      <c r="AE82" s="577"/>
      <c r="AF82" s="577"/>
    </row>
    <row r="83" spans="2:32" ht="15" customHeight="1">
      <c r="B83" s="565"/>
      <c r="C83" s="830" t="str">
        <f>IF(Indice_index!$Z$1=1,"Diferenças de consolidação","Consolidation differences")</f>
        <v>Diferenças de consolidação</v>
      </c>
      <c r="D83" s="836"/>
      <c r="E83" s="836"/>
      <c r="F83" s="836"/>
      <c r="G83" s="1516">
        <f t="shared" si="49"/>
        <v>-0.92209457000000006</v>
      </c>
      <c r="H83" s="1516">
        <f t="shared" si="50"/>
        <v>0</v>
      </c>
      <c r="I83" s="1516">
        <f t="shared" si="51"/>
        <v>8.0646779999966611E-2</v>
      </c>
      <c r="J83" s="1516">
        <f t="shared" si="52"/>
        <v>0</v>
      </c>
      <c r="K83" s="1516">
        <f t="shared" si="53"/>
        <v>-2.4579309500001769</v>
      </c>
      <c r="L83" s="1516"/>
      <c r="M83" s="1544" t="s">
        <v>2</v>
      </c>
      <c r="N83" s="1544" t="s">
        <v>2</v>
      </c>
      <c r="O83" s="1544" t="s">
        <v>2</v>
      </c>
      <c r="P83" s="1544" t="s">
        <v>2</v>
      </c>
      <c r="Q83" s="1544" t="s">
        <v>2</v>
      </c>
      <c r="R83" s="836"/>
      <c r="S83" s="836"/>
      <c r="T83" s="577"/>
      <c r="U83" s="564"/>
      <c r="V83" s="557"/>
      <c r="W83" s="557"/>
      <c r="X83" s="557"/>
      <c r="Y83" s="557"/>
      <c r="Z83" s="557"/>
      <c r="AA83" s="557"/>
      <c r="AB83" s="557"/>
      <c r="AC83" s="557"/>
      <c r="AD83" s="577"/>
      <c r="AE83" s="577"/>
      <c r="AF83" s="577"/>
    </row>
    <row r="84" spans="2:32" s="554" customFormat="1" ht="4.5" customHeight="1">
      <c r="C84" s="836"/>
      <c r="D84" s="319"/>
      <c r="E84" s="319"/>
      <c r="F84" s="319"/>
      <c r="G84" s="1546"/>
      <c r="H84" s="1546"/>
      <c r="I84" s="1546"/>
      <c r="J84" s="1546"/>
      <c r="K84" s="1546"/>
      <c r="L84" s="1546"/>
      <c r="M84" s="1546"/>
      <c r="N84" s="1546"/>
      <c r="O84" s="1546"/>
      <c r="P84" s="1546"/>
      <c r="Q84" s="1546"/>
      <c r="R84" s="319"/>
      <c r="S84" s="836"/>
      <c r="T84" s="576"/>
      <c r="U84" s="560"/>
      <c r="V84" s="561"/>
      <c r="W84" s="561"/>
      <c r="X84" s="561"/>
      <c r="Y84" s="561"/>
      <c r="Z84" s="561"/>
      <c r="AA84" s="561"/>
      <c r="AB84" s="561"/>
      <c r="AC84" s="561"/>
      <c r="AD84" s="576"/>
      <c r="AE84" s="576"/>
      <c r="AF84" s="576"/>
    </row>
    <row r="85" spans="2:32" ht="15" customHeight="1">
      <c r="B85" s="565"/>
      <c r="C85" s="1520" t="str">
        <f>IF(Indice_index!$Z$1=1,"Receita efetiva","Effective revenue")</f>
        <v>Receita efetiva</v>
      </c>
      <c r="D85" s="1520"/>
      <c r="E85" s="1520"/>
      <c r="F85" s="1520"/>
      <c r="G85" s="1547">
        <f>M27-G27</f>
        <v>5532.1255442999936</v>
      </c>
      <c r="H85" s="1547">
        <f>N27-H27</f>
        <v>343.74213980000786</v>
      </c>
      <c r="I85" s="1547">
        <f>O27-I27</f>
        <v>573.28028289463236</v>
      </c>
      <c r="J85" s="1547">
        <f>P27-J27</f>
        <v>1183.9346682799987</v>
      </c>
      <c r="K85" s="1547">
        <f>Q27-K27</f>
        <v>7731.2936204446451</v>
      </c>
      <c r="L85" s="1541"/>
      <c r="M85" s="1547">
        <f>IF(IFERROR((M27-G27)/G27*100,"")&gt;500,"-",IFERROR((M27-G27)/G27*100,""))</f>
        <v>21.544121608486321</v>
      </c>
      <c r="N85" s="1547">
        <f>IF(IFERROR((N27-H27)/H27*100,"")&gt;500,"-",IFERROR((N27-H27)/H27*100,""))</f>
        <v>1.7002876411638339</v>
      </c>
      <c r="O85" s="1547">
        <f>IF(IFERROR((O27-I27)/I27*100,"")&gt;500,"-",IFERROR((O27-I27)/I27*100,""))</f>
        <v>8.2351445027479642</v>
      </c>
      <c r="P85" s="1547">
        <f>IF(IFERROR((P27-J27)/J27*100,"")&gt;500,"-",IFERROR((P27-J27)/J27*100,""))</f>
        <v>6.5242550382566824</v>
      </c>
      <c r="Q85" s="1547">
        <f>IF(IFERROR((Q27-K27)/K27*100,"")&gt;500,"-",IFERROR((Q27-K27)/K27*100,""))</f>
        <v>16.047338637596788</v>
      </c>
      <c r="R85" s="1520"/>
      <c r="S85" s="836"/>
      <c r="T85" s="577"/>
      <c r="U85" s="577"/>
      <c r="V85" s="19"/>
      <c r="W85" s="19"/>
      <c r="AD85" s="577"/>
      <c r="AE85" s="577"/>
      <c r="AF85" s="577"/>
    </row>
    <row r="86" spans="2:32" s="554" customFormat="1" ht="4.5" customHeight="1">
      <c r="C86" s="836"/>
      <c r="D86" s="319"/>
      <c r="E86" s="319"/>
      <c r="F86" s="319"/>
      <c r="G86" s="1546"/>
      <c r="H86" s="1546"/>
      <c r="I86" s="1546"/>
      <c r="J86" s="1546"/>
      <c r="K86" s="1548"/>
      <c r="L86" s="1546"/>
      <c r="M86" s="1546"/>
      <c r="N86" s="1546"/>
      <c r="O86" s="1546"/>
      <c r="P86" s="1546"/>
      <c r="Q86" s="1546"/>
      <c r="R86" s="319"/>
      <c r="S86" s="836"/>
      <c r="T86" s="576"/>
      <c r="U86" s="576"/>
      <c r="V86" s="555"/>
      <c r="W86" s="555"/>
      <c r="X86" s="555"/>
      <c r="Y86" s="555"/>
      <c r="Z86" s="555"/>
      <c r="AA86" s="555"/>
      <c r="AB86" s="555"/>
      <c r="AC86" s="555"/>
      <c r="AD86" s="576"/>
      <c r="AE86" s="576"/>
      <c r="AF86" s="576"/>
    </row>
    <row r="87" spans="2:32" ht="15" customHeight="1">
      <c r="C87" s="319" t="str">
        <f>IF(Indice_index!$Z$1=1,"Despesa corrente","Current expenditure")</f>
        <v>Despesa corrente</v>
      </c>
      <c r="D87" s="836"/>
      <c r="E87" s="830"/>
      <c r="F87" s="836"/>
      <c r="G87" s="1541">
        <f t="shared" ref="G87:G106" si="60">M29-G29</f>
        <v>1093.2341364400163</v>
      </c>
      <c r="H87" s="1541">
        <f t="shared" ref="H87:H106" si="61">N29-H29</f>
        <v>648.7202647700542</v>
      </c>
      <c r="I87" s="1541">
        <f t="shared" ref="I87:I106" si="62">O29-I29</f>
        <v>394.47176459306593</v>
      </c>
      <c r="J87" s="1541">
        <f t="shared" ref="J87:J106" si="63">P29-J29</f>
        <v>-1106.5219198100058</v>
      </c>
      <c r="K87" s="1541">
        <f t="shared" ref="K87:K106" si="64">Q29-K29</f>
        <v>517.31398345312482</v>
      </c>
      <c r="L87" s="1541"/>
      <c r="M87" s="1541">
        <f t="shared" ref="M87:M98" si="65">IF(IFERROR((M29-G29)/G29*100,"")&gt;500,"-",IFERROR((M29-G29)/G29*100,""))</f>
        <v>3.4832708914610517</v>
      </c>
      <c r="N87" s="1541">
        <f t="shared" ref="N87:N98" si="66">IF(IFERROR((N29-H29)/H29*100,"")&gt;500,"-",IFERROR((N29-H29)/H29*100,""))</f>
        <v>3.8066605536204743</v>
      </c>
      <c r="O87" s="1541">
        <f t="shared" ref="O87:O98" si="67">IF(IFERROR((O29-I29)/I29*100,"")&gt;500,"-",IFERROR((O29-I29)/I29*100,""))</f>
        <v>7.3528089153546361</v>
      </c>
      <c r="P87" s="1541">
        <f t="shared" ref="P87:P98" si="68">IF(IFERROR((P29-J29)/J29*100,"")&gt;500,"-",IFERROR((P29-J29)/J29*100,""))</f>
        <v>-5.956841069701321</v>
      </c>
      <c r="Q87" s="1541">
        <f t="shared" ref="Q87:Q98" si="69">IF(IFERROR((Q29-K29)/K29*100,"")&gt;500,"-",IFERROR((Q29-K29)/K29*100,""))</f>
        <v>1.0128638172199276</v>
      </c>
      <c r="R87" s="836"/>
      <c r="S87" s="836"/>
      <c r="T87" s="577"/>
      <c r="U87" s="577"/>
      <c r="V87" s="19"/>
      <c r="W87" s="19"/>
      <c r="AD87" s="577"/>
      <c r="AE87" s="577"/>
      <c r="AF87" s="577"/>
    </row>
    <row r="88" spans="2:32" ht="15" customHeight="1">
      <c r="C88" s="830" t="str">
        <f>IF(Indice_index!$Z$1=1,"Despesas com o pessoal","Compensation of employees")</f>
        <v>Despesas com o pessoal</v>
      </c>
      <c r="D88" s="836"/>
      <c r="E88" s="830"/>
      <c r="F88" s="836"/>
      <c r="G88" s="1516">
        <f t="shared" si="60"/>
        <v>-2.5571912399964276</v>
      </c>
      <c r="H88" s="1516">
        <f t="shared" si="61"/>
        <v>89.834071000010226</v>
      </c>
      <c r="I88" s="1516">
        <f t="shared" si="62"/>
        <v>230.48108954586996</v>
      </c>
      <c r="J88" s="1516">
        <f t="shared" si="63"/>
        <v>5.8463271299999349</v>
      </c>
      <c r="K88" s="1516">
        <f t="shared" si="64"/>
        <v>323.60429643588577</v>
      </c>
      <c r="L88" s="1516"/>
      <c r="M88" s="1516">
        <f t="shared" si="65"/>
        <v>-4.3907539729347689E-2</v>
      </c>
      <c r="N88" s="1516">
        <f t="shared" si="66"/>
        <v>1.859726776279818</v>
      </c>
      <c r="O88" s="1516">
        <f t="shared" si="67"/>
        <v>9.008789183147341</v>
      </c>
      <c r="P88" s="1516">
        <f t="shared" si="68"/>
        <v>3.5534867843608144</v>
      </c>
      <c r="Q88" s="1516">
        <f t="shared" si="69"/>
        <v>2.4190262269220604</v>
      </c>
      <c r="R88" s="836"/>
      <c r="S88" s="836"/>
      <c r="T88" s="577"/>
      <c r="U88" s="577"/>
      <c r="V88" s="19"/>
      <c r="W88" s="19"/>
      <c r="AD88" s="577"/>
      <c r="AE88" s="577"/>
      <c r="AF88" s="577"/>
    </row>
    <row r="89" spans="2:32" ht="15" customHeight="1">
      <c r="C89" s="1179" t="str">
        <f>IF(Indice_index!$Z$1=1,"Remunerações Certas e Permanentes","Certain and permanent wages")</f>
        <v>Remunerações Certas e Permanentes</v>
      </c>
      <c r="D89" s="836"/>
      <c r="E89" s="830"/>
      <c r="F89" s="836"/>
      <c r="G89" s="1516">
        <f t="shared" si="60"/>
        <v>12.466782760007845</v>
      </c>
      <c r="H89" s="1516">
        <f t="shared" si="61"/>
        <v>91.183754530007263</v>
      </c>
      <c r="I89" s="1516">
        <f t="shared" si="62"/>
        <v>176.71869921402208</v>
      </c>
      <c r="J89" s="1516">
        <f t="shared" si="63"/>
        <v>5.0385794999999121</v>
      </c>
      <c r="K89" s="1516">
        <f t="shared" si="64"/>
        <v>285.40781600403716</v>
      </c>
      <c r="L89" s="1516"/>
      <c r="M89" s="1516">
        <f t="shared" si="65"/>
        <v>0.29696854723187915</v>
      </c>
      <c r="N89" s="1516">
        <f t="shared" si="66"/>
        <v>2.7104669532200432</v>
      </c>
      <c r="O89" s="1516">
        <f t="shared" si="67"/>
        <v>9.248718897538204</v>
      </c>
      <c r="P89" s="1516">
        <f t="shared" si="68"/>
        <v>3.8264271322496715</v>
      </c>
      <c r="Q89" s="1516">
        <f t="shared" si="69"/>
        <v>2.9715851726447511</v>
      </c>
      <c r="R89" s="836"/>
      <c r="S89" s="836"/>
      <c r="T89" s="577"/>
      <c r="U89" s="577"/>
      <c r="V89" s="19"/>
      <c r="W89" s="19"/>
      <c r="AD89" s="577"/>
      <c r="AE89" s="577"/>
      <c r="AF89" s="577"/>
    </row>
    <row r="90" spans="2:32" ht="15" customHeight="1">
      <c r="C90" s="1179" t="str">
        <f>IF(Indice_index!$Z$1=1,"Abonos Variáveis ou Eventuais","Variable or contingent bonuses")</f>
        <v>Abonos Variáveis ou Eventuais</v>
      </c>
      <c r="D90" s="836"/>
      <c r="E90" s="830"/>
      <c r="F90" s="836"/>
      <c r="G90" s="1516">
        <f t="shared" si="60"/>
        <v>14.876615440000307</v>
      </c>
      <c r="H90" s="1516">
        <f t="shared" si="61"/>
        <v>-12.658013299999197</v>
      </c>
      <c r="I90" s="1516">
        <f t="shared" si="62"/>
        <v>17.65423887366461</v>
      </c>
      <c r="J90" s="1516">
        <f t="shared" si="63"/>
        <v>0.18042389999999919</v>
      </c>
      <c r="K90" s="1516">
        <f t="shared" si="64"/>
        <v>20.053264913665544</v>
      </c>
      <c r="L90" s="1516"/>
      <c r="M90" s="1516">
        <f t="shared" si="65"/>
        <v>7.7867561109281214</v>
      </c>
      <c r="N90" s="1516">
        <f t="shared" si="66"/>
        <v>-2.2940387868445562</v>
      </c>
      <c r="O90" s="1516">
        <f t="shared" si="67"/>
        <v>13.590985880313047</v>
      </c>
      <c r="P90" s="1516">
        <f t="shared" si="68"/>
        <v>6.70171516369457</v>
      </c>
      <c r="Q90" s="1516">
        <f t="shared" si="69"/>
        <v>2.2907083639531818</v>
      </c>
      <c r="R90" s="836"/>
      <c r="S90" s="836"/>
      <c r="T90" s="577"/>
      <c r="U90" s="577"/>
      <c r="V90" s="19"/>
      <c r="W90" s="19"/>
      <c r="AD90" s="577"/>
      <c r="AE90" s="577"/>
      <c r="AF90" s="577"/>
    </row>
    <row r="91" spans="2:32" ht="15" customHeight="1">
      <c r="C91" s="1179" t="str">
        <f>IF(Indice_index!$Z$1=1,"Segurança social","Social security")</f>
        <v>Segurança social</v>
      </c>
      <c r="D91" s="836"/>
      <c r="E91" s="830"/>
      <c r="F91" s="836"/>
      <c r="G91" s="1516">
        <f t="shared" si="60"/>
        <v>-29.900589440004069</v>
      </c>
      <c r="H91" s="1516">
        <f t="shared" si="61"/>
        <v>11.308329770001706</v>
      </c>
      <c r="I91" s="1516">
        <f t="shared" si="62"/>
        <v>36.108151458183329</v>
      </c>
      <c r="J91" s="1516">
        <f t="shared" si="63"/>
        <v>0.62732373000000763</v>
      </c>
      <c r="K91" s="1516">
        <f t="shared" si="64"/>
        <v>18.143215518181023</v>
      </c>
      <c r="L91" s="1516"/>
      <c r="M91" s="1516">
        <f t="shared" si="65"/>
        <v>-2.083705472644251</v>
      </c>
      <c r="N91" s="1516">
        <f t="shared" si="66"/>
        <v>1.2364434321348805</v>
      </c>
      <c r="O91" s="1516">
        <f t="shared" si="67"/>
        <v>6.9737983944194308</v>
      </c>
      <c r="P91" s="1516">
        <f t="shared" si="68"/>
        <v>2.0804663698930841</v>
      </c>
      <c r="Q91" s="1516">
        <f t="shared" si="69"/>
        <v>0.6261724416572132</v>
      </c>
      <c r="R91" s="836"/>
      <c r="S91" s="836"/>
      <c r="T91" s="577"/>
      <c r="U91" s="577"/>
      <c r="V91" s="19"/>
      <c r="W91" s="19"/>
      <c r="AD91" s="577"/>
      <c r="AE91" s="577"/>
      <c r="AF91" s="577"/>
    </row>
    <row r="92" spans="2:32" ht="15" customHeight="1">
      <c r="C92" s="830" t="str">
        <f>IF(Indice_index!$Z$1=1,"Aquisição de bens e serviços","Purchase of goods and services")</f>
        <v>Aquisição de bens e serviços</v>
      </c>
      <c r="D92" s="836"/>
      <c r="E92" s="830"/>
      <c r="F92" s="836"/>
      <c r="G92" s="1516">
        <f t="shared" si="60"/>
        <v>74.297675860004233</v>
      </c>
      <c r="H92" s="1516">
        <f t="shared" si="61"/>
        <v>549.91904568004793</v>
      </c>
      <c r="I92" s="1516">
        <f t="shared" si="62"/>
        <v>145.17210638203414</v>
      </c>
      <c r="J92" s="1516">
        <f t="shared" si="63"/>
        <v>-7.4692428099999972</v>
      </c>
      <c r="K92" s="1516">
        <f t="shared" si="64"/>
        <v>764.07683577208627</v>
      </c>
      <c r="L92" s="1516"/>
      <c r="M92" s="1516">
        <f t="shared" si="65"/>
        <v>11.624078065720449</v>
      </c>
      <c r="N92" s="1516">
        <f t="shared" si="66"/>
        <v>12.136214221413075</v>
      </c>
      <c r="O92" s="1516">
        <f t="shared" si="67"/>
        <v>8.4249168910868395</v>
      </c>
      <c r="P92" s="1516">
        <f t="shared" si="68"/>
        <v>-14.679861541570629</v>
      </c>
      <c r="Q92" s="1516">
        <f t="shared" si="69"/>
        <v>11.006939965567323</v>
      </c>
      <c r="R92" s="836"/>
      <c r="S92" s="836"/>
      <c r="T92" s="577"/>
      <c r="U92" s="577"/>
      <c r="V92" s="19"/>
      <c r="W92" s="19"/>
      <c r="AD92" s="577"/>
      <c r="AE92" s="577"/>
      <c r="AF92" s="577"/>
    </row>
    <row r="93" spans="2:32" ht="15" customHeight="1">
      <c r="C93" s="830" t="str">
        <f>IF(Indice_index!$Z$1=1,"Juros e outros encargos","Interests and other charges")</f>
        <v>Juros e outros encargos</v>
      </c>
      <c r="D93" s="836"/>
      <c r="E93" s="830"/>
      <c r="F93" s="836"/>
      <c r="G93" s="1516">
        <f t="shared" si="60"/>
        <v>-222.43614949999937</v>
      </c>
      <c r="H93" s="1516">
        <f t="shared" si="61"/>
        <v>-141.44340975999984</v>
      </c>
      <c r="I93" s="1516">
        <f t="shared" si="62"/>
        <v>15.408496927264125</v>
      </c>
      <c r="J93" s="1516">
        <f t="shared" si="63"/>
        <v>0.56230604000000106</v>
      </c>
      <c r="K93" s="1516">
        <f t="shared" si="64"/>
        <v>-263.03160389273444</v>
      </c>
      <c r="L93" s="1516"/>
      <c r="M93" s="1516">
        <f t="shared" si="65"/>
        <v>-5.5799921999572035</v>
      </c>
      <c r="N93" s="1516">
        <f t="shared" si="66"/>
        <v>-51.422653233127434</v>
      </c>
      <c r="O93" s="1516">
        <f t="shared" si="67"/>
        <v>15.95102488769912</v>
      </c>
      <c r="P93" s="1516">
        <f t="shared" si="68"/>
        <v>15.982245692182339</v>
      </c>
      <c r="Q93" s="1516">
        <f t="shared" si="69"/>
        <v>-6.221359295474282</v>
      </c>
      <c r="R93" s="836"/>
      <c r="S93" s="836"/>
      <c r="T93" s="577"/>
      <c r="U93" s="577"/>
      <c r="V93" s="19"/>
      <c r="W93" s="19"/>
      <c r="AD93" s="577"/>
      <c r="AE93" s="577"/>
      <c r="AF93" s="577"/>
    </row>
    <row r="94" spans="2:32" ht="15" customHeight="1">
      <c r="C94" s="830" t="str">
        <f>IF(Indice_index!$Z$1=1,"Transferências correntes","Current transfers")</f>
        <v>Transferências correntes</v>
      </c>
      <c r="D94" s="836"/>
      <c r="E94" s="830"/>
      <c r="F94" s="836"/>
      <c r="G94" s="1516">
        <f t="shared" si="60"/>
        <v>1110.6844923300087</v>
      </c>
      <c r="H94" s="1516">
        <f t="shared" si="61"/>
        <v>184.21235558999888</v>
      </c>
      <c r="I94" s="1516">
        <f t="shared" si="62"/>
        <v>11.513810467818189</v>
      </c>
      <c r="J94" s="1516">
        <f t="shared" si="63"/>
        <v>-971.32607609000115</v>
      </c>
      <c r="K94" s="1516">
        <f t="shared" si="64"/>
        <v>-354.07138103218676</v>
      </c>
      <c r="L94" s="1516"/>
      <c r="M94" s="1516">
        <f t="shared" si="65"/>
        <v>5.3694825331377452</v>
      </c>
      <c r="N94" s="1516">
        <f t="shared" si="66"/>
        <v>2.7116395662635662</v>
      </c>
      <c r="O94" s="1516">
        <f t="shared" si="67"/>
        <v>1.8830411793332933</v>
      </c>
      <c r="P94" s="1516">
        <f t="shared" si="68"/>
        <v>-5.4859545534584457</v>
      </c>
      <c r="Q94" s="1516">
        <f t="shared" si="69"/>
        <v>-1.4229947623767116</v>
      </c>
      <c r="R94" s="836"/>
      <c r="S94" s="836"/>
      <c r="T94" s="577"/>
      <c r="U94" s="577"/>
      <c r="V94" s="19"/>
      <c r="W94" s="19"/>
      <c r="AD94" s="577"/>
      <c r="AE94" s="577"/>
      <c r="AF94" s="577"/>
    </row>
    <row r="95" spans="2:32" ht="15" customHeight="1">
      <c r="C95" s="1515" t="str">
        <f>IF(Indice_index!$Z$1=1,"Administrações Públicas","General Government subsectors")</f>
        <v>Administrações Públicas</v>
      </c>
      <c r="D95" s="836"/>
      <c r="E95" s="830"/>
      <c r="F95" s="836"/>
      <c r="G95" s="1516">
        <f t="shared" si="60"/>
        <v>924.24904652000623</v>
      </c>
      <c r="H95" s="1516">
        <f t="shared" si="61"/>
        <v>-56.987781580000046</v>
      </c>
      <c r="I95" s="1516">
        <f t="shared" si="62"/>
        <v>17.509301569999977</v>
      </c>
      <c r="J95" s="1516">
        <f t="shared" si="63"/>
        <v>-195.61460318000013</v>
      </c>
      <c r="K95" s="1516">
        <f t="shared" si="64"/>
        <v>0</v>
      </c>
      <c r="L95" s="1516"/>
      <c r="M95" s="1516">
        <f t="shared" si="65"/>
        <v>4.8743818630987983</v>
      </c>
      <c r="N95" s="1516">
        <f t="shared" si="66"/>
        <v>-9.3148609369645552</v>
      </c>
      <c r="O95" s="1516">
        <f t="shared" si="67"/>
        <v>21.347017856314725</v>
      </c>
      <c r="P95" s="1516">
        <f t="shared" si="68"/>
        <v>-15.545225036308505</v>
      </c>
      <c r="Q95" s="1516" t="str">
        <f t="shared" si="69"/>
        <v>-</v>
      </c>
      <c r="R95" s="836"/>
      <c r="S95" s="836"/>
      <c r="T95" s="577"/>
      <c r="U95" s="577"/>
      <c r="V95" s="19"/>
      <c r="W95" s="19"/>
      <c r="AD95" s="577"/>
      <c r="AE95" s="577"/>
      <c r="AF95" s="577"/>
    </row>
    <row r="96" spans="2:32" ht="15" customHeight="1">
      <c r="C96" s="1515" t="str">
        <f>IF(Indice_index!$Z$1=1,"Outras","Others")</f>
        <v>Outras</v>
      </c>
      <c r="D96" s="836"/>
      <c r="E96" s="830"/>
      <c r="F96" s="836"/>
      <c r="G96" s="1516">
        <f t="shared" si="60"/>
        <v>186.43544581000015</v>
      </c>
      <c r="H96" s="1516">
        <f t="shared" si="61"/>
        <v>241.20013716999892</v>
      </c>
      <c r="I96" s="1516">
        <f t="shared" si="62"/>
        <v>-5.9954911021818589</v>
      </c>
      <c r="J96" s="1516">
        <f t="shared" si="63"/>
        <v>-775.71147291000125</v>
      </c>
      <c r="K96" s="1516">
        <f t="shared" si="64"/>
        <v>-354.07138103218676</v>
      </c>
      <c r="L96" s="1516"/>
      <c r="M96" s="1516">
        <f t="shared" si="65"/>
        <v>10.81555209103861</v>
      </c>
      <c r="N96" s="1516">
        <f t="shared" si="66"/>
        <v>3.9019048764072508</v>
      </c>
      <c r="O96" s="1516">
        <f t="shared" si="67"/>
        <v>-1.132452522745687</v>
      </c>
      <c r="P96" s="1516">
        <f t="shared" si="68"/>
        <v>-4.7163363970250751</v>
      </c>
      <c r="Q96" s="1516">
        <f t="shared" si="69"/>
        <v>-1.4229947623767116</v>
      </c>
      <c r="R96" s="836"/>
      <c r="S96" s="836"/>
      <c r="T96" s="577"/>
      <c r="U96" s="577"/>
      <c r="V96" s="19"/>
      <c r="W96" s="19"/>
      <c r="AD96" s="577"/>
      <c r="AE96" s="577"/>
      <c r="AF96" s="577"/>
    </row>
    <row r="97" spans="2:32" ht="15" customHeight="1">
      <c r="C97" s="830" t="str">
        <f>IF(Indice_index!$Z$1=1,"Subsídios","Subsidies")</f>
        <v>Subsídios</v>
      </c>
      <c r="D97" s="836"/>
      <c r="E97" s="830"/>
      <c r="F97" s="836"/>
      <c r="G97" s="1516">
        <f t="shared" si="60"/>
        <v>102.21908232</v>
      </c>
      <c r="H97" s="1516">
        <f t="shared" si="61"/>
        <v>-120.48015664000019</v>
      </c>
      <c r="I97" s="1516">
        <f t="shared" si="62"/>
        <v>-27.029412260518029</v>
      </c>
      <c r="J97" s="1516">
        <f t="shared" si="63"/>
        <v>-134.24375498000006</v>
      </c>
      <c r="K97" s="1516">
        <f t="shared" si="64"/>
        <v>4.7834954394816123</v>
      </c>
      <c r="L97" s="1516"/>
      <c r="M97" s="1516">
        <f t="shared" si="65"/>
        <v>386.97142905573946</v>
      </c>
      <c r="N97" s="1516">
        <f t="shared" si="66"/>
        <v>-23.038569416966119</v>
      </c>
      <c r="O97" s="1516">
        <f t="shared" si="67"/>
        <v>-8.6436173677239765</v>
      </c>
      <c r="P97" s="1516">
        <f t="shared" si="68"/>
        <v>-20.7981377166379</v>
      </c>
      <c r="Q97" s="1516">
        <f t="shared" si="69"/>
        <v>0.40906929032043282</v>
      </c>
      <c r="R97" s="836"/>
      <c r="S97" s="836"/>
      <c r="T97" s="577"/>
      <c r="U97" s="577"/>
      <c r="V97" s="19"/>
      <c r="W97" s="19"/>
      <c r="AD97" s="577"/>
      <c r="AE97" s="577"/>
      <c r="AF97" s="577"/>
    </row>
    <row r="98" spans="2:32" ht="15" customHeight="1">
      <c r="C98" s="830" t="str">
        <f>IF(Indice_index!$Z$1=1,"Outras despesas correntes","Other current expenditures")</f>
        <v>Outras despesas correntes</v>
      </c>
      <c r="D98" s="836"/>
      <c r="E98" s="1549"/>
      <c r="F98" s="836"/>
      <c r="G98" s="1516">
        <f t="shared" si="60"/>
        <v>35.698514060000122</v>
      </c>
      <c r="H98" s="1516">
        <f t="shared" si="61"/>
        <v>17.557424209999979</v>
      </c>
      <c r="I98" s="1516">
        <f t="shared" si="62"/>
        <v>19.515136030599308</v>
      </c>
      <c r="J98" s="1516">
        <f t="shared" si="63"/>
        <v>0.10852090000000025</v>
      </c>
      <c r="K98" s="1516">
        <f t="shared" si="64"/>
        <v>72.879595200599397</v>
      </c>
      <c r="L98" s="1516"/>
      <c r="M98" s="1516">
        <f t="shared" si="65"/>
        <v>16.261145872436096</v>
      </c>
      <c r="N98" s="1516">
        <f t="shared" si="66"/>
        <v>19.818939704316257</v>
      </c>
      <c r="O98" s="1516">
        <f t="shared" si="67"/>
        <v>31.45747640416856</v>
      </c>
      <c r="P98" s="1516">
        <f t="shared" si="68"/>
        <v>1.9459521683042342</v>
      </c>
      <c r="Q98" s="1516">
        <f t="shared" si="69"/>
        <v>19.396540684969484</v>
      </c>
      <c r="R98" s="836"/>
      <c r="S98" s="836"/>
      <c r="T98" s="577"/>
      <c r="U98" s="577"/>
      <c r="V98" s="19"/>
      <c r="W98" s="19"/>
      <c r="AD98" s="577"/>
      <c r="AE98" s="577"/>
      <c r="AF98" s="577"/>
    </row>
    <row r="99" spans="2:32" s="554" customFormat="1" ht="15" customHeight="1">
      <c r="C99" s="830" t="str">
        <f>IF(Indice_index!$Z$1=1,"Diferenças de consolidação","Consolidation differences")</f>
        <v>Diferenças de consolidação</v>
      </c>
      <c r="D99" s="319"/>
      <c r="E99" s="319"/>
      <c r="F99" s="319"/>
      <c r="G99" s="1516">
        <f t="shared" si="60"/>
        <v>-4.6722873900000934</v>
      </c>
      <c r="H99" s="1516">
        <f t="shared" si="61"/>
        <v>69.12093468999683</v>
      </c>
      <c r="I99" s="1516">
        <f t="shared" si="62"/>
        <v>-0.5894624999999678</v>
      </c>
      <c r="J99" s="1516">
        <f t="shared" si="63"/>
        <v>0</v>
      </c>
      <c r="K99" s="1516">
        <f t="shared" si="64"/>
        <v>-30.927254470002623</v>
      </c>
      <c r="L99" s="1516"/>
      <c r="M99" s="1544" t="s">
        <v>2</v>
      </c>
      <c r="N99" s="1544" t="s">
        <v>2</v>
      </c>
      <c r="O99" s="1544" t="s">
        <v>2</v>
      </c>
      <c r="P99" s="1544" t="s">
        <v>2</v>
      </c>
      <c r="Q99" s="1544" t="s">
        <v>2</v>
      </c>
      <c r="R99" s="1544"/>
      <c r="S99" s="836"/>
      <c r="T99" s="576"/>
      <c r="U99" s="576"/>
      <c r="V99" s="555"/>
      <c r="W99" s="555"/>
      <c r="X99" s="555"/>
      <c r="Y99" s="555"/>
      <c r="Z99" s="555"/>
      <c r="AA99" s="555"/>
      <c r="AB99" s="555"/>
      <c r="AC99" s="555"/>
      <c r="AD99" s="576"/>
      <c r="AE99" s="576"/>
      <c r="AF99" s="576"/>
    </row>
    <row r="100" spans="2:32" ht="15" customHeight="1">
      <c r="C100" s="319" t="str">
        <f>IF(Indice_index!$Z$1=1,"Despesa de capital","Capital expenditure")</f>
        <v>Despesa de capital</v>
      </c>
      <c r="D100" s="836"/>
      <c r="E100" s="830"/>
      <c r="F100" s="836"/>
      <c r="G100" s="1541">
        <f t="shared" si="60"/>
        <v>-545.17324011000005</v>
      </c>
      <c r="H100" s="1541">
        <f t="shared" si="61"/>
        <v>-381.92740532999937</v>
      </c>
      <c r="I100" s="1541">
        <f t="shared" si="62"/>
        <v>-54.705272492792801</v>
      </c>
      <c r="J100" s="1541">
        <f t="shared" si="63"/>
        <v>-3.9719994199999995</v>
      </c>
      <c r="K100" s="1541">
        <f t="shared" si="64"/>
        <v>-374.97666964279188</v>
      </c>
      <c r="L100" s="1541"/>
      <c r="M100" s="1541">
        <f t="shared" ref="M100:Q105" si="70">IF(IFERROR((M42-G42)/G42*100,"")&gt;500,"-",IFERROR((M42-G42)/G42*100,""))</f>
        <v>-29.179087991405666</v>
      </c>
      <c r="N100" s="1541">
        <f t="shared" si="70"/>
        <v>-16.50394585547917</v>
      </c>
      <c r="O100" s="1541">
        <f t="shared" si="70"/>
        <v>-3.4335713710314608</v>
      </c>
      <c r="P100" s="1541">
        <f t="shared" si="70"/>
        <v>-23.818287856787446</v>
      </c>
      <c r="Q100" s="1541">
        <f t="shared" si="70"/>
        <v>-8.80065435895186</v>
      </c>
      <c r="R100" s="836"/>
      <c r="S100" s="836"/>
      <c r="T100" s="577"/>
      <c r="U100" s="577"/>
      <c r="V100" s="19"/>
      <c r="W100" s="19"/>
      <c r="AD100" s="577"/>
      <c r="AE100" s="577"/>
      <c r="AF100" s="577"/>
    </row>
    <row r="101" spans="2:32" ht="15" customHeight="1">
      <c r="C101" s="830" t="str">
        <f>IF(Indice_index!$Z$1=1,"Investimentos","Investments")</f>
        <v>Investimentos</v>
      </c>
      <c r="D101" s="836"/>
      <c r="E101" s="830"/>
      <c r="F101" s="836"/>
      <c r="G101" s="1516">
        <f t="shared" si="60"/>
        <v>94.242302339999753</v>
      </c>
      <c r="H101" s="1516">
        <f t="shared" si="61"/>
        <v>-33.016576019999093</v>
      </c>
      <c r="I101" s="1516">
        <f t="shared" si="62"/>
        <v>-59.177619478151428</v>
      </c>
      <c r="J101" s="1516">
        <f t="shared" si="63"/>
        <v>-2.6299772699999977</v>
      </c>
      <c r="K101" s="1516">
        <f t="shared" si="64"/>
        <v>-0.58187042815097811</v>
      </c>
      <c r="L101" s="1516"/>
      <c r="M101" s="1516">
        <f t="shared" si="70"/>
        <v>31.602638718993237</v>
      </c>
      <c r="N101" s="1516">
        <f t="shared" si="70"/>
        <v>-2.2398832053072484</v>
      </c>
      <c r="O101" s="1516">
        <f t="shared" si="70"/>
        <v>-4.3448422849030237</v>
      </c>
      <c r="P101" s="1516">
        <f t="shared" si="70"/>
        <v>-17.536715880822296</v>
      </c>
      <c r="Q101" s="1516">
        <f t="shared" si="70"/>
        <v>-1.8476427430661847E-2</v>
      </c>
      <c r="R101" s="836"/>
      <c r="S101" s="836"/>
      <c r="T101" s="577"/>
      <c r="U101" s="577"/>
      <c r="V101" s="19"/>
      <c r="W101" s="19"/>
      <c r="AD101" s="577"/>
      <c r="AE101" s="577"/>
      <c r="AF101" s="577"/>
    </row>
    <row r="102" spans="2:32" ht="15" customHeight="1">
      <c r="C102" s="830" t="str">
        <f>IF(Indice_index!$Z$1=1,"Transferências de capital","Capital transfers")</f>
        <v>Transferências de capital</v>
      </c>
      <c r="D102" s="836"/>
      <c r="E102" s="830"/>
      <c r="F102" s="836"/>
      <c r="G102" s="1516">
        <f t="shared" si="60"/>
        <v>-631.03168184999981</v>
      </c>
      <c r="H102" s="1516">
        <f t="shared" si="61"/>
        <v>-372.07713725000008</v>
      </c>
      <c r="I102" s="1516">
        <f t="shared" si="62"/>
        <v>6.2725338787340092</v>
      </c>
      <c r="J102" s="1516">
        <f t="shared" si="63"/>
        <v>-1.3420221500000002</v>
      </c>
      <c r="K102" s="1516">
        <f t="shared" si="64"/>
        <v>-390.71551752126607</v>
      </c>
      <c r="L102" s="1516"/>
      <c r="M102" s="1516">
        <f t="shared" si="70"/>
        <v>-40.524204945193134</v>
      </c>
      <c r="N102" s="1516">
        <f t="shared" si="70"/>
        <v>-45.087411747479003</v>
      </c>
      <c r="O102" s="1516">
        <f t="shared" si="70"/>
        <v>2.7790662298934792</v>
      </c>
      <c r="P102" s="1516">
        <f t="shared" si="70"/>
        <v>-79.91642226013883</v>
      </c>
      <c r="Q102" s="1516">
        <f t="shared" si="70"/>
        <v>-36.240321524105887</v>
      </c>
      <c r="R102" s="836"/>
      <c r="S102" s="836"/>
      <c r="T102" s="577"/>
      <c r="U102" s="577"/>
      <c r="V102" s="19"/>
      <c r="W102" s="19"/>
      <c r="AD102" s="577"/>
      <c r="AE102" s="577"/>
      <c r="AF102" s="577"/>
    </row>
    <row r="103" spans="2:32" ht="15" customHeight="1">
      <c r="C103" s="1515" t="str">
        <f>IF(Indice_index!$Z$1=1,"Administrações Públicas","General Government subsectors")</f>
        <v>Administrações Públicas</v>
      </c>
      <c r="D103" s="836"/>
      <c r="E103" s="830"/>
      <c r="F103" s="836"/>
      <c r="G103" s="1516">
        <f t="shared" si="60"/>
        <v>-622.30021148999992</v>
      </c>
      <c r="H103" s="1516">
        <f t="shared" si="61"/>
        <v>11.673180740000005</v>
      </c>
      <c r="I103" s="1516">
        <f t="shared" si="62"/>
        <v>3.1642408999999949</v>
      </c>
      <c r="J103" s="1516">
        <f t="shared" si="63"/>
        <v>0</v>
      </c>
      <c r="K103" s="1516">
        <f t="shared" si="64"/>
        <v>0</v>
      </c>
      <c r="L103" s="1516"/>
      <c r="M103" s="1516">
        <f t="shared" si="70"/>
        <v>-41.159257486995948</v>
      </c>
      <c r="N103" s="1516">
        <f t="shared" si="70"/>
        <v>78.03115321323429</v>
      </c>
      <c r="O103" s="1516">
        <f t="shared" si="70"/>
        <v>66.236265174642568</v>
      </c>
      <c r="P103" s="1516" t="str">
        <f t="shared" si="70"/>
        <v>-</v>
      </c>
      <c r="Q103" s="1516" t="str">
        <f t="shared" si="70"/>
        <v>-</v>
      </c>
      <c r="R103" s="836"/>
      <c r="S103" s="836"/>
      <c r="T103" s="577"/>
      <c r="U103" s="577"/>
      <c r="V103" s="19"/>
      <c r="W103" s="19"/>
      <c r="AD103" s="577"/>
      <c r="AE103" s="577"/>
      <c r="AF103" s="577"/>
    </row>
    <row r="104" spans="2:32" ht="15" customHeight="1">
      <c r="C104" s="1515" t="str">
        <f>IF(Indice_index!$Z$1=1,"Outras","Others")</f>
        <v>Outras</v>
      </c>
      <c r="D104" s="836"/>
      <c r="E104" s="830"/>
      <c r="F104" s="836"/>
      <c r="G104" s="1516">
        <f t="shared" si="60"/>
        <v>-8.7314703599999888</v>
      </c>
      <c r="H104" s="1516">
        <f t="shared" si="61"/>
        <v>-383.75031799000004</v>
      </c>
      <c r="I104" s="1516">
        <f t="shared" si="62"/>
        <v>3.1082929787339992</v>
      </c>
      <c r="J104" s="1516">
        <f t="shared" si="63"/>
        <v>-1.3420221500000002</v>
      </c>
      <c r="K104" s="1516">
        <f t="shared" si="64"/>
        <v>-390.71551752126607</v>
      </c>
      <c r="L104" s="1516"/>
      <c r="M104" s="1516">
        <f t="shared" si="70"/>
        <v>-19.300452233445348</v>
      </c>
      <c r="N104" s="1516">
        <f t="shared" si="70"/>
        <v>-47.36047780112343</v>
      </c>
      <c r="O104" s="1516">
        <f t="shared" si="70"/>
        <v>1.4069173432596775</v>
      </c>
      <c r="P104" s="1516">
        <f t="shared" si="70"/>
        <v>-79.91642226013883</v>
      </c>
      <c r="Q104" s="1516">
        <f t="shared" si="70"/>
        <v>-36.240321524105887</v>
      </c>
      <c r="R104" s="836"/>
      <c r="S104" s="836"/>
      <c r="T104" s="577"/>
      <c r="U104" s="577"/>
      <c r="V104" s="19"/>
      <c r="W104" s="19"/>
      <c r="AD104" s="577"/>
      <c r="AE104" s="577"/>
      <c r="AF104" s="577"/>
    </row>
    <row r="105" spans="2:32" ht="15" customHeight="1">
      <c r="C105" s="830" t="str">
        <f>IF(Indice_index!$Z$1=1,"Outras despesas de capital","Other capital expenditures")</f>
        <v>Outras despesas de capital</v>
      </c>
      <c r="D105" s="836"/>
      <c r="E105" s="1549"/>
      <c r="F105" s="836"/>
      <c r="G105" s="1516">
        <f t="shared" si="60"/>
        <v>-9.0546070900000011</v>
      </c>
      <c r="H105" s="1516">
        <f t="shared" si="61"/>
        <v>9.0276924799999989</v>
      </c>
      <c r="I105" s="1516">
        <f t="shared" si="62"/>
        <v>-1.8001868933755625</v>
      </c>
      <c r="J105" s="1516">
        <f t="shared" si="63"/>
        <v>0</v>
      </c>
      <c r="K105" s="1516">
        <f t="shared" si="64"/>
        <v>-1.827101503375566</v>
      </c>
      <c r="L105" s="1516"/>
      <c r="M105" s="1516">
        <f t="shared" si="70"/>
        <v>-69.719455762374309</v>
      </c>
      <c r="N105" s="1516">
        <f t="shared" si="70"/>
        <v>126.78559668413527</v>
      </c>
      <c r="O105" s="1516">
        <f t="shared" si="70"/>
        <v>-32.609160607486018</v>
      </c>
      <c r="P105" s="1516" t="str">
        <f t="shared" si="70"/>
        <v>-</v>
      </c>
      <c r="Q105" s="1516">
        <f t="shared" si="70"/>
        <v>-7.129279360537458</v>
      </c>
      <c r="R105" s="836"/>
      <c r="S105" s="836"/>
      <c r="T105" s="577"/>
      <c r="U105" s="577"/>
      <c r="V105" s="19"/>
      <c r="W105" s="19"/>
      <c r="AD105" s="577"/>
      <c r="AE105" s="577"/>
      <c r="AF105" s="577"/>
    </row>
    <row r="106" spans="2:32" ht="15" customHeight="1">
      <c r="B106" s="565"/>
      <c r="C106" s="830" t="str">
        <f>IF(Indice_index!$Z$1=1,"Diferenças de consolidação","Consolidation differences")</f>
        <v>Diferenças de consolidação</v>
      </c>
      <c r="D106" s="836"/>
      <c r="E106" s="739"/>
      <c r="F106" s="836"/>
      <c r="G106" s="1516">
        <f t="shared" si="60"/>
        <v>0.67074648999999997</v>
      </c>
      <c r="H106" s="1516">
        <f t="shared" si="61"/>
        <v>14.13861545999994</v>
      </c>
      <c r="I106" s="1516">
        <f t="shared" si="62"/>
        <v>0</v>
      </c>
      <c r="J106" s="1516">
        <f t="shared" si="63"/>
        <v>0</v>
      </c>
      <c r="K106" s="1516">
        <f t="shared" si="64"/>
        <v>18.147819809999888</v>
      </c>
      <c r="L106" s="1516"/>
      <c r="M106" s="1544" t="s">
        <v>2</v>
      </c>
      <c r="N106" s="1544" t="s">
        <v>2</v>
      </c>
      <c r="O106" s="1544" t="s">
        <v>2</v>
      </c>
      <c r="P106" s="1544" t="s">
        <v>2</v>
      </c>
      <c r="Q106" s="1544" t="s">
        <v>2</v>
      </c>
      <c r="R106" s="836"/>
      <c r="S106" s="836"/>
      <c r="T106" s="577"/>
      <c r="U106" s="577"/>
      <c r="V106" s="19"/>
      <c r="W106" s="19"/>
      <c r="AD106" s="577"/>
      <c r="AE106" s="577"/>
      <c r="AF106" s="577"/>
    </row>
    <row r="107" spans="2:32" s="554" customFormat="1" ht="4.5" customHeight="1">
      <c r="C107" s="739"/>
      <c r="D107" s="319"/>
      <c r="E107" s="319"/>
      <c r="F107" s="319"/>
      <c r="G107" s="1376"/>
      <c r="H107" s="1376"/>
      <c r="I107" s="1376"/>
      <c r="J107" s="1376"/>
      <c r="K107" s="1376"/>
      <c r="L107" s="1376"/>
      <c r="M107" s="1376"/>
      <c r="N107" s="1376"/>
      <c r="O107" s="1376"/>
      <c r="P107" s="1376"/>
      <c r="Q107" s="1376"/>
      <c r="R107" s="319"/>
      <c r="S107" s="836"/>
      <c r="T107" s="576"/>
      <c r="U107" s="576"/>
      <c r="V107" s="555"/>
      <c r="W107" s="555"/>
      <c r="X107" s="555"/>
      <c r="Y107" s="555"/>
      <c r="Z107" s="555"/>
      <c r="AA107" s="555"/>
      <c r="AB107" s="555"/>
      <c r="AC107" s="555"/>
      <c r="AD107" s="576"/>
      <c r="AE107" s="576"/>
      <c r="AF107" s="576"/>
    </row>
    <row r="108" spans="2:32" ht="15" customHeight="1">
      <c r="B108" s="565"/>
      <c r="C108" s="1520" t="str">
        <f>IF(Indice_index!$Z$1=1,"Despesa efetiva","Effective expenditure")</f>
        <v>Despesa efetiva</v>
      </c>
      <c r="D108" s="1520"/>
      <c r="E108" s="1520"/>
      <c r="F108" s="1520"/>
      <c r="G108" s="1547">
        <f>M50-G50</f>
        <v>548.06089633001829</v>
      </c>
      <c r="H108" s="1547">
        <f>N50-H50</f>
        <v>266.7928594400546</v>
      </c>
      <c r="I108" s="1547">
        <f>O50-I50</f>
        <v>339.76649210027335</v>
      </c>
      <c r="J108" s="1547">
        <f>P50-J50</f>
        <v>-1110.493919230008</v>
      </c>
      <c r="K108" s="1547">
        <f>Q50-K50</f>
        <v>142.33731381032703</v>
      </c>
      <c r="L108" s="1541"/>
      <c r="M108" s="1547">
        <f>IF(IFERROR((M50-G50)/G50*100,"")&gt;500,"-",IFERROR((M50-G50)/G50*100,""))</f>
        <v>1.648122805186341</v>
      </c>
      <c r="N108" s="1547">
        <f>IF(IFERROR((N50-H50)/H50*100,"")&gt;500,"-",IFERROR((N50-H50)/H50*100,""))</f>
        <v>1.3783560656893004</v>
      </c>
      <c r="O108" s="1547">
        <f>IF(IFERROR((O50-I50)/I50*100,"")&gt;500,"-",IFERROR((O50-I50)/I50*100,""))</f>
        <v>4.8829937375009607</v>
      </c>
      <c r="P108" s="1547">
        <f>IF(IFERROR((P50-J50)/J50*100,"")&gt;500,"-",IFERROR((P50-J50)/J50*100,""))</f>
        <v>-5.9728617719943964</v>
      </c>
      <c r="Q108" s="1547">
        <f>IF(IFERROR((Q50-K50)/K50*100,"")&gt;500,"-",IFERROR((Q50-K50)/K50*100,""))</f>
        <v>0.25722757835577287</v>
      </c>
      <c r="R108" s="1520"/>
      <c r="S108" s="836"/>
      <c r="T108" s="577"/>
      <c r="U108" s="577"/>
      <c r="V108" s="19"/>
      <c r="W108" s="19"/>
      <c r="AD108" s="577"/>
      <c r="AE108" s="577"/>
      <c r="AF108" s="577"/>
    </row>
    <row r="109" spans="2:32" s="554" customFormat="1" ht="4.5" customHeight="1">
      <c r="C109" s="319"/>
      <c r="D109" s="1550"/>
      <c r="E109" s="830"/>
      <c r="F109" s="1550"/>
      <c r="G109" s="1551"/>
      <c r="H109" s="1551"/>
      <c r="I109" s="1551"/>
      <c r="J109" s="1551"/>
      <c r="K109" s="1551"/>
      <c r="L109" s="1552"/>
      <c r="M109" s="1551"/>
      <c r="N109" s="1551"/>
      <c r="O109" s="1551"/>
      <c r="P109" s="1551"/>
      <c r="Q109" s="1551"/>
      <c r="R109" s="1550"/>
      <c r="S109" s="836"/>
      <c r="T109" s="576"/>
      <c r="U109" s="576"/>
      <c r="V109" s="555"/>
      <c r="W109" s="555"/>
      <c r="X109" s="555"/>
      <c r="Y109" s="555"/>
      <c r="Z109" s="555"/>
      <c r="AA109" s="555"/>
      <c r="AB109" s="555"/>
      <c r="AC109" s="555"/>
      <c r="AD109" s="576"/>
      <c r="AE109" s="576"/>
      <c r="AF109" s="576"/>
    </row>
    <row r="110" spans="2:32" ht="15" customHeight="1">
      <c r="C110" s="1520" t="str">
        <f>IF(Indice_index!$Z$1=1,"Saldo global","Overall balance")</f>
        <v>Saldo global</v>
      </c>
      <c r="D110" s="1520"/>
      <c r="E110" s="1520"/>
      <c r="F110" s="1520"/>
      <c r="G110" s="1547">
        <f t="shared" ref="G110:K114" si="71">M52-G52</f>
        <v>4984.0646479699753</v>
      </c>
      <c r="H110" s="1547">
        <f t="shared" si="71"/>
        <v>76.949280359953264</v>
      </c>
      <c r="I110" s="1547">
        <f t="shared" si="71"/>
        <v>233.51379079435901</v>
      </c>
      <c r="J110" s="1547">
        <f t="shared" si="71"/>
        <v>2294.4285875100068</v>
      </c>
      <c r="K110" s="1547">
        <f t="shared" si="71"/>
        <v>7588.956306634318</v>
      </c>
      <c r="L110" s="1541"/>
      <c r="M110" s="1547"/>
      <c r="N110" s="1547"/>
      <c r="O110" s="1547"/>
      <c r="P110" s="1547"/>
      <c r="Q110" s="1547"/>
      <c r="R110" s="1520"/>
      <c r="S110" s="836"/>
      <c r="T110" s="577"/>
      <c r="U110" s="577"/>
      <c r="V110" s="19"/>
      <c r="W110" s="19"/>
      <c r="AD110" s="577"/>
      <c r="AE110" s="577"/>
      <c r="AF110" s="577"/>
    </row>
    <row r="111" spans="2:32" ht="15" customHeight="1">
      <c r="C111" s="874" t="str">
        <f>IF(Indice_index!$Z$1=1,"Despesa primária","Primary expenditure")</f>
        <v>Despesa primária</v>
      </c>
      <c r="D111" s="786"/>
      <c r="E111" s="874"/>
      <c r="F111" s="786"/>
      <c r="G111" s="1384">
        <f t="shared" si="71"/>
        <v>770.49704583001949</v>
      </c>
      <c r="H111" s="1384">
        <f t="shared" si="71"/>
        <v>408.236269200057</v>
      </c>
      <c r="I111" s="1384">
        <f t="shared" si="71"/>
        <v>324.35799517300984</v>
      </c>
      <c r="J111" s="1384">
        <f t="shared" si="71"/>
        <v>-1111.0562252700074</v>
      </c>
      <c r="K111" s="1384">
        <f t="shared" si="71"/>
        <v>405.36891770306102</v>
      </c>
      <c r="L111" s="1384"/>
      <c r="M111" s="1516">
        <f>IF(IFERROR((M53-G53)/G53*100,"")&gt;500,"-",IFERROR((M53-G53)/G53*100,""))</f>
        <v>2.6326183560962684</v>
      </c>
      <c r="N111" s="1516">
        <f>IF(IFERROR((N53-H53)/H53*100,"")&gt;500,"-",IFERROR((N53-H53)/H53*100,""))</f>
        <v>2.1395118996055751</v>
      </c>
      <c r="O111" s="1516">
        <f>IF(IFERROR((O53-I53)/I53*100,"")&gt;500,"-",IFERROR((O53-I53)/I53*100,""))</f>
        <v>4.7271751918155687</v>
      </c>
      <c r="P111" s="1516">
        <f>IF(IFERROR((P53-J53)/J53*100,"")&gt;500,"-",IFERROR((P53-J53)/J53*100,""))</f>
        <v>-5.9770172308227965</v>
      </c>
      <c r="Q111" s="1516">
        <f>IF(IFERROR((Q53-K53)/K53*100,"")&gt;500,"-",IFERROR((Q53-K53)/K53*100,""))</f>
        <v>0.79317242163150159</v>
      </c>
      <c r="R111" s="1516"/>
      <c r="S111" s="836"/>
      <c r="T111" s="577"/>
      <c r="U111" s="577"/>
      <c r="V111" s="19"/>
      <c r="W111" s="19"/>
      <c r="AD111" s="577"/>
      <c r="AE111" s="577"/>
      <c r="AF111" s="577"/>
    </row>
    <row r="112" spans="2:32" ht="15" customHeight="1">
      <c r="C112" s="874" t="str">
        <f>IF(Indice_index!$Z$1=1,"Saldo corrente","Current balance")</f>
        <v>Saldo corrente</v>
      </c>
      <c r="D112" s="786"/>
      <c r="E112" s="874"/>
      <c r="F112" s="786"/>
      <c r="G112" s="1384">
        <f t="shared" si="71"/>
        <v>4224.0404092699755</v>
      </c>
      <c r="H112" s="1384">
        <f t="shared" si="71"/>
        <v>157.56235573995582</v>
      </c>
      <c r="I112" s="1384">
        <f t="shared" si="71"/>
        <v>316.99651504739995</v>
      </c>
      <c r="J112" s="1384">
        <f t="shared" si="71"/>
        <v>2290.5900250200066</v>
      </c>
      <c r="K112" s="1384">
        <f t="shared" si="71"/>
        <v>6989.1893050773506</v>
      </c>
      <c r="L112" s="1384"/>
      <c r="M112" s="1384"/>
      <c r="N112" s="1384"/>
      <c r="O112" s="1384"/>
      <c r="P112" s="1384"/>
      <c r="Q112" s="1384"/>
      <c r="R112" s="786"/>
      <c r="S112" s="836"/>
      <c r="T112" s="577"/>
      <c r="U112" s="577"/>
      <c r="V112" s="19"/>
      <c r="W112" s="19"/>
      <c r="AD112" s="577"/>
      <c r="AE112" s="577"/>
      <c r="AF112" s="577"/>
    </row>
    <row r="113" spans="2:32" ht="15" customHeight="1">
      <c r="B113" s="20"/>
      <c r="C113" s="874" t="str">
        <f>IF(Indice_index!$Z$1=1,"Saldo de capital","Capital balance")</f>
        <v>Saldo de capital</v>
      </c>
      <c r="D113" s="180"/>
      <c r="E113" s="874"/>
      <c r="F113" s="180"/>
      <c r="G113" s="1516">
        <f t="shared" si="71"/>
        <v>760.02423870000007</v>
      </c>
      <c r="H113" s="1516">
        <f t="shared" si="71"/>
        <v>-80.613075380000737</v>
      </c>
      <c r="I113" s="1516">
        <f t="shared" si="71"/>
        <v>-83.482724253040942</v>
      </c>
      <c r="J113" s="1516">
        <f t="shared" si="71"/>
        <v>3.8385624899999993</v>
      </c>
      <c r="K113" s="1516">
        <f t="shared" si="71"/>
        <v>599.76700155695789</v>
      </c>
      <c r="L113" s="1516"/>
      <c r="M113" s="1516"/>
      <c r="N113" s="1516"/>
      <c r="O113" s="1516"/>
      <c r="P113" s="1516"/>
      <c r="Q113" s="1516"/>
      <c r="R113" s="180"/>
      <c r="S113" s="836"/>
      <c r="T113" s="577"/>
      <c r="U113" s="577"/>
      <c r="V113" s="19"/>
      <c r="W113" s="19"/>
      <c r="AD113" s="577"/>
      <c r="AE113" s="577"/>
      <c r="AF113" s="577"/>
    </row>
    <row r="114" spans="2:32" ht="15" customHeight="1">
      <c r="C114" s="1553" t="str">
        <f>IF(Indice_index!$Z$1=1,"Saldo primário","Primary balance")</f>
        <v>Saldo primário</v>
      </c>
      <c r="D114" s="1527"/>
      <c r="E114" s="1553"/>
      <c r="F114" s="1527"/>
      <c r="G114" s="1527">
        <f t="shared" si="71"/>
        <v>4761.6284984699741</v>
      </c>
      <c r="H114" s="1527">
        <f t="shared" si="71"/>
        <v>-64.494129400049133</v>
      </c>
      <c r="I114" s="1527">
        <f t="shared" si="71"/>
        <v>248.92228772162252</v>
      </c>
      <c r="J114" s="1527">
        <f t="shared" si="71"/>
        <v>2294.9908935500061</v>
      </c>
      <c r="K114" s="1527">
        <f t="shared" si="71"/>
        <v>7325.924702741584</v>
      </c>
      <c r="L114" s="1527"/>
      <c r="M114" s="1527"/>
      <c r="N114" s="1527"/>
      <c r="O114" s="1527"/>
      <c r="P114" s="1527"/>
      <c r="Q114" s="1527"/>
      <c r="R114" s="1527"/>
      <c r="S114" s="836"/>
      <c r="T114" s="577"/>
      <c r="U114" s="577"/>
      <c r="V114" s="19"/>
      <c r="W114" s="19"/>
      <c r="AD114" s="577"/>
      <c r="AE114" s="577"/>
      <c r="AF114" s="577"/>
    </row>
    <row r="115" spans="2:32" ht="4.5" customHeight="1">
      <c r="C115" s="1650"/>
      <c r="D115" s="1650"/>
      <c r="E115" s="1650"/>
      <c r="F115" s="1650"/>
      <c r="G115" s="1650"/>
      <c r="H115" s="1650"/>
      <c r="I115" s="1650"/>
      <c r="J115" s="1650"/>
      <c r="K115" s="1650"/>
      <c r="L115" s="1650"/>
      <c r="M115" s="1650"/>
      <c r="N115" s="1650"/>
      <c r="O115" s="1650"/>
      <c r="P115" s="1650"/>
      <c r="Q115" s="1650"/>
      <c r="R115" s="1528"/>
      <c r="S115" s="836"/>
      <c r="X115" s="17"/>
      <c r="Y115" s="17"/>
      <c r="Z115" s="17"/>
      <c r="AA115" s="17"/>
      <c r="AB115" s="17"/>
      <c r="AC115" s="17"/>
      <c r="AD115" s="557"/>
      <c r="AE115" s="557"/>
    </row>
    <row r="116" spans="2:32" ht="15" customHeight="1">
      <c r="C116" s="1554" t="str">
        <f>IF(Indice_index!$Z$1=1,"Fonte: Direção-Geral do Orçamento","Source: Budget General Directorate")</f>
        <v>Fonte: Direção-Geral do Orçamento</v>
      </c>
      <c r="D116" s="1555"/>
      <c r="E116" s="1554"/>
      <c r="F116" s="1555"/>
      <c r="G116" s="1514"/>
      <c r="H116" s="1514"/>
      <c r="I116" s="1514"/>
      <c r="J116" s="1514"/>
      <c r="K116" s="1514"/>
      <c r="L116" s="1531"/>
      <c r="M116" s="1514"/>
      <c r="N116" s="1514"/>
      <c r="O116" s="1514"/>
      <c r="P116" s="1514"/>
      <c r="Q116" s="1514"/>
      <c r="R116" s="1555"/>
      <c r="S116" s="836"/>
      <c r="V116" s="19"/>
      <c r="W116" s="19"/>
      <c r="AD116" s="17"/>
      <c r="AE116" s="17"/>
    </row>
    <row r="117" spans="2:32">
      <c r="C117" s="692"/>
      <c r="E117" s="692"/>
      <c r="G117" s="578"/>
      <c r="H117" s="578"/>
      <c r="I117" s="578"/>
      <c r="J117" s="578"/>
      <c r="K117" s="578"/>
      <c r="M117" s="693"/>
      <c r="N117" s="693"/>
      <c r="O117" s="693"/>
      <c r="P117" s="693"/>
      <c r="Q117" s="693"/>
      <c r="S117" s="691"/>
      <c r="V117" s="19"/>
      <c r="W117" s="19"/>
      <c r="AD117" s="17"/>
      <c r="AE117" s="17"/>
    </row>
    <row r="118" spans="2:32">
      <c r="G118" s="578"/>
      <c r="H118" s="578"/>
      <c r="I118" s="578"/>
      <c r="J118" s="578"/>
      <c r="K118" s="578"/>
      <c r="M118" s="693"/>
      <c r="N118" s="693"/>
      <c r="O118" s="693"/>
      <c r="P118" s="693"/>
      <c r="Q118" s="693"/>
      <c r="S118" s="691"/>
      <c r="V118" s="19"/>
      <c r="W118" s="19"/>
      <c r="AD118" s="17"/>
      <c r="AE118" s="17"/>
    </row>
    <row r="119" spans="2:32">
      <c r="G119" s="578"/>
      <c r="H119" s="578"/>
      <c r="I119" s="578"/>
      <c r="J119" s="578"/>
      <c r="K119" s="578"/>
      <c r="L119" s="694"/>
      <c r="M119" s="693"/>
      <c r="N119" s="693"/>
      <c r="O119" s="693"/>
      <c r="P119" s="693"/>
      <c r="Q119" s="693"/>
      <c r="S119" s="691"/>
      <c r="V119" s="19"/>
      <c r="W119" s="19"/>
      <c r="AD119" s="17"/>
      <c r="AE119" s="17"/>
    </row>
    <row r="120" spans="2:32">
      <c r="G120" s="578"/>
      <c r="H120" s="578"/>
      <c r="I120" s="578"/>
      <c r="J120" s="578"/>
      <c r="K120" s="578"/>
      <c r="L120" s="694"/>
      <c r="M120" s="693"/>
      <c r="N120" s="693"/>
      <c r="O120" s="693"/>
      <c r="P120" s="693"/>
      <c r="Q120" s="693"/>
      <c r="S120" s="691"/>
      <c r="V120" s="19"/>
      <c r="W120" s="19"/>
      <c r="AD120" s="17"/>
      <c r="AE120" s="17"/>
    </row>
    <row r="121" spans="2:32">
      <c r="G121" s="578"/>
      <c r="H121" s="578"/>
      <c r="I121" s="578"/>
      <c r="J121" s="578"/>
      <c r="K121" s="578"/>
      <c r="L121" s="694"/>
      <c r="M121" s="693"/>
      <c r="N121" s="693"/>
      <c r="O121" s="693"/>
      <c r="P121" s="693"/>
      <c r="Q121" s="693"/>
      <c r="S121" s="691"/>
      <c r="V121" s="19"/>
      <c r="W121" s="19"/>
      <c r="AD121" s="17"/>
      <c r="AE121" s="17"/>
    </row>
    <row r="122" spans="2:32">
      <c r="G122" s="578"/>
      <c r="H122" s="578"/>
      <c r="I122" s="578"/>
      <c r="J122" s="578"/>
      <c r="K122" s="578"/>
      <c r="L122" s="694"/>
      <c r="M122" s="693"/>
      <c r="N122" s="693"/>
      <c r="O122" s="693"/>
      <c r="P122" s="693"/>
      <c r="Q122" s="693"/>
      <c r="S122" s="691"/>
      <c r="V122" s="19"/>
      <c r="W122" s="19"/>
      <c r="AD122" s="17"/>
      <c r="AE122" s="17"/>
    </row>
    <row r="123" spans="2:32">
      <c r="G123" s="578"/>
      <c r="H123" s="578"/>
      <c r="I123" s="578"/>
      <c r="J123" s="578"/>
      <c r="K123" s="578"/>
      <c r="L123" s="694"/>
      <c r="M123" s="693"/>
      <c r="N123" s="693"/>
      <c r="O123" s="693"/>
      <c r="P123" s="693"/>
      <c r="Q123" s="693"/>
      <c r="S123" s="691"/>
      <c r="V123" s="19"/>
      <c r="W123" s="19"/>
      <c r="AD123" s="17"/>
      <c r="AE123" s="17"/>
    </row>
    <row r="124" spans="2:32">
      <c r="G124" s="578"/>
      <c r="H124" s="578"/>
      <c r="I124" s="578"/>
      <c r="J124" s="578"/>
      <c r="K124" s="578"/>
      <c r="L124" s="694"/>
      <c r="M124" s="693"/>
      <c r="N124" s="693"/>
      <c r="O124" s="693"/>
      <c r="P124" s="693"/>
      <c r="Q124" s="693"/>
      <c r="S124" s="691"/>
      <c r="V124" s="19"/>
      <c r="W124" s="19"/>
      <c r="AD124" s="17"/>
      <c r="AE124" s="17"/>
    </row>
    <row r="125" spans="2:32">
      <c r="G125" s="578"/>
      <c r="H125" s="578"/>
      <c r="I125" s="578"/>
      <c r="J125" s="578"/>
      <c r="K125" s="578"/>
      <c r="M125" s="693"/>
      <c r="N125" s="693"/>
      <c r="O125" s="693"/>
      <c r="P125" s="693"/>
      <c r="Q125" s="693"/>
      <c r="S125" s="691"/>
      <c r="V125" s="19"/>
      <c r="W125" s="19"/>
      <c r="AD125" s="17"/>
      <c r="AE125" s="17"/>
    </row>
    <row r="126" spans="2:32">
      <c r="G126" s="578"/>
      <c r="H126" s="578"/>
      <c r="I126" s="578"/>
      <c r="J126" s="578"/>
      <c r="K126" s="578"/>
      <c r="M126" s="693"/>
      <c r="N126" s="693"/>
      <c r="O126" s="693"/>
      <c r="P126" s="693"/>
      <c r="Q126" s="693"/>
      <c r="S126" s="691"/>
      <c r="V126" s="19"/>
      <c r="W126" s="19"/>
      <c r="AD126" s="17"/>
      <c r="AE126" s="17"/>
    </row>
    <row r="127" spans="2:32">
      <c r="G127" s="578"/>
      <c r="H127" s="578"/>
      <c r="I127" s="578"/>
      <c r="J127" s="578"/>
      <c r="K127" s="578"/>
      <c r="M127" s="693"/>
      <c r="N127" s="693"/>
      <c r="O127" s="693"/>
      <c r="P127" s="693"/>
      <c r="Q127" s="693"/>
      <c r="S127" s="691"/>
      <c r="V127" s="19"/>
      <c r="W127" s="19"/>
      <c r="AD127" s="17"/>
      <c r="AE127" s="17"/>
    </row>
    <row r="128" spans="2:32">
      <c r="G128" s="578"/>
      <c r="H128" s="578"/>
      <c r="I128" s="578"/>
      <c r="J128" s="578"/>
      <c r="K128" s="578"/>
      <c r="M128" s="693"/>
      <c r="N128" s="693"/>
      <c r="O128" s="693"/>
      <c r="P128" s="693"/>
      <c r="Q128" s="693"/>
      <c r="S128" s="691"/>
      <c r="V128" s="19"/>
      <c r="W128" s="19"/>
      <c r="AD128" s="17"/>
      <c r="AE128" s="17"/>
    </row>
    <row r="129" spans="7:31">
      <c r="G129" s="578"/>
      <c r="H129" s="578"/>
      <c r="I129" s="578"/>
      <c r="J129" s="578"/>
      <c r="K129" s="578"/>
      <c r="M129" s="693"/>
      <c r="N129" s="693"/>
      <c r="O129" s="693"/>
      <c r="P129" s="693"/>
      <c r="Q129" s="693"/>
      <c r="S129" s="691"/>
      <c r="V129" s="19"/>
      <c r="W129" s="19"/>
      <c r="AD129" s="17"/>
      <c r="AE129" s="17"/>
    </row>
    <row r="130" spans="7:31">
      <c r="G130" s="578"/>
      <c r="H130" s="578"/>
      <c r="I130" s="578"/>
      <c r="J130" s="578"/>
      <c r="K130" s="578"/>
      <c r="M130" s="693"/>
      <c r="N130" s="693"/>
      <c r="O130" s="693"/>
      <c r="P130" s="693"/>
      <c r="Q130" s="693"/>
      <c r="S130" s="691"/>
      <c r="V130" s="19"/>
      <c r="W130" s="19"/>
      <c r="AD130" s="17"/>
      <c r="AE130" s="17"/>
    </row>
    <row r="131" spans="7:31">
      <c r="G131" s="578"/>
      <c r="H131" s="578"/>
      <c r="I131" s="578"/>
      <c r="J131" s="578"/>
      <c r="K131" s="578"/>
      <c r="M131" s="693"/>
      <c r="N131" s="693"/>
      <c r="O131" s="693"/>
      <c r="P131" s="693"/>
      <c r="Q131" s="693"/>
      <c r="S131" s="691"/>
      <c r="V131" s="19"/>
      <c r="W131" s="19"/>
      <c r="AD131" s="17"/>
      <c r="AE131" s="17"/>
    </row>
    <row r="132" spans="7:31">
      <c r="G132" s="578"/>
      <c r="H132" s="578"/>
      <c r="I132" s="578"/>
      <c r="J132" s="578"/>
      <c r="K132" s="578"/>
      <c r="M132" s="693"/>
      <c r="N132" s="693"/>
      <c r="O132" s="693"/>
      <c r="P132" s="693"/>
      <c r="Q132" s="693"/>
      <c r="S132" s="691"/>
      <c r="V132" s="19"/>
      <c r="W132" s="19"/>
      <c r="AD132" s="17"/>
      <c r="AE132" s="17"/>
    </row>
    <row r="133" spans="7:31">
      <c r="G133" s="578"/>
      <c r="H133" s="578"/>
      <c r="I133" s="578"/>
      <c r="J133" s="578"/>
      <c r="K133" s="578"/>
      <c r="M133" s="693"/>
      <c r="N133" s="693"/>
      <c r="O133" s="693"/>
      <c r="P133" s="693"/>
      <c r="Q133" s="693"/>
      <c r="S133" s="691"/>
      <c r="V133" s="19"/>
      <c r="W133" s="19"/>
      <c r="AD133" s="17"/>
      <c r="AE133" s="17"/>
    </row>
    <row r="134" spans="7:31">
      <c r="G134" s="578"/>
      <c r="H134" s="578"/>
      <c r="I134" s="578"/>
      <c r="J134" s="578"/>
      <c r="K134" s="578"/>
      <c r="M134" s="693"/>
      <c r="N134" s="693"/>
      <c r="O134" s="693"/>
      <c r="P134" s="693"/>
      <c r="Q134" s="693"/>
      <c r="S134" s="691"/>
      <c r="V134" s="19"/>
      <c r="W134" s="19"/>
      <c r="AD134" s="17"/>
      <c r="AE134" s="17"/>
    </row>
    <row r="135" spans="7:31">
      <c r="G135" s="578"/>
      <c r="H135" s="578"/>
      <c r="I135" s="578"/>
      <c r="J135" s="578"/>
      <c r="K135" s="578"/>
      <c r="M135" s="693"/>
      <c r="N135" s="693"/>
      <c r="O135" s="693"/>
      <c r="P135" s="693"/>
      <c r="Q135" s="693"/>
      <c r="S135" s="691"/>
      <c r="V135" s="19"/>
      <c r="W135" s="19"/>
      <c r="AD135" s="17"/>
      <c r="AE135" s="17"/>
    </row>
    <row r="136" spans="7:31">
      <c r="G136" s="578"/>
      <c r="H136" s="578"/>
      <c r="I136" s="578"/>
      <c r="J136" s="578"/>
      <c r="K136" s="578"/>
      <c r="M136" s="693"/>
      <c r="N136" s="693"/>
      <c r="O136" s="693"/>
      <c r="P136" s="693"/>
      <c r="Q136" s="693"/>
      <c r="S136" s="691"/>
      <c r="V136" s="19"/>
      <c r="W136" s="19"/>
      <c r="AD136" s="17"/>
      <c r="AE136" s="17"/>
    </row>
    <row r="137" spans="7:31">
      <c r="G137" s="578"/>
      <c r="H137" s="578"/>
      <c r="I137" s="578"/>
      <c r="J137" s="578"/>
      <c r="K137" s="578"/>
      <c r="M137" s="693"/>
      <c r="N137" s="693"/>
      <c r="O137" s="693"/>
      <c r="P137" s="693"/>
      <c r="Q137" s="693"/>
      <c r="S137" s="691"/>
      <c r="V137" s="19"/>
      <c r="W137" s="19"/>
      <c r="AD137" s="17"/>
      <c r="AE137" s="17"/>
    </row>
    <row r="138" spans="7:31">
      <c r="G138" s="578"/>
      <c r="H138" s="578"/>
      <c r="I138" s="578"/>
      <c r="J138" s="578"/>
      <c r="K138" s="578"/>
      <c r="M138" s="693"/>
      <c r="N138" s="693"/>
      <c r="O138" s="693"/>
      <c r="P138" s="693"/>
      <c r="Q138" s="693"/>
      <c r="S138" s="691"/>
      <c r="V138" s="19"/>
      <c r="W138" s="19"/>
      <c r="AD138" s="17"/>
      <c r="AE138" s="17"/>
    </row>
    <row r="139" spans="7:31">
      <c r="G139" s="578"/>
      <c r="H139" s="578"/>
      <c r="I139" s="578"/>
      <c r="J139" s="578"/>
      <c r="K139" s="578"/>
      <c r="M139" s="693"/>
      <c r="N139" s="693"/>
      <c r="O139" s="693"/>
      <c r="P139" s="693"/>
      <c r="Q139" s="693"/>
      <c r="S139" s="691"/>
      <c r="V139" s="19"/>
      <c r="W139" s="19"/>
      <c r="AD139" s="17"/>
      <c r="AE139" s="17"/>
    </row>
    <row r="140" spans="7:31">
      <c r="G140" s="578"/>
      <c r="H140" s="578"/>
      <c r="I140" s="578"/>
      <c r="J140" s="578"/>
      <c r="K140" s="578"/>
      <c r="M140" s="693"/>
      <c r="N140" s="693"/>
      <c r="O140" s="693"/>
      <c r="P140" s="693"/>
      <c r="Q140" s="693"/>
      <c r="S140" s="691"/>
      <c r="V140" s="19"/>
      <c r="W140" s="19"/>
      <c r="AD140" s="17"/>
      <c r="AE140" s="17"/>
    </row>
    <row r="141" spans="7:31">
      <c r="G141" s="578"/>
      <c r="H141" s="578"/>
      <c r="I141" s="578"/>
      <c r="J141" s="578"/>
      <c r="K141" s="578"/>
      <c r="M141" s="693"/>
      <c r="N141" s="693"/>
      <c r="O141" s="693"/>
      <c r="P141" s="693"/>
      <c r="Q141" s="693"/>
      <c r="S141" s="691"/>
      <c r="V141" s="19"/>
      <c r="W141" s="19"/>
      <c r="AD141" s="17"/>
      <c r="AE141" s="17"/>
    </row>
    <row r="142" spans="7:31">
      <c r="G142" s="578"/>
      <c r="H142" s="578"/>
      <c r="I142" s="578"/>
      <c r="J142" s="578"/>
      <c r="K142" s="578"/>
      <c r="M142" s="693"/>
      <c r="N142" s="693"/>
      <c r="O142" s="693"/>
      <c r="P142" s="693"/>
      <c r="Q142" s="693"/>
      <c r="S142" s="691"/>
      <c r="V142" s="19"/>
      <c r="W142" s="19"/>
      <c r="AD142" s="17"/>
      <c r="AE142" s="17"/>
    </row>
    <row r="143" spans="7:31">
      <c r="G143" s="578"/>
      <c r="H143" s="578"/>
      <c r="I143" s="578"/>
      <c r="J143" s="578"/>
      <c r="K143" s="578"/>
      <c r="M143" s="693"/>
      <c r="N143" s="693"/>
      <c r="O143" s="693"/>
      <c r="P143" s="693"/>
      <c r="Q143" s="693"/>
      <c r="S143" s="691"/>
      <c r="V143" s="19"/>
      <c r="W143" s="19"/>
      <c r="AD143" s="17"/>
      <c r="AE143" s="17"/>
    </row>
    <row r="144" spans="7:31">
      <c r="G144" s="578"/>
      <c r="H144" s="578"/>
      <c r="I144" s="578"/>
      <c r="J144" s="578"/>
      <c r="K144" s="578"/>
      <c r="M144" s="693"/>
      <c r="N144" s="693"/>
      <c r="O144" s="693"/>
      <c r="P144" s="693"/>
      <c r="Q144" s="693"/>
      <c r="S144" s="691"/>
      <c r="V144" s="19"/>
      <c r="W144" s="19"/>
      <c r="AD144" s="17"/>
      <c r="AE144" s="17"/>
    </row>
    <row r="145" spans="7:31">
      <c r="G145" s="578"/>
      <c r="H145" s="578"/>
      <c r="I145" s="578"/>
      <c r="J145" s="578"/>
      <c r="K145" s="578"/>
      <c r="M145" s="693"/>
      <c r="N145" s="693"/>
      <c r="O145" s="693"/>
      <c r="P145" s="693"/>
      <c r="Q145" s="693"/>
      <c r="S145" s="691"/>
      <c r="V145" s="19"/>
      <c r="W145" s="19"/>
      <c r="AD145" s="17"/>
      <c r="AE145" s="17"/>
    </row>
    <row r="146" spans="7:31">
      <c r="G146" s="578"/>
      <c r="H146" s="578"/>
      <c r="I146" s="578"/>
      <c r="J146" s="578"/>
      <c r="K146" s="578"/>
      <c r="M146" s="693"/>
      <c r="N146" s="693"/>
      <c r="O146" s="693"/>
      <c r="P146" s="693"/>
      <c r="Q146" s="693"/>
      <c r="S146" s="691"/>
      <c r="V146" s="19"/>
      <c r="W146" s="19"/>
      <c r="AD146" s="17"/>
      <c r="AE146" s="17"/>
    </row>
    <row r="147" spans="7:31">
      <c r="G147" s="578"/>
      <c r="H147" s="578"/>
      <c r="I147" s="578"/>
      <c r="J147" s="578"/>
      <c r="K147" s="578"/>
      <c r="S147" s="691"/>
      <c r="V147" s="19"/>
      <c r="W147" s="19"/>
      <c r="AD147" s="17"/>
      <c r="AE147" s="17"/>
    </row>
    <row r="148" spans="7:31">
      <c r="G148" s="578"/>
      <c r="H148" s="578"/>
      <c r="I148" s="578"/>
      <c r="J148" s="578"/>
      <c r="K148" s="578"/>
      <c r="S148" s="691"/>
      <c r="V148" s="19"/>
      <c r="W148" s="19"/>
      <c r="AD148" s="17"/>
      <c r="AE148" s="17"/>
    </row>
    <row r="149" spans="7:31">
      <c r="G149" s="578"/>
      <c r="H149" s="578"/>
      <c r="I149" s="578"/>
      <c r="J149" s="578"/>
      <c r="K149" s="578"/>
      <c r="S149" s="691"/>
      <c r="V149" s="19"/>
      <c r="W149" s="19"/>
      <c r="AD149" s="17"/>
      <c r="AE149" s="17"/>
    </row>
    <row r="150" spans="7:31">
      <c r="G150" s="578"/>
      <c r="H150" s="578"/>
      <c r="I150" s="578"/>
      <c r="J150" s="578"/>
      <c r="K150" s="578"/>
      <c r="S150" s="691"/>
      <c r="V150" s="19"/>
      <c r="W150" s="19"/>
      <c r="AD150" s="17"/>
      <c r="AE150" s="17"/>
    </row>
    <row r="151" spans="7:31">
      <c r="G151" s="578"/>
      <c r="H151" s="578"/>
      <c r="I151" s="578"/>
      <c r="J151" s="578"/>
      <c r="K151" s="578"/>
      <c r="S151" s="691"/>
      <c r="V151" s="19"/>
      <c r="W151" s="19"/>
      <c r="AD151" s="17"/>
      <c r="AE151" s="17"/>
    </row>
    <row r="152" spans="7:31">
      <c r="G152" s="578"/>
      <c r="H152" s="578"/>
      <c r="I152" s="578"/>
      <c r="J152" s="578"/>
      <c r="K152" s="578"/>
      <c r="S152" s="691"/>
      <c r="V152" s="19"/>
      <c r="W152" s="19"/>
      <c r="AD152" s="17"/>
      <c r="AE152" s="17"/>
    </row>
    <row r="153" spans="7:31">
      <c r="G153" s="578"/>
      <c r="H153" s="578"/>
      <c r="I153" s="578"/>
      <c r="J153" s="578"/>
      <c r="K153" s="578"/>
      <c r="S153" s="691"/>
      <c r="V153" s="19"/>
      <c r="W153" s="19"/>
      <c r="AD153" s="17"/>
      <c r="AE153" s="17"/>
    </row>
    <row r="154" spans="7:31">
      <c r="G154" s="578"/>
      <c r="H154" s="578"/>
      <c r="I154" s="578"/>
      <c r="J154" s="578"/>
      <c r="K154" s="578"/>
      <c r="S154" s="691"/>
      <c r="V154" s="19"/>
      <c r="W154" s="19"/>
      <c r="AD154" s="17"/>
      <c r="AE154" s="17"/>
    </row>
    <row r="155" spans="7:31">
      <c r="G155" s="578"/>
      <c r="H155" s="578"/>
      <c r="I155" s="578"/>
      <c r="J155" s="578"/>
      <c r="K155" s="578"/>
      <c r="S155" s="691"/>
      <c r="V155" s="19"/>
      <c r="W155" s="19"/>
      <c r="AD155" s="17"/>
      <c r="AE155" s="17"/>
    </row>
    <row r="156" spans="7:31">
      <c r="G156" s="578"/>
      <c r="H156" s="578"/>
      <c r="I156" s="578"/>
      <c r="J156" s="578"/>
      <c r="K156" s="578"/>
      <c r="S156" s="691"/>
      <c r="V156" s="19"/>
      <c r="W156" s="19"/>
      <c r="AD156" s="17"/>
      <c r="AE156" s="17"/>
    </row>
    <row r="157" spans="7:31">
      <c r="G157" s="578"/>
      <c r="H157" s="578"/>
      <c r="I157" s="578"/>
      <c r="J157" s="578"/>
      <c r="K157" s="578"/>
      <c r="S157" s="691"/>
      <c r="V157" s="19"/>
      <c r="W157" s="19"/>
      <c r="AD157" s="17"/>
      <c r="AE157" s="17"/>
    </row>
    <row r="158" spans="7:31">
      <c r="G158" s="578"/>
      <c r="H158" s="578"/>
      <c r="I158" s="578"/>
      <c r="J158" s="578"/>
      <c r="K158" s="578"/>
      <c r="S158" s="691"/>
      <c r="V158" s="19"/>
      <c r="W158" s="19"/>
      <c r="AD158" s="17"/>
      <c r="AE158" s="17"/>
    </row>
    <row r="159" spans="7:31">
      <c r="G159" s="578"/>
      <c r="H159" s="578"/>
      <c r="I159" s="578"/>
      <c r="J159" s="578"/>
      <c r="K159" s="578"/>
      <c r="S159" s="691"/>
      <c r="V159" s="19"/>
      <c r="W159" s="19"/>
      <c r="AD159" s="17"/>
      <c r="AE159" s="17"/>
    </row>
    <row r="160" spans="7:31">
      <c r="G160" s="578"/>
      <c r="H160" s="578"/>
      <c r="I160" s="578"/>
      <c r="J160" s="578"/>
      <c r="K160" s="578"/>
      <c r="S160" s="691"/>
      <c r="V160" s="19"/>
      <c r="W160" s="19"/>
      <c r="AD160" s="17"/>
      <c r="AE160" s="17"/>
    </row>
    <row r="161" spans="7:31">
      <c r="S161" s="691"/>
      <c r="V161" s="19"/>
      <c r="W161" s="19"/>
      <c r="AD161" s="17"/>
      <c r="AE161" s="17"/>
    </row>
    <row r="162" spans="7:31">
      <c r="G162" s="578"/>
      <c r="H162" s="578"/>
      <c r="I162" s="578"/>
      <c r="J162" s="578"/>
      <c r="K162" s="578"/>
      <c r="S162" s="691"/>
      <c r="V162" s="19"/>
      <c r="W162" s="19"/>
      <c r="AD162" s="17"/>
      <c r="AE162" s="17"/>
    </row>
    <row r="163" spans="7:31">
      <c r="G163" s="578"/>
      <c r="H163" s="578"/>
      <c r="I163" s="578"/>
      <c r="J163" s="578"/>
      <c r="K163" s="578"/>
      <c r="S163" s="691"/>
      <c r="V163" s="19"/>
      <c r="W163" s="19"/>
      <c r="AD163" s="17"/>
      <c r="AE163" s="17"/>
    </row>
    <row r="164" spans="7:31">
      <c r="G164" s="578"/>
      <c r="H164" s="578"/>
      <c r="I164" s="578"/>
      <c r="J164" s="578"/>
      <c r="K164" s="578"/>
      <c r="S164" s="691"/>
      <c r="V164" s="19"/>
      <c r="W164" s="19"/>
      <c r="AD164" s="17"/>
      <c r="AE164" s="17"/>
    </row>
    <row r="165" spans="7:31">
      <c r="G165" s="578"/>
      <c r="H165" s="578"/>
      <c r="I165" s="578"/>
      <c r="J165" s="578"/>
      <c r="K165" s="578"/>
      <c r="S165" s="691"/>
      <c r="V165" s="19"/>
      <c r="W165" s="19"/>
      <c r="AD165" s="17"/>
      <c r="AE165" s="17"/>
    </row>
    <row r="166" spans="7:31">
      <c r="G166" s="578"/>
      <c r="H166" s="578"/>
      <c r="I166" s="578"/>
      <c r="J166" s="578"/>
      <c r="K166" s="578"/>
      <c r="S166" s="691"/>
      <c r="V166" s="19"/>
      <c r="W166" s="19"/>
      <c r="AD166" s="17"/>
      <c r="AE166" s="17"/>
    </row>
    <row r="167" spans="7:31">
      <c r="G167" s="578"/>
      <c r="H167" s="578"/>
      <c r="I167" s="578"/>
      <c r="J167" s="578"/>
      <c r="K167" s="578"/>
      <c r="S167" s="691"/>
      <c r="V167" s="19"/>
      <c r="W167" s="19"/>
      <c r="AD167" s="17"/>
      <c r="AE167" s="17"/>
    </row>
    <row r="168" spans="7:31">
      <c r="G168" s="578"/>
      <c r="H168" s="578"/>
      <c r="I168" s="578"/>
      <c r="J168" s="578"/>
      <c r="K168" s="578"/>
      <c r="S168" s="691"/>
      <c r="V168" s="19"/>
      <c r="W168" s="19"/>
      <c r="AD168" s="17"/>
      <c r="AE168" s="17"/>
    </row>
    <row r="169" spans="7:31">
      <c r="G169" s="578"/>
      <c r="H169" s="578"/>
      <c r="I169" s="578"/>
      <c r="J169" s="578"/>
      <c r="K169" s="578"/>
      <c r="S169" s="691"/>
      <c r="V169" s="19"/>
      <c r="W169" s="19"/>
      <c r="AD169" s="17"/>
      <c r="AE169" s="17"/>
    </row>
    <row r="170" spans="7:31">
      <c r="G170" s="578"/>
      <c r="H170" s="578"/>
      <c r="I170" s="578"/>
      <c r="J170" s="578"/>
      <c r="K170" s="578"/>
      <c r="S170" s="691"/>
      <c r="V170" s="19"/>
      <c r="W170" s="19"/>
      <c r="AD170" s="17"/>
      <c r="AE170" s="17"/>
    </row>
    <row r="171" spans="7:31">
      <c r="G171" s="578"/>
      <c r="H171" s="578"/>
      <c r="I171" s="578"/>
      <c r="J171" s="578"/>
      <c r="K171" s="578"/>
      <c r="S171" s="691"/>
      <c r="V171" s="19"/>
      <c r="W171" s="19"/>
      <c r="AD171" s="17"/>
      <c r="AE171" s="17"/>
    </row>
    <row r="172" spans="7:31">
      <c r="G172" s="578"/>
      <c r="H172" s="578"/>
      <c r="I172" s="578"/>
      <c r="J172" s="578"/>
      <c r="K172" s="578"/>
      <c r="S172" s="691"/>
      <c r="V172" s="19"/>
      <c r="W172" s="19"/>
      <c r="AD172" s="17"/>
      <c r="AE172" s="17"/>
    </row>
    <row r="173" spans="7:31">
      <c r="G173" s="578"/>
      <c r="H173" s="578"/>
      <c r="I173" s="578"/>
      <c r="J173" s="578"/>
      <c r="K173" s="578"/>
      <c r="S173" s="691"/>
      <c r="V173" s="19"/>
      <c r="W173" s="19"/>
      <c r="AD173" s="17"/>
      <c r="AE173" s="17"/>
    </row>
    <row r="174" spans="7:31">
      <c r="G174" s="578"/>
      <c r="H174" s="578"/>
      <c r="I174" s="578"/>
      <c r="J174" s="578"/>
      <c r="K174" s="578"/>
      <c r="S174" s="691"/>
      <c r="V174" s="19"/>
      <c r="W174" s="19"/>
      <c r="AD174" s="17"/>
      <c r="AE174" s="17"/>
    </row>
    <row r="175" spans="7:31">
      <c r="G175" s="578"/>
      <c r="H175" s="578"/>
      <c r="I175" s="578"/>
      <c r="J175" s="578"/>
      <c r="K175" s="578"/>
      <c r="S175" s="691"/>
      <c r="V175" s="19"/>
      <c r="W175" s="19"/>
      <c r="AD175" s="17"/>
      <c r="AE175" s="17"/>
    </row>
    <row r="176" spans="7:31">
      <c r="S176" s="691"/>
      <c r="V176" s="19"/>
      <c r="W176" s="19"/>
      <c r="AD176" s="17"/>
      <c r="AE176" s="17"/>
    </row>
    <row r="177" spans="19:31">
      <c r="S177" s="691"/>
      <c r="V177" s="19"/>
      <c r="W177" s="19"/>
      <c r="AD177" s="17"/>
      <c r="AE177" s="17"/>
    </row>
    <row r="178" spans="19:31">
      <c r="S178" s="691"/>
      <c r="V178" s="19"/>
      <c r="W178" s="19"/>
      <c r="AD178" s="17"/>
      <c r="AE178" s="17"/>
    </row>
    <row r="179" spans="19:31">
      <c r="S179" s="691"/>
      <c r="V179" s="19"/>
      <c r="W179" s="19"/>
      <c r="AD179" s="17"/>
      <c r="AE179" s="17"/>
    </row>
    <row r="180" spans="19:31">
      <c r="S180" s="691"/>
      <c r="V180" s="19"/>
      <c r="W180" s="19"/>
      <c r="AD180" s="17"/>
      <c r="AE180" s="17"/>
    </row>
    <row r="181" spans="19:31">
      <c r="S181" s="691"/>
      <c r="V181" s="19"/>
      <c r="W181" s="19"/>
      <c r="AD181" s="17"/>
      <c r="AE181" s="17"/>
    </row>
    <row r="182" spans="19:31">
      <c r="S182" s="691"/>
      <c r="V182" s="19"/>
      <c r="W182" s="19"/>
      <c r="AD182" s="17"/>
      <c r="AE182" s="17"/>
    </row>
    <row r="183" spans="19:31">
      <c r="S183" s="691"/>
      <c r="V183" s="19"/>
      <c r="W183" s="19"/>
      <c r="AD183" s="17"/>
      <c r="AE183" s="17"/>
    </row>
    <row r="184" spans="19:31">
      <c r="S184" s="691"/>
      <c r="V184" s="19"/>
      <c r="W184" s="19"/>
      <c r="AD184" s="17"/>
      <c r="AE184" s="17"/>
    </row>
    <row r="185" spans="19:31">
      <c r="S185" s="691"/>
      <c r="V185" s="19"/>
      <c r="W185" s="19"/>
      <c r="AD185" s="17"/>
      <c r="AE185" s="17"/>
    </row>
    <row r="186" spans="19:31">
      <c r="S186" s="691"/>
      <c r="V186" s="19"/>
      <c r="W186" s="19"/>
      <c r="AD186" s="17"/>
      <c r="AE186" s="17"/>
    </row>
    <row r="187" spans="19:31">
      <c r="S187" s="691"/>
      <c r="V187" s="19"/>
      <c r="W187" s="19"/>
      <c r="AD187" s="17"/>
      <c r="AE187" s="17"/>
    </row>
    <row r="188" spans="19:31">
      <c r="S188" s="691"/>
      <c r="V188" s="19"/>
      <c r="W188" s="19"/>
      <c r="AD188" s="17"/>
      <c r="AE188" s="17"/>
    </row>
    <row r="189" spans="19:31">
      <c r="S189" s="691"/>
      <c r="V189" s="19"/>
      <c r="W189" s="19"/>
      <c r="AD189" s="17"/>
      <c r="AE189" s="17"/>
    </row>
    <row r="190" spans="19:31">
      <c r="S190" s="691"/>
      <c r="V190" s="19"/>
      <c r="W190" s="19"/>
      <c r="AD190" s="17"/>
      <c r="AE190" s="17"/>
    </row>
    <row r="191" spans="19:31">
      <c r="S191" s="691"/>
      <c r="V191" s="19"/>
      <c r="W191" s="19"/>
      <c r="AD191" s="17"/>
      <c r="AE191" s="17"/>
    </row>
    <row r="192" spans="19:31">
      <c r="S192" s="691"/>
      <c r="V192" s="19"/>
      <c r="W192" s="19"/>
      <c r="AD192" s="17"/>
      <c r="AE192" s="17"/>
    </row>
    <row r="193" spans="19:31">
      <c r="S193" s="691"/>
      <c r="V193" s="19"/>
      <c r="W193" s="19"/>
      <c r="AD193" s="17"/>
      <c r="AE193" s="17"/>
    </row>
    <row r="194" spans="19:31">
      <c r="S194" s="691"/>
      <c r="V194" s="19"/>
      <c r="W194" s="19"/>
      <c r="AD194" s="17"/>
      <c r="AE194" s="17"/>
    </row>
    <row r="195" spans="19:31">
      <c r="S195" s="691"/>
      <c r="V195" s="19"/>
      <c r="W195" s="19"/>
      <c r="AD195" s="17"/>
      <c r="AE195" s="17"/>
    </row>
    <row r="196" spans="19:31">
      <c r="S196" s="691"/>
      <c r="V196" s="19"/>
      <c r="W196" s="19"/>
      <c r="AD196" s="17"/>
      <c r="AE196" s="17"/>
    </row>
    <row r="197" spans="19:31">
      <c r="S197" s="691"/>
      <c r="V197" s="19"/>
      <c r="W197" s="19"/>
      <c r="AD197" s="17"/>
      <c r="AE197" s="17"/>
    </row>
    <row r="198" spans="19:31">
      <c r="S198" s="691"/>
      <c r="V198" s="19"/>
      <c r="W198" s="19"/>
      <c r="AD198" s="17"/>
      <c r="AE198" s="17"/>
    </row>
    <row r="199" spans="19:31">
      <c r="S199" s="691"/>
      <c r="V199" s="19"/>
      <c r="W199" s="19"/>
      <c r="AD199" s="17"/>
      <c r="AE199" s="17"/>
    </row>
    <row r="200" spans="19:31">
      <c r="S200" s="691"/>
      <c r="V200" s="19"/>
      <c r="W200" s="19"/>
      <c r="AD200" s="17"/>
      <c r="AE200" s="17"/>
    </row>
    <row r="201" spans="19:31">
      <c r="S201" s="691"/>
    </row>
    <row r="202" spans="19:31">
      <c r="S202" s="691"/>
    </row>
    <row r="203" spans="19:31">
      <c r="S203" s="691"/>
    </row>
    <row r="204" spans="19:31">
      <c r="S204" s="691"/>
    </row>
    <row r="205" spans="19:31">
      <c r="S205" s="691"/>
    </row>
    <row r="206" spans="19:31">
      <c r="S206" s="691"/>
    </row>
    <row r="207" spans="19:31">
      <c r="S207" s="691"/>
    </row>
    <row r="208" spans="19:31">
      <c r="S208" s="691"/>
    </row>
    <row r="209" spans="3:19">
      <c r="S209" s="691"/>
    </row>
    <row r="210" spans="3:19">
      <c r="S210" s="691"/>
    </row>
    <row r="218" spans="3:19">
      <c r="C218" s="579" t="s">
        <v>3</v>
      </c>
    </row>
  </sheetData>
  <mergeCells count="13">
    <mergeCell ref="X8:Y8"/>
    <mergeCell ref="Z8:AA8"/>
    <mergeCell ref="AB8:AC8"/>
    <mergeCell ref="AD8:AE8"/>
    <mergeCell ref="G6:Q6"/>
    <mergeCell ref="G7:K7"/>
    <mergeCell ref="M7:Q7"/>
    <mergeCell ref="C57:Q57"/>
    <mergeCell ref="C115:Q115"/>
    <mergeCell ref="C60:Q60"/>
    <mergeCell ref="G65:K65"/>
    <mergeCell ref="M65:Q65"/>
    <mergeCell ref="C59:S59"/>
  </mergeCells>
  <printOptions horizontalCentered="1"/>
  <pageMargins left="0.70866141732283472" right="0.70866141732283472" top="0.74803149606299213" bottom="0.74803149606299213" header="0.74803149606299213" footer="0.35433070866141736"/>
  <pageSetup paperSize="9" scale="57" fitToHeight="2" orientation="portrait" r:id="rId1"/>
  <headerFooter differentOddEven="1">
    <oddFooter>&amp;R&amp;G</oddFooter>
    <evenFooter>&amp;L&amp;G</evenFooter>
  </headerFooter>
  <rowBreaks count="1" manualBreakCount="1">
    <brk id="62" max="18" man="1"/>
  </rowBreaks>
  <ignoredErrors>
    <ignoredError sqref="C5 C37:C49 C15:C16 C73:C84 C31:C33 C58 C22:C23 C11:C12 C64 C51:C52 C86:C104 M6:Q6 H6:L6 E6:F6" unlockedFormula="1"/>
    <ignoredError sqref="C19" formula="1"/>
    <ignoredError sqref="F7 H7:M7 N7:Q7 S7" numberStoredAsText="1"/>
    <ignoredError sqref="G7 E7" numberStoredAsText="1" unlockedFormula="1"/>
  </ignoredErrors>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olha6">
    <pageSetUpPr fitToPage="1"/>
  </sheetPr>
  <dimension ref="B2:T48"/>
  <sheetViews>
    <sheetView showGridLines="0" zoomScaleNormal="100" zoomScaleSheetLayoutView="100" workbookViewId="0">
      <selection activeCell="K18" sqref="K18"/>
    </sheetView>
  </sheetViews>
  <sheetFormatPr defaultColWidth="9.140625" defaultRowHeight="12.75"/>
  <cols>
    <col min="1" max="1" width="3.42578125" style="138" customWidth="1"/>
    <col min="2" max="2" width="4.42578125" style="138" customWidth="1"/>
    <col min="3" max="3" width="25.85546875" style="138" customWidth="1"/>
    <col min="4" max="10" width="9.42578125" style="138" customWidth="1"/>
    <col min="11" max="11" width="9.140625" style="138" customWidth="1"/>
    <col min="12" max="12" width="2.42578125" style="138" customWidth="1"/>
    <col min="13" max="13" width="9.5703125" style="206" bestFit="1" customWidth="1"/>
    <col min="14" max="20" width="7" style="206" customWidth="1"/>
    <col min="21" max="16384" width="9.140625" style="138"/>
  </cols>
  <sheetData>
    <row r="2" spans="2:20" ht="24" customHeight="1">
      <c r="B2" s="8"/>
      <c r="C2" s="9" t="str">
        <f>IF(Indice_index!$Z$1=1,"2.A - Conta Consolidada das Administrações Públicas","2.A - General Government Consolidated Account")</f>
        <v>2.A - Conta Consolidada das Administrações Públicas</v>
      </c>
      <c r="D2" s="9"/>
      <c r="E2" s="9"/>
      <c r="F2" s="9"/>
      <c r="G2" s="9"/>
      <c r="H2" s="9"/>
      <c r="I2" s="9"/>
      <c r="J2" s="9"/>
    </row>
    <row r="3" spans="2:20" ht="11.25" customHeight="1"/>
    <row r="4" spans="2:20" ht="11.25" customHeight="1"/>
    <row r="5" spans="2:20" s="252" customFormat="1">
      <c r="C5" s="741" t="str">
        <f>+'5 - Conta AC + SS'!C5</f>
        <v>Período: janeiro a julho</v>
      </c>
      <c r="D5" s="823"/>
      <c r="E5" s="251"/>
      <c r="F5" s="251"/>
      <c r="G5" s="1497"/>
      <c r="H5" s="1497"/>
      <c r="I5" s="1497"/>
      <c r="J5" s="1497" t="str">
        <f>IF(Indice_index!$Z$1=1,"€ Milhões","€ Millions")</f>
        <v>€ Milhões</v>
      </c>
      <c r="M5" s="580"/>
      <c r="N5" s="580"/>
      <c r="O5" s="580"/>
      <c r="P5" s="580"/>
      <c r="Q5" s="580"/>
      <c r="R5" s="580"/>
      <c r="S5" s="580"/>
      <c r="T5" s="580"/>
    </row>
    <row r="6" spans="2:20" ht="15" customHeight="1">
      <c r="C6" s="1656"/>
      <c r="D6" s="1659" t="str">
        <f>IF(Indice_index!$Z$1=1,"Execução Acumulada","Accumulated Execution")</f>
        <v>Execução Acumulada</v>
      </c>
      <c r="E6" s="1660"/>
      <c r="F6" s="1666" t="str">
        <f>IF(Indice_index!$Z$1=1,"Variação Homóloga Acumulada","YOY Change Rate")</f>
        <v>Variação Homóloga Acumulada</v>
      </c>
      <c r="G6" s="1667"/>
      <c r="H6" s="1667"/>
      <c r="I6" s="1668"/>
      <c r="J6" s="1663" t="str">
        <f>IF(Indice_index!$Z$1=1,"Contributo (em p.p.)","Contribution (p.p.)")</f>
        <v>Contributo (em p.p.)</v>
      </c>
      <c r="L6" s="581"/>
      <c r="M6" s="207"/>
      <c r="N6" s="207"/>
      <c r="O6" s="207"/>
      <c r="P6" s="207"/>
      <c r="Q6" s="207"/>
      <c r="R6" s="207"/>
      <c r="S6" s="207"/>
      <c r="T6" s="207"/>
    </row>
    <row r="7" spans="2:20" ht="15.75" customHeight="1">
      <c r="C7" s="1657"/>
      <c r="D7" s="1661"/>
      <c r="E7" s="1662"/>
      <c r="F7" s="1666" t="str">
        <f>IF(Indice_index!$Z$1=1,"Absoluta","Absolute")</f>
        <v>Absoluta</v>
      </c>
      <c r="G7" s="1668"/>
      <c r="H7" s="1666" t="str">
        <f>IF(Indice_index!$Z$1=1,"Relativa (%)","Relative (%)")</f>
        <v>Relativa (%)</v>
      </c>
      <c r="I7" s="1668"/>
      <c r="J7" s="1664"/>
      <c r="L7" s="581"/>
      <c r="M7" s="207"/>
      <c r="N7" s="207"/>
      <c r="O7" s="207"/>
      <c r="P7" s="207"/>
      <c r="Q7" s="207"/>
      <c r="R7" s="207"/>
      <c r="S7" s="207"/>
      <c r="T7" s="207"/>
    </row>
    <row r="8" spans="2:20" ht="21" customHeight="1">
      <c r="C8" s="1658"/>
      <c r="D8" s="1556" t="s">
        <v>67</v>
      </c>
      <c r="E8" s="1556" t="s">
        <v>74</v>
      </c>
      <c r="F8" s="1557" t="str">
        <f>IF(Indice_index!$Z$1=1,"junho","June")</f>
        <v>junho</v>
      </c>
      <c r="G8" s="1557" t="str">
        <f>IF(Indice_index!$Z$1=1,"julho","July")</f>
        <v>julho</v>
      </c>
      <c r="H8" s="1557" t="str">
        <f>IF(Indice_index!$Z$1=1,"junho","June")</f>
        <v>junho</v>
      </c>
      <c r="I8" s="1557" t="str">
        <f>IF(Indice_index!$Z$1=1,"julho","July")</f>
        <v>julho</v>
      </c>
      <c r="J8" s="1665"/>
      <c r="L8" s="581"/>
      <c r="M8" s="1655"/>
      <c r="N8" s="1655"/>
      <c r="O8" s="1655"/>
      <c r="P8" s="1655"/>
      <c r="Q8" s="1655"/>
      <c r="R8" s="1655"/>
      <c r="S8" s="1655"/>
      <c r="T8" s="1655"/>
    </row>
    <row r="9" spans="2:20" s="252" customFormat="1" ht="15" customHeight="1">
      <c r="C9" s="319" t="str">
        <f>IF(Indice_index!$Z$1=1,"Receita corrente","Current revenue")</f>
        <v>Receita corrente</v>
      </c>
      <c r="D9" s="319">
        <f>'2 - Conta Consol AP'!K9</f>
        <v>46926.569265855469</v>
      </c>
      <c r="E9" s="319">
        <f>'2 - Conta Consol AP'!Q9</f>
        <v>54433.072554385944</v>
      </c>
      <c r="F9" s="319">
        <v>7440.1460610696677</v>
      </c>
      <c r="G9" s="319">
        <f t="shared" ref="G9:G21" si="0">+E9-D9</f>
        <v>7506.5032885304754</v>
      </c>
      <c r="H9" s="823">
        <v>19.792160057399567</v>
      </c>
      <c r="I9" s="823">
        <f t="shared" ref="I9:I15" si="1">IFERROR(IF(ABS(+G9/D9*100)&gt;500,"-",+G9/D9*100),"-")</f>
        <v>15.996275470306603</v>
      </c>
      <c r="J9" s="319">
        <f t="shared" ref="J9:J21" si="2">+G9/$D$23*100</f>
        <v>15.580756102282734</v>
      </c>
      <c r="K9" s="582"/>
      <c r="L9" s="583"/>
      <c r="M9" s="584"/>
      <c r="N9" s="584"/>
      <c r="O9" s="584"/>
      <c r="P9" s="584"/>
      <c r="Q9" s="584"/>
      <c r="R9" s="584"/>
      <c r="S9" s="584"/>
      <c r="T9" s="584"/>
    </row>
    <row r="10" spans="2:20" ht="15" customHeight="1">
      <c r="C10" s="830" t="str">
        <f>IF(Indice_index!$Z$1=1,"Receita Fiscal","Tax")</f>
        <v>Receita Fiscal</v>
      </c>
      <c r="D10" s="180">
        <f>'2 - Conta Consol AP'!K10</f>
        <v>26017.807623283683</v>
      </c>
      <c r="E10" s="180">
        <f>'2 - Conta Consol AP'!Q10</f>
        <v>31510.362303714181</v>
      </c>
      <c r="F10" s="180">
        <v>5675.5321762634276</v>
      </c>
      <c r="G10" s="180">
        <f t="shared" si="0"/>
        <v>5492.5546804304977</v>
      </c>
      <c r="H10" s="1558">
        <v>28.050229254646545</v>
      </c>
      <c r="I10" s="1558">
        <f t="shared" si="1"/>
        <v>21.110751374436092</v>
      </c>
      <c r="J10" s="180">
        <f t="shared" si="2"/>
        <v>11.400535184604232</v>
      </c>
      <c r="K10" s="208"/>
      <c r="L10" s="209"/>
      <c r="M10" s="207"/>
      <c r="N10" s="207"/>
      <c r="O10" s="207"/>
      <c r="P10" s="207"/>
      <c r="Q10" s="207"/>
      <c r="R10" s="207"/>
      <c r="S10" s="207"/>
      <c r="T10" s="207"/>
    </row>
    <row r="11" spans="2:20" ht="15" customHeight="1">
      <c r="C11" s="1177" t="str">
        <f>IF(Indice_index!$Z$1=1,"Impostos diretos","Direct taxes")</f>
        <v>Impostos diretos</v>
      </c>
      <c r="D11" s="180">
        <f>'2 - Conta Consol AP'!K11</f>
        <v>11328.902849293734</v>
      </c>
      <c r="E11" s="180">
        <f>'2 - Conta Consol AP'!Q11</f>
        <v>14204.202903632193</v>
      </c>
      <c r="F11" s="180">
        <v>3229.2482279068472</v>
      </c>
      <c r="G11" s="180">
        <f t="shared" si="0"/>
        <v>2875.3000543384587</v>
      </c>
      <c r="H11" s="1558">
        <v>41.696325430899314</v>
      </c>
      <c r="I11" s="1558">
        <f t="shared" si="1"/>
        <v>25.380216359766123</v>
      </c>
      <c r="J11" s="180">
        <f t="shared" si="2"/>
        <v>5.9680715701515457</v>
      </c>
      <c r="K11" s="208"/>
      <c r="L11" s="209"/>
      <c r="M11" s="207"/>
      <c r="N11" s="207"/>
      <c r="O11" s="207"/>
      <c r="P11" s="207"/>
      <c r="Q11" s="207"/>
      <c r="R11" s="207"/>
      <c r="S11" s="207"/>
      <c r="T11" s="207"/>
    </row>
    <row r="12" spans="2:20" ht="15" customHeight="1">
      <c r="C12" s="1177" t="str">
        <f>IF(Indice_index!$Z$1=1,"Impostos indiretos","Indirect taxes")</f>
        <v>Impostos indiretos</v>
      </c>
      <c r="D12" s="180">
        <f>'2 - Conta Consol AP'!K12</f>
        <v>14688.904773989947</v>
      </c>
      <c r="E12" s="180">
        <f>'2 - Conta Consol AP'!Q12</f>
        <v>17306.159400081986</v>
      </c>
      <c r="F12" s="180">
        <v>2446.2839483565804</v>
      </c>
      <c r="G12" s="180">
        <f t="shared" si="0"/>
        <v>2617.254626092039</v>
      </c>
      <c r="H12" s="1558">
        <v>19.587856897535556</v>
      </c>
      <c r="I12" s="1558">
        <f t="shared" si="1"/>
        <v>17.817901786159609</v>
      </c>
      <c r="J12" s="180">
        <f t="shared" si="2"/>
        <v>5.4324636144526872</v>
      </c>
      <c r="K12" s="208"/>
      <c r="L12" s="209"/>
      <c r="M12" s="207"/>
      <c r="N12" s="207"/>
      <c r="O12" s="207"/>
      <c r="P12" s="207"/>
      <c r="Q12" s="207"/>
      <c r="R12" s="207"/>
      <c r="S12" s="207"/>
      <c r="T12" s="207"/>
    </row>
    <row r="13" spans="2:20" ht="15" customHeight="1">
      <c r="C13" s="873" t="str">
        <f>IF(Indice_index!$Z$1=1,"Contribuições de Segurança Social","Social security contributions")</f>
        <v>Contribuições de Segurança Social</v>
      </c>
      <c r="D13" s="180">
        <f>'2 - Conta Consol AP'!K13</f>
        <v>13411.437849900001</v>
      </c>
      <c r="E13" s="180">
        <f>'2 - Conta Consol AP'!Q13</f>
        <v>14703.325678369998</v>
      </c>
      <c r="F13" s="180">
        <v>1069.1196007599992</v>
      </c>
      <c r="G13" s="180">
        <f t="shared" si="0"/>
        <v>1291.8878284699967</v>
      </c>
      <c r="H13" s="1558">
        <v>9.7291529562201866</v>
      </c>
      <c r="I13" s="1558">
        <f t="shared" si="1"/>
        <v>9.63273172443348</v>
      </c>
      <c r="J13" s="180">
        <f t="shared" si="2"/>
        <v>2.6814867579761232</v>
      </c>
      <c r="K13" s="208"/>
      <c r="L13" s="209"/>
      <c r="M13" s="207"/>
      <c r="N13" s="207"/>
      <c r="O13" s="207"/>
      <c r="P13" s="207"/>
      <c r="Q13" s="207"/>
      <c r="R13" s="207"/>
      <c r="S13" s="207"/>
      <c r="T13" s="207"/>
    </row>
    <row r="14" spans="2:20" ht="15" customHeight="1">
      <c r="C14" s="1178" t="str">
        <f>IF(Indice_index!$Z$1=1,"Transferências Correntes","Current transfers")</f>
        <v>Transferências Correntes</v>
      </c>
      <c r="D14" s="180">
        <f>'2 - Conta Consol AP'!K14</f>
        <v>1883.3914682035347</v>
      </c>
      <c r="E14" s="180">
        <f>'2 - Conta Consol AP'!Q14</f>
        <v>1425.9173694052706</v>
      </c>
      <c r="F14" s="180">
        <v>-231.96352428942237</v>
      </c>
      <c r="G14" s="180">
        <f t="shared" si="0"/>
        <v>-457.47409879826409</v>
      </c>
      <c r="H14" s="1558">
        <v>-15.185888752015824</v>
      </c>
      <c r="I14" s="1558">
        <f t="shared" si="1"/>
        <v>-24.289910330464856</v>
      </c>
      <c r="J14" s="180">
        <f t="shared" si="2"/>
        <v>-0.94954895542085782</v>
      </c>
      <c r="K14" s="208"/>
      <c r="L14" s="209"/>
      <c r="M14" s="207"/>
      <c r="N14" s="207"/>
      <c r="O14" s="207"/>
      <c r="P14" s="207"/>
      <c r="Q14" s="207"/>
      <c r="R14" s="207"/>
      <c r="S14" s="207"/>
      <c r="T14" s="207"/>
    </row>
    <row r="15" spans="2:20" ht="15" customHeight="1">
      <c r="C15" s="873" t="str">
        <f>IF(Indice_index!$Z$1=1,"Outras receitas correntes","Other current revenue")</f>
        <v>Outras receitas correntes</v>
      </c>
      <c r="D15" s="180">
        <f>'2 - Conta Consol AP'!K17</f>
        <v>5595.0159460882569</v>
      </c>
      <c r="E15" s="180">
        <f>'2 - Conta Consol AP'!Q17</f>
        <v>6704.2878074664968</v>
      </c>
      <c r="F15" s="180">
        <v>826.03684655566303</v>
      </c>
      <c r="G15" s="180">
        <f t="shared" si="0"/>
        <v>1109.2718613782399</v>
      </c>
      <c r="H15" s="1558">
        <v>17.079491057671351</v>
      </c>
      <c r="I15" s="1558">
        <f t="shared" si="1"/>
        <v>19.826071490534087</v>
      </c>
      <c r="J15" s="180">
        <f t="shared" si="2"/>
        <v>2.302442783135453</v>
      </c>
      <c r="K15" s="208"/>
      <c r="L15" s="209"/>
      <c r="M15" s="207"/>
      <c r="N15" s="207"/>
      <c r="O15" s="207"/>
      <c r="P15" s="207"/>
      <c r="Q15" s="207"/>
      <c r="R15" s="207"/>
      <c r="S15" s="207"/>
      <c r="T15" s="207"/>
    </row>
    <row r="16" spans="2:20" ht="15" customHeight="1">
      <c r="C16" s="873" t="str">
        <f>IF(Indice_index!$Z$1=1,"Diferenças de consolidação","Consolidation differences")</f>
        <v>Diferenças de consolidação</v>
      </c>
      <c r="D16" s="180">
        <f>'2 - Conta Consol AP'!K18</f>
        <v>18.916378379999379</v>
      </c>
      <c r="E16" s="180">
        <f>'2 - Conta Consol AP'!Q18</f>
        <v>89.179395429994088</v>
      </c>
      <c r="F16" s="180">
        <v>101.4209617800004</v>
      </c>
      <c r="G16" s="180">
        <f t="shared" si="0"/>
        <v>70.263017049994716</v>
      </c>
      <c r="H16" s="1558" t="s">
        <v>2</v>
      </c>
      <c r="I16" s="1558" t="s">
        <v>2</v>
      </c>
      <c r="J16" s="180">
        <f t="shared" si="2"/>
        <v>0.14584033198776056</v>
      </c>
      <c r="K16" s="208"/>
      <c r="L16" s="209"/>
      <c r="M16" s="207"/>
      <c r="N16" s="207"/>
      <c r="O16" s="207"/>
      <c r="P16" s="207"/>
      <c r="Q16" s="207"/>
      <c r="R16" s="207"/>
      <c r="S16" s="207"/>
      <c r="T16" s="207"/>
    </row>
    <row r="17" spans="2:20" s="252" customFormat="1" ht="15" customHeight="1">
      <c r="C17" s="319" t="str">
        <f>IF(Indice_index!$Z$1=1,"Receita de capital","Capital revenue")</f>
        <v>Receita de capital</v>
      </c>
      <c r="D17" s="319">
        <f>'2 - Conta Consol AP'!K19</f>
        <v>1251.4731812033078</v>
      </c>
      <c r="E17" s="319">
        <f>'2 - Conta Consol AP'!Q19</f>
        <v>1476.2635131174738</v>
      </c>
      <c r="F17" s="319">
        <v>201.50640010899508</v>
      </c>
      <c r="G17" s="319">
        <f t="shared" si="0"/>
        <v>224.79033191416602</v>
      </c>
      <c r="H17" s="823">
        <v>17.836147303785335</v>
      </c>
      <c r="I17" s="823">
        <f>IFERROR(IF(ABS(+G17/D17*100)&gt;500,"-",+G17/D17*100),"-")</f>
        <v>17.962057460794099</v>
      </c>
      <c r="J17" s="319">
        <f t="shared" si="2"/>
        <v>0.46658253531405003</v>
      </c>
      <c r="K17" s="582"/>
      <c r="L17" s="583"/>
      <c r="M17" s="584"/>
      <c r="N17" s="584"/>
      <c r="O17" s="584"/>
      <c r="P17" s="584"/>
      <c r="Q17" s="584"/>
      <c r="R17" s="584"/>
      <c r="S17" s="584"/>
      <c r="T17" s="584"/>
    </row>
    <row r="18" spans="2:20" s="252" customFormat="1" ht="15" customHeight="1">
      <c r="C18" s="873" t="str">
        <f>IF(Indice_index!$Z$1=1,"Venda de bens de investimento","Sale of investment goods")</f>
        <v>Venda de bens de investimento</v>
      </c>
      <c r="D18" s="180">
        <f>'2 - Conta Consol AP'!K20</f>
        <v>137.91414529528029</v>
      </c>
      <c r="E18" s="180">
        <f>'2 - Conta Consol AP'!Q20</f>
        <v>112.21187947224644</v>
      </c>
      <c r="F18" s="180">
        <v>-15.763450053129731</v>
      </c>
      <c r="G18" s="180">
        <f t="shared" si="0"/>
        <v>-25.702265823033855</v>
      </c>
      <c r="H18" s="1558">
        <v>-13.46207164349679</v>
      </c>
      <c r="I18" s="1558">
        <f>IFERROR(IF(ABS(+G18/D18*100)&gt;500,"-",+G18/D18*100),"-")</f>
        <v>-18.636424688710619</v>
      </c>
      <c r="J18" s="180">
        <f t="shared" si="2"/>
        <v>-5.3348505911748507E-2</v>
      </c>
      <c r="K18" s="582"/>
      <c r="L18" s="583"/>
      <c r="M18" s="584"/>
      <c r="N18" s="584"/>
      <c r="O18" s="584"/>
      <c r="P18" s="584"/>
      <c r="Q18" s="584"/>
      <c r="R18" s="584"/>
      <c r="S18" s="584"/>
      <c r="T18" s="584"/>
    </row>
    <row r="19" spans="2:20" s="252" customFormat="1" ht="15" customHeight="1">
      <c r="C19" s="1178" t="str">
        <f>IF(Indice_index!$Z$1=1,"Transferências de Capital","Capital transfers")</f>
        <v>Transferências de Capital</v>
      </c>
      <c r="D19" s="180">
        <f>'2 - Conta Consol AP'!K21</f>
        <v>1089.2748918473517</v>
      </c>
      <c r="E19" s="180">
        <f>'2 - Conta Consol AP'!Q21</f>
        <v>1328.8802266302962</v>
      </c>
      <c r="F19" s="180">
        <v>202.01474436012859</v>
      </c>
      <c r="G19" s="180">
        <f t="shared" si="0"/>
        <v>239.60533478294451</v>
      </c>
      <c r="H19" s="1558">
        <v>20.282227215767296</v>
      </c>
      <c r="I19" s="1558">
        <f>IFERROR(IF(ABS(+G19/D19*100)&gt;500,"-",+G19/D19*100),"-")</f>
        <v>21.996773870054671</v>
      </c>
      <c r="J19" s="180">
        <f t="shared" si="2"/>
        <v>0.49733306421953261</v>
      </c>
      <c r="K19" s="582"/>
      <c r="L19" s="583"/>
      <c r="M19" s="584"/>
      <c r="N19" s="584"/>
      <c r="O19" s="584"/>
      <c r="P19" s="584"/>
      <c r="Q19" s="584"/>
      <c r="R19" s="584"/>
      <c r="S19" s="584"/>
      <c r="T19" s="584"/>
    </row>
    <row r="20" spans="2:20" s="252" customFormat="1" ht="15" customHeight="1">
      <c r="C20" s="873" t="str">
        <f>IF(Indice_index!$Z$1=1,"Outras receitas de capital","Other capital revenue")</f>
        <v>Outras receitas de capital</v>
      </c>
      <c r="D20" s="180">
        <f>'2 - Conta Consol AP'!K24</f>
        <v>21.745566330675754</v>
      </c>
      <c r="E20" s="180">
        <f>'2 - Conta Consol AP'!Q24</f>
        <v>35.090760234931068</v>
      </c>
      <c r="F20" s="180">
        <v>17.092695591996247</v>
      </c>
      <c r="G20" s="180">
        <f t="shared" si="0"/>
        <v>13.345193904255314</v>
      </c>
      <c r="H20" s="1558">
        <v>117.67673980832096</v>
      </c>
      <c r="I20" s="1558">
        <f>IFERROR(IF(ABS(+G20/D20*100)&gt;500,"-",+G20/D20*100),"-")</f>
        <v>61.369723378644267</v>
      </c>
      <c r="J20" s="180">
        <f t="shared" si="2"/>
        <v>2.7699742925254584E-2</v>
      </c>
      <c r="K20" s="582"/>
      <c r="L20" s="583"/>
      <c r="M20" s="584"/>
      <c r="N20" s="584"/>
      <c r="O20" s="584"/>
      <c r="P20" s="584"/>
      <c r="Q20" s="584"/>
      <c r="R20" s="584"/>
      <c r="S20" s="584"/>
      <c r="T20" s="584"/>
    </row>
    <row r="21" spans="2:20" ht="15" customHeight="1">
      <c r="C21" s="1559" t="str">
        <f>IF(Indice_index!$Z$1=1,"Diferenças de consolidação","Consolidation differences")</f>
        <v>Diferenças de consolidação</v>
      </c>
      <c r="D21" s="180">
        <f>'2 - Conta Consol AP'!K25</f>
        <v>2.5385777300001435</v>
      </c>
      <c r="E21" s="180">
        <f>'2 - Conta Consol AP'!Q25</f>
        <v>8.0646779999966611E-2</v>
      </c>
      <c r="F21" s="180">
        <v>-1.8375897900000246</v>
      </c>
      <c r="G21" s="180">
        <f t="shared" si="0"/>
        <v>-2.4579309500001769</v>
      </c>
      <c r="H21" s="1558" t="s">
        <v>2</v>
      </c>
      <c r="I21" s="1560" t="s">
        <v>2</v>
      </c>
      <c r="J21" s="180">
        <f t="shared" si="2"/>
        <v>-5.1017659189891628E-3</v>
      </c>
      <c r="K21" s="208"/>
      <c r="L21" s="209"/>
      <c r="M21" s="207"/>
      <c r="N21" s="207"/>
      <c r="O21" s="207"/>
      <c r="P21" s="207"/>
      <c r="Q21" s="207"/>
      <c r="R21" s="207"/>
      <c r="S21" s="207"/>
      <c r="T21" s="207"/>
    </row>
    <row r="22" spans="2:20" s="565" customFormat="1" ht="4.5" customHeight="1">
      <c r="C22" s="836"/>
      <c r="D22" s="1561"/>
      <c r="E22" s="1561"/>
      <c r="F22" s="1561"/>
      <c r="G22" s="1561"/>
      <c r="H22" s="1562"/>
      <c r="I22" s="1562"/>
      <c r="J22" s="1561"/>
      <c r="K22" s="208"/>
      <c r="L22" s="209"/>
      <c r="M22" s="207"/>
      <c r="N22" s="207"/>
      <c r="O22" s="567"/>
      <c r="P22" s="567"/>
      <c r="Q22" s="567"/>
      <c r="R22" s="567"/>
      <c r="S22" s="207"/>
      <c r="T22" s="207"/>
    </row>
    <row r="23" spans="2:20" s="252" customFormat="1" ht="15" customHeight="1">
      <c r="C23" s="1520" t="str">
        <f>IF(Indice_index!$Z$1=1,"Receita efetiva","Effective revenue")</f>
        <v>Receita efetiva</v>
      </c>
      <c r="D23" s="1520">
        <f>'2 - Conta Consol AP'!K27</f>
        <v>48178.042447058775</v>
      </c>
      <c r="E23" s="1520">
        <f>'2 - Conta Consol AP'!Q27</f>
        <v>55909.33606750342</v>
      </c>
      <c r="F23" s="1520">
        <v>7641.6524611786626</v>
      </c>
      <c r="G23" s="1520">
        <f>+E23-D23</f>
        <v>7731.2936204446451</v>
      </c>
      <c r="H23" s="1563">
        <v>19.735089607452096</v>
      </c>
      <c r="I23" s="1563">
        <f>IFERROR(IF(ABS(+G23/D23*100)&gt;500,"-",+G23/D23*100),"-")</f>
        <v>16.047338637596788</v>
      </c>
      <c r="J23" s="1520"/>
      <c r="K23" s="582"/>
      <c r="L23" s="583"/>
      <c r="M23" s="584"/>
      <c r="N23" s="584"/>
      <c r="O23" s="584"/>
      <c r="P23" s="584"/>
      <c r="Q23" s="584"/>
      <c r="R23" s="584"/>
      <c r="S23" s="584"/>
      <c r="T23" s="584"/>
    </row>
    <row r="24" spans="2:20" s="565" customFormat="1" ht="4.5" customHeight="1">
      <c r="C24" s="836"/>
      <c r="D24" s="1561"/>
      <c r="E24" s="1561"/>
      <c r="F24" s="1561"/>
      <c r="G24" s="1561"/>
      <c r="H24" s="1562"/>
      <c r="I24" s="1562"/>
      <c r="J24" s="1561"/>
      <c r="K24" s="208"/>
      <c r="L24" s="209"/>
      <c r="M24" s="207"/>
      <c r="N24" s="207"/>
      <c r="O24" s="567"/>
      <c r="P24" s="567"/>
      <c r="Q24" s="567"/>
      <c r="R24" s="567"/>
      <c r="S24" s="207"/>
      <c r="T24" s="207"/>
    </row>
    <row r="25" spans="2:20" s="252" customFormat="1" ht="15" customHeight="1">
      <c r="C25" s="319" t="str">
        <f>IF(Indice_index!$Z$1=1,"Despesa corrente","Current expenditure")</f>
        <v>Despesa corrente</v>
      </c>
      <c r="D25" s="319">
        <f>'2 - Conta Consol AP'!K29</f>
        <v>51074.38676929241</v>
      </c>
      <c r="E25" s="319">
        <f>'2 - Conta Consol AP'!Q29</f>
        <v>51591.700752745535</v>
      </c>
      <c r="F25" s="319">
        <v>-418.82983841358487</v>
      </c>
      <c r="G25" s="319">
        <f t="shared" ref="G25:G37" si="3">+E25-D25</f>
        <v>517.31398345312482</v>
      </c>
      <c r="H25" s="823">
        <v>-0.98792552473204553</v>
      </c>
      <c r="I25" s="823">
        <f t="shared" ref="I25:I31" si="4">IFERROR(IF(ABS(+G25/D25*100)&gt;500,"-",+G25/D25*100),"-")</f>
        <v>1.0128638172199276</v>
      </c>
      <c r="J25" s="319">
        <f>+G25/$D$39*100</f>
        <v>0.93487378432998924</v>
      </c>
      <c r="K25" s="582"/>
      <c r="L25" s="583"/>
      <c r="M25" s="584"/>
      <c r="N25" s="584"/>
      <c r="O25" s="584"/>
      <c r="P25" s="584"/>
      <c r="Q25" s="584"/>
      <c r="R25" s="584"/>
      <c r="S25" s="584"/>
      <c r="T25" s="584"/>
    </row>
    <row r="26" spans="2:20" ht="15" customHeight="1">
      <c r="C26" s="830" t="str">
        <f>IF(Indice_index!$Z$1=1,"Despesas com o pessoal","Compensation of employees")</f>
        <v>Despesas com o pessoal</v>
      </c>
      <c r="D26" s="180">
        <f>'2 - Conta Consol AP'!K30</f>
        <v>13377.461262486431</v>
      </c>
      <c r="E26" s="180">
        <f>'2 - Conta Consol AP'!Q30</f>
        <v>13701.065558922317</v>
      </c>
      <c r="F26" s="180">
        <v>240.05063435062402</v>
      </c>
      <c r="G26" s="180">
        <f t="shared" si="3"/>
        <v>323.60429643588577</v>
      </c>
      <c r="H26" s="1558">
        <v>2.1126080732707981</v>
      </c>
      <c r="I26" s="1558">
        <f t="shared" si="4"/>
        <v>2.4190262269220604</v>
      </c>
      <c r="J26" s="180">
        <f>+G26/$D$39*100</f>
        <v>0.58480764663473117</v>
      </c>
      <c r="K26" s="208"/>
      <c r="L26" s="209"/>
      <c r="M26" s="207"/>
      <c r="N26" s="207"/>
      <c r="O26" s="207"/>
      <c r="P26" s="207"/>
      <c r="Q26" s="207"/>
      <c r="R26" s="207"/>
      <c r="S26" s="207"/>
      <c r="T26" s="207"/>
    </row>
    <row r="27" spans="2:20" ht="15" customHeight="1">
      <c r="C27" s="830" t="str">
        <f>IF(Indice_index!$Z$1=1,"Aquisição de bens e serviços","Purchase of goods and services")</f>
        <v>Aquisição de bens e serviços</v>
      </c>
      <c r="D27" s="180">
        <f>'2 - Conta Consol AP'!K34</f>
        <v>6941.7734462286944</v>
      </c>
      <c r="E27" s="180">
        <f>'2 - Conta Consol AP'!Q34</f>
        <v>7705.8502820007807</v>
      </c>
      <c r="F27" s="180">
        <v>618.74804866107843</v>
      </c>
      <c r="G27" s="180">
        <f t="shared" si="3"/>
        <v>764.07683577208627</v>
      </c>
      <c r="H27" s="1558">
        <v>10.675965506974734</v>
      </c>
      <c r="I27" s="1558">
        <f t="shared" si="4"/>
        <v>11.006939965567323</v>
      </c>
      <c r="J27" s="180">
        <f>+G27/$D$39*100</f>
        <v>1.3808159567019707</v>
      </c>
      <c r="K27" s="208"/>
      <c r="L27" s="209"/>
      <c r="M27" s="207"/>
      <c r="N27" s="207"/>
      <c r="O27" s="207"/>
      <c r="P27" s="207"/>
      <c r="Q27" s="207"/>
      <c r="R27" s="207"/>
      <c r="S27" s="207"/>
      <c r="T27" s="207"/>
    </row>
    <row r="28" spans="2:20" s="565" customFormat="1" ht="15" customHeight="1">
      <c r="B28" s="138"/>
      <c r="C28" s="830" t="str">
        <f>IF(Indice_index!$Z$1=1,"Juros e outros encargos","Interests and other charges")</f>
        <v>Juros e outros encargos</v>
      </c>
      <c r="D28" s="180">
        <f>'2 - Conta Consol AP'!K35</f>
        <v>4227.8799760701231</v>
      </c>
      <c r="E28" s="180">
        <f>'2 - Conta Consol AP'!Q35</f>
        <v>3964.8483721773887</v>
      </c>
      <c r="F28" s="180">
        <v>-601.70421893634693</v>
      </c>
      <c r="G28" s="180">
        <f t="shared" si="3"/>
        <v>-263.03160389273444</v>
      </c>
      <c r="H28" s="1558">
        <v>-15.282027973724821</v>
      </c>
      <c r="I28" s="1558">
        <f t="shared" si="4"/>
        <v>-6.221359295474282</v>
      </c>
      <c r="J28" s="180">
        <f>+G28/$D$39*100</f>
        <v>-0.4753425555755717</v>
      </c>
      <c r="K28" s="208"/>
      <c r="L28" s="209"/>
      <c r="M28" s="207"/>
      <c r="N28" s="207"/>
      <c r="O28" s="567"/>
      <c r="P28" s="567"/>
      <c r="Q28" s="567"/>
      <c r="R28" s="567"/>
      <c r="S28" s="207"/>
      <c r="T28" s="207"/>
    </row>
    <row r="29" spans="2:20" ht="15" customHeight="1">
      <c r="C29" s="830" t="str">
        <f>IF(Indice_index!$Z$1=1,"Transferências correntes","Current transfers")</f>
        <v>Transferências correntes</v>
      </c>
      <c r="D29" s="180">
        <f>'2 - Conta Consol AP'!K36</f>
        <v>24882.128198477018</v>
      </c>
      <c r="E29" s="180">
        <f>'2 - Conta Consol AP'!Q36</f>
        <v>24528.056817444831</v>
      </c>
      <c r="F29" s="180">
        <v>-693.76937420719332</v>
      </c>
      <c r="G29" s="180">
        <f t="shared" si="3"/>
        <v>-354.07138103218676</v>
      </c>
      <c r="H29" s="1558">
        <v>-3.4851892834333702</v>
      </c>
      <c r="I29" s="1558">
        <f t="shared" si="4"/>
        <v>-1.4229947623767116</v>
      </c>
      <c r="J29" s="180">
        <f>+G29/$D$39*100</f>
        <v>-0.63986681685843094</v>
      </c>
      <c r="K29" s="208"/>
      <c r="L29" s="209"/>
      <c r="M29" s="207"/>
      <c r="N29" s="207"/>
      <c r="O29" s="207"/>
      <c r="P29" s="207"/>
      <c r="Q29" s="207"/>
      <c r="R29" s="207"/>
      <c r="S29" s="207"/>
      <c r="T29" s="207"/>
    </row>
    <row r="30" spans="2:20" ht="15" customHeight="1">
      <c r="C30" s="830" t="str">
        <f>IF(Indice_index!$Z$1=1,"Subsídios","Subsidies")</f>
        <v>Subsídios</v>
      </c>
      <c r="D30" s="180">
        <f>'2 - Conta Consol AP'!K39</f>
        <v>1169.3606811048066</v>
      </c>
      <c r="E30" s="180">
        <f>'2 - Conta Consol AP'!Q39</f>
        <v>1174.1441765442883</v>
      </c>
      <c r="F30" s="180">
        <v>45.235522951315488</v>
      </c>
      <c r="G30" s="180">
        <f t="shared" si="3"/>
        <v>4.7834954394816123</v>
      </c>
      <c r="H30" s="1558">
        <v>4.6634749753355544</v>
      </c>
      <c r="I30" s="1558">
        <f t="shared" si="4"/>
        <v>0.40906929032043282</v>
      </c>
      <c r="J30" s="180">
        <f t="shared" ref="J30:J35" si="5">+G30/$D$39*100</f>
        <v>8.6445845789487278E-3</v>
      </c>
      <c r="K30" s="208"/>
      <c r="L30" s="209"/>
      <c r="M30" s="207"/>
      <c r="N30" s="207"/>
      <c r="O30" s="207"/>
      <c r="P30" s="207"/>
      <c r="Q30" s="207"/>
      <c r="R30" s="207"/>
      <c r="S30" s="207"/>
      <c r="T30" s="207"/>
    </row>
    <row r="31" spans="2:20" ht="15" customHeight="1">
      <c r="C31" s="830" t="str">
        <f>IF(Indice_index!$Z$1=1,"Outras despesas correntes","Other current expenditures")</f>
        <v>Outras despesas correntes</v>
      </c>
      <c r="D31" s="180">
        <f>'2 - Conta Consol AP'!K40</f>
        <v>375.7350157653334</v>
      </c>
      <c r="E31" s="180">
        <f>'2 - Conta Consol AP'!Q40</f>
        <v>448.6146109659328</v>
      </c>
      <c r="F31" s="180">
        <v>70.737096946931899</v>
      </c>
      <c r="G31" s="180">
        <f t="shared" si="3"/>
        <v>72.879595200599397</v>
      </c>
      <c r="H31" s="1558">
        <v>22.476462910309834</v>
      </c>
      <c r="I31" s="1558">
        <f t="shared" si="4"/>
        <v>19.396540684969484</v>
      </c>
      <c r="J31" s="180">
        <f t="shared" si="5"/>
        <v>0.13170574379378983</v>
      </c>
      <c r="K31" s="208"/>
      <c r="L31" s="209"/>
      <c r="M31" s="207"/>
      <c r="N31" s="207"/>
      <c r="O31" s="207"/>
      <c r="P31" s="207"/>
      <c r="Q31" s="207"/>
      <c r="R31" s="207"/>
      <c r="S31" s="207"/>
      <c r="T31" s="207"/>
    </row>
    <row r="32" spans="2:20" ht="15" customHeight="1">
      <c r="C32" s="830" t="str">
        <f>IF(Indice_index!$Z$1=1,"Diferenças de consolidação","Consolidation differences")</f>
        <v>Diferenças de consolidação</v>
      </c>
      <c r="D32" s="180">
        <f>'2 - Conta Consol AP'!K41</f>
        <v>100.04818915999945</v>
      </c>
      <c r="E32" s="180">
        <f>'2 - Conta Consol AP'!Q41</f>
        <v>69.12093468999683</v>
      </c>
      <c r="F32" s="180">
        <v>-98.12754817999442</v>
      </c>
      <c r="G32" s="180">
        <f t="shared" si="3"/>
        <v>-30.927254470002623</v>
      </c>
      <c r="H32" s="1558" t="s">
        <v>2</v>
      </c>
      <c r="I32" s="1560" t="s">
        <v>2</v>
      </c>
      <c r="J32" s="180">
        <f t="shared" si="5"/>
        <v>-5.5890774945440501E-2</v>
      </c>
      <c r="K32" s="208"/>
      <c r="L32" s="209"/>
      <c r="M32" s="207"/>
      <c r="N32" s="207"/>
      <c r="O32" s="207"/>
      <c r="P32" s="207"/>
      <c r="Q32" s="207"/>
      <c r="R32" s="207"/>
      <c r="S32" s="207"/>
      <c r="T32" s="207"/>
    </row>
    <row r="33" spans="2:20" s="252" customFormat="1" ht="15" customHeight="1">
      <c r="C33" s="319" t="str">
        <f>IF(Indice_index!$Z$1=1,"Despesa de capital","Capital expenditure")</f>
        <v>Despesa de capital</v>
      </c>
      <c r="D33" s="319">
        <f>'2 - Conta Consol AP'!K42</f>
        <v>4260.7816913224488</v>
      </c>
      <c r="E33" s="319">
        <f>'2 - Conta Consol AP'!Q42</f>
        <v>3885.8050216796569</v>
      </c>
      <c r="F33" s="319">
        <v>-368.74453359848502</v>
      </c>
      <c r="G33" s="319">
        <f t="shared" si="3"/>
        <v>-374.97666964279188</v>
      </c>
      <c r="H33" s="823">
        <v>-10.122960799235667</v>
      </c>
      <c r="I33" s="823">
        <f>IFERROR(IF(ABS(+G33/D33*100)&gt;500,"-",+G33/D33*100),"-")</f>
        <v>-8.80065435895186</v>
      </c>
      <c r="J33" s="319">
        <f t="shared" si="5"/>
        <v>-0.67764620597420566</v>
      </c>
      <c r="K33" s="582"/>
      <c r="L33" s="583"/>
      <c r="M33" s="584"/>
      <c r="N33" s="584"/>
      <c r="O33" s="584"/>
      <c r="P33" s="584"/>
      <c r="Q33" s="584"/>
      <c r="R33" s="584"/>
      <c r="S33" s="584"/>
      <c r="T33" s="584"/>
    </row>
    <row r="34" spans="2:20" ht="15" customHeight="1">
      <c r="C34" s="830" t="str">
        <f>IF(Indice_index!$Z$1=1,"Investimentos","Investments")</f>
        <v>Investimentos</v>
      </c>
      <c r="D34" s="180">
        <f>'2 - Conta Consol AP'!K43</f>
        <v>3149.2583202819687</v>
      </c>
      <c r="E34" s="180">
        <f>'2 - Conta Consol AP'!Q43</f>
        <v>3148.6764498538178</v>
      </c>
      <c r="F34" s="180">
        <v>85.183624500436963</v>
      </c>
      <c r="G34" s="180">
        <f t="shared" si="3"/>
        <v>-0.58187042815097811</v>
      </c>
      <c r="H34" s="1558">
        <v>3.2194829887214094</v>
      </c>
      <c r="I34" s="1558">
        <f>IFERROR(IF(ABS(+G34/D34*100)&gt;500,"-",+G34/D34*100),"-")</f>
        <v>-1.8476427430661847E-2</v>
      </c>
      <c r="J34" s="180">
        <f t="shared" si="5"/>
        <v>-1.0515381887110868E-3</v>
      </c>
      <c r="K34" s="208"/>
      <c r="L34" s="209"/>
      <c r="M34" s="207"/>
      <c r="N34" s="207"/>
      <c r="O34" s="207"/>
      <c r="P34" s="207"/>
      <c r="Q34" s="207"/>
      <c r="R34" s="207"/>
      <c r="S34" s="207"/>
      <c r="T34" s="207"/>
    </row>
    <row r="35" spans="2:20" ht="15" customHeight="1">
      <c r="C35" s="830" t="str">
        <f>IF(Indice_index!$Z$1=1,"Transferências de capital","Capital transfers")</f>
        <v>Transferências de capital</v>
      </c>
      <c r="D35" s="180">
        <f>'2 - Conta Consol AP'!K44</f>
        <v>1078.1237612954806</v>
      </c>
      <c r="E35" s="180">
        <f>'2 - Conta Consol AP'!Q44</f>
        <v>687.4082437742145</v>
      </c>
      <c r="F35" s="180">
        <v>-527.66018968811545</v>
      </c>
      <c r="G35" s="180">
        <f t="shared" si="3"/>
        <v>-390.71551752126607</v>
      </c>
      <c r="H35" s="1558">
        <v>-54.225791635614527</v>
      </c>
      <c r="I35" s="1558">
        <f>IFERROR(IF(ABS(+G35/D35*100)&gt;500,"-",+G35/D35*100),"-")</f>
        <v>-36.240321524105887</v>
      </c>
      <c r="J35" s="180">
        <f t="shared" si="5"/>
        <v>-0.70608896365673879</v>
      </c>
      <c r="K35" s="208"/>
      <c r="L35" s="209"/>
      <c r="M35" s="207"/>
      <c r="N35" s="207"/>
      <c r="O35" s="207"/>
      <c r="P35" s="207"/>
      <c r="Q35" s="207"/>
      <c r="R35" s="207"/>
      <c r="S35" s="207"/>
      <c r="T35" s="207"/>
    </row>
    <row r="36" spans="2:20" ht="15" customHeight="1">
      <c r="C36" s="830" t="str">
        <f>IF(Indice_index!$Z$1=1,"Outras despesas de capital","Other capital expenditures")</f>
        <v>Outras despesas de capital</v>
      </c>
      <c r="D36" s="180">
        <f>'2 - Conta Consol AP'!K47</f>
        <v>25.628137305000003</v>
      </c>
      <c r="E36" s="180">
        <f>'2 - Conta Consol AP'!Q47</f>
        <v>23.801035801624437</v>
      </c>
      <c r="F36" s="180">
        <v>6.3739000591934349</v>
      </c>
      <c r="G36" s="180">
        <f t="shared" si="3"/>
        <v>-1.827101503375566</v>
      </c>
      <c r="H36" s="1558">
        <v>39.649714271234103</v>
      </c>
      <c r="I36" s="1558">
        <f>IFERROR(IF(ABS(+G36/D36*100)&gt;500,"-",+G36/D36*100),"-")</f>
        <v>-7.129279360537458</v>
      </c>
      <c r="J36" s="180">
        <f>+G36/$D$39*100</f>
        <v>-3.3018811620245028E-3</v>
      </c>
      <c r="K36" s="208"/>
      <c r="L36" s="209"/>
      <c r="M36" s="207"/>
      <c r="N36" s="207"/>
      <c r="O36" s="207"/>
      <c r="P36" s="207"/>
      <c r="Q36" s="207"/>
      <c r="R36" s="207"/>
      <c r="S36" s="207"/>
      <c r="T36" s="207"/>
    </row>
    <row r="37" spans="2:20" ht="15" customHeight="1">
      <c r="C37" s="830" t="str">
        <f>IF(Indice_index!$Z$1=1,"Diferenças de consolidação","Consolidation differences")</f>
        <v>Diferenças de consolidação</v>
      </c>
      <c r="D37" s="180">
        <f>'2 - Conta Consol AP'!K48</f>
        <v>7.7714724400000392</v>
      </c>
      <c r="E37" s="180">
        <f>'2 - Conta Consol AP'!Q48</f>
        <v>25.919292249999927</v>
      </c>
      <c r="F37" s="180">
        <v>67.358131530000051</v>
      </c>
      <c r="G37" s="180">
        <f t="shared" si="3"/>
        <v>18.147819809999888</v>
      </c>
      <c r="H37" s="1558" t="s">
        <v>2</v>
      </c>
      <c r="I37" s="1560" t="s">
        <v>2</v>
      </c>
      <c r="J37" s="180">
        <f>+G37/$D$39*100</f>
        <v>3.2796177033267204E-2</v>
      </c>
      <c r="K37" s="208"/>
      <c r="L37" s="209"/>
      <c r="M37" s="207"/>
      <c r="N37" s="207"/>
      <c r="O37" s="207"/>
      <c r="P37" s="207"/>
      <c r="Q37" s="207"/>
      <c r="R37" s="207"/>
      <c r="S37" s="207"/>
      <c r="T37" s="207"/>
    </row>
    <row r="38" spans="2:20" ht="4.5" customHeight="1">
      <c r="B38" s="565"/>
      <c r="C38" s="739"/>
      <c r="D38" s="1564"/>
      <c r="E38" s="1564"/>
      <c r="F38" s="1564"/>
      <c r="G38" s="1564"/>
      <c r="H38" s="1372"/>
      <c r="I38" s="1372"/>
      <c r="J38" s="1564"/>
      <c r="K38" s="208"/>
      <c r="L38" s="209"/>
      <c r="M38" s="207"/>
      <c r="N38" s="207"/>
      <c r="O38" s="207"/>
      <c r="P38" s="207"/>
      <c r="Q38" s="207"/>
      <c r="R38" s="207"/>
      <c r="S38" s="207"/>
      <c r="T38" s="207"/>
    </row>
    <row r="39" spans="2:20" s="252" customFormat="1" ht="15" customHeight="1">
      <c r="C39" s="1520" t="str">
        <f>IF(Indice_index!$Z$1=1,"Despesa efetiva","Effective expenditure")</f>
        <v>Despesa efetiva</v>
      </c>
      <c r="D39" s="1520">
        <f>'2 - Conta Consol AP'!K50</f>
        <v>55335.168460614863</v>
      </c>
      <c r="E39" s="1520">
        <f>'2 - Conta Consol AP'!Q50</f>
        <v>55477.50577442519</v>
      </c>
      <c r="F39" s="1520">
        <v>-787.57437201206994</v>
      </c>
      <c r="G39" s="1520">
        <f>+E39-D39</f>
        <v>142.33731381032703</v>
      </c>
      <c r="H39" s="1563">
        <v>-1.7107222979332672</v>
      </c>
      <c r="I39" s="1563">
        <f>IFERROR(IF(ABS(+G39/D39*100)&gt;500,"-",+G39/D39*100),"-")</f>
        <v>0.25722757835577287</v>
      </c>
      <c r="J39" s="1520"/>
      <c r="K39" s="582"/>
      <c r="L39" s="583"/>
      <c r="M39" s="584"/>
      <c r="N39" s="584"/>
      <c r="O39" s="584"/>
      <c r="P39" s="584"/>
      <c r="Q39" s="584"/>
      <c r="R39" s="584"/>
      <c r="S39" s="584"/>
      <c r="T39" s="584"/>
    </row>
    <row r="40" spans="2:20" ht="4.5" customHeight="1">
      <c r="B40" s="565"/>
      <c r="C40" s="830"/>
      <c r="D40" s="332"/>
      <c r="E40" s="332"/>
      <c r="F40" s="332"/>
      <c r="G40" s="332"/>
      <c r="H40" s="1565"/>
      <c r="I40" s="1565"/>
      <c r="J40" s="332"/>
      <c r="K40" s="208"/>
      <c r="L40" s="209"/>
      <c r="M40" s="207"/>
      <c r="N40" s="207"/>
      <c r="O40" s="207"/>
      <c r="P40" s="207"/>
      <c r="Q40" s="207"/>
      <c r="R40" s="207"/>
      <c r="S40" s="207"/>
      <c r="T40" s="207"/>
    </row>
    <row r="41" spans="2:20" s="252" customFormat="1" ht="15" customHeight="1">
      <c r="C41" s="1520" t="str">
        <f>IF(Indice_index!$Z$1=1,"Saldo global","Overall balance")</f>
        <v>Saldo global</v>
      </c>
      <c r="D41" s="1520">
        <f>D23-D39</f>
        <v>-7157.1260135560879</v>
      </c>
      <c r="E41" s="1520">
        <f>E23-E39</f>
        <v>431.83029307823017</v>
      </c>
      <c r="F41" s="1520">
        <v>8429.2268331907326</v>
      </c>
      <c r="G41" s="1520">
        <f>+E41-D41</f>
        <v>7588.956306634318</v>
      </c>
      <c r="H41" s="1563" t="s">
        <v>2</v>
      </c>
      <c r="I41" s="1563"/>
      <c r="J41" s="1520"/>
      <c r="K41" s="582"/>
      <c r="L41" s="583"/>
      <c r="M41" s="584"/>
      <c r="N41" s="584"/>
      <c r="O41" s="584"/>
      <c r="P41" s="584"/>
      <c r="Q41" s="584"/>
      <c r="R41" s="584"/>
      <c r="S41" s="584"/>
      <c r="T41" s="584"/>
    </row>
    <row r="42" spans="2:20" s="565" customFormat="1" ht="15" customHeight="1">
      <c r="B42" s="138"/>
      <c r="C42" s="874" t="str">
        <f>IF(Indice_index!$Z$1=1,"Despesa primária","Primary expenditure")</f>
        <v>Despesa primária</v>
      </c>
      <c r="D42" s="786">
        <f>D39-D28</f>
        <v>51107.288484544741</v>
      </c>
      <c r="E42" s="786">
        <f>E39-E28</f>
        <v>51512.657402247802</v>
      </c>
      <c r="F42" s="786">
        <v>-185.87015307572301</v>
      </c>
      <c r="G42" s="786">
        <f>+E42-D42</f>
        <v>405.36891770306102</v>
      </c>
      <c r="H42" s="1384">
        <v>-0.44149467751671545</v>
      </c>
      <c r="I42" s="1384">
        <f>IFERROR(IF(ABS(+G42/D42*100)&gt;500,"-",+G42/D42*100),"-")</f>
        <v>0.79317242163150159</v>
      </c>
      <c r="J42" s="786"/>
      <c r="K42" s="208"/>
      <c r="L42" s="209"/>
      <c r="M42" s="207"/>
      <c r="N42" s="207"/>
      <c r="O42" s="207"/>
      <c r="P42" s="207"/>
      <c r="Q42" s="207"/>
      <c r="R42" s="207"/>
      <c r="S42" s="207"/>
      <c r="T42" s="207"/>
    </row>
    <row r="43" spans="2:20" ht="15" customHeight="1">
      <c r="C43" s="874" t="str">
        <f>IF(Indice_index!$Z$1=1,"Saldo corrente","Current balance")</f>
        <v>Saldo corrente</v>
      </c>
      <c r="D43" s="786">
        <f>D9-D25</f>
        <v>-4147.8175034369415</v>
      </c>
      <c r="E43" s="786">
        <f>E9-E25</f>
        <v>2841.3718016404091</v>
      </c>
      <c r="F43" s="786">
        <v>7858.9758994832528</v>
      </c>
      <c r="G43" s="786">
        <f>+E43-D43</f>
        <v>6989.1893050773506</v>
      </c>
      <c r="H43" s="1384" t="s">
        <v>2</v>
      </c>
      <c r="I43" s="1384"/>
      <c r="J43" s="786"/>
      <c r="K43" s="208"/>
      <c r="L43" s="209"/>
      <c r="M43" s="207"/>
      <c r="N43" s="207"/>
      <c r="O43" s="207"/>
      <c r="P43" s="207"/>
      <c r="Q43" s="207"/>
      <c r="R43" s="207"/>
      <c r="S43" s="207"/>
      <c r="T43" s="207"/>
    </row>
    <row r="44" spans="2:20" s="565" customFormat="1" ht="15" customHeight="1">
      <c r="B44" s="138"/>
      <c r="C44" s="874" t="str">
        <f>IF(Indice_index!$Z$1=1,"Saldo de capital","Capital balance")</f>
        <v>Saldo de capital</v>
      </c>
      <c r="D44" s="180">
        <f>D17-D33</f>
        <v>-3009.3085101191409</v>
      </c>
      <c r="E44" s="180">
        <f>E17-E33</f>
        <v>-2409.541508562183</v>
      </c>
      <c r="F44" s="180">
        <v>570.25093370748004</v>
      </c>
      <c r="G44" s="180">
        <f>+E44-D44</f>
        <v>599.76700155695789</v>
      </c>
      <c r="H44" s="1558" t="s">
        <v>2</v>
      </c>
      <c r="I44" s="1558"/>
      <c r="J44" s="180"/>
      <c r="K44" s="208"/>
      <c r="L44" s="209"/>
      <c r="M44" s="207"/>
      <c r="N44" s="207"/>
      <c r="O44" s="207"/>
      <c r="P44" s="207"/>
      <c r="Q44" s="207"/>
      <c r="R44" s="207"/>
      <c r="S44" s="207"/>
      <c r="T44" s="207"/>
    </row>
    <row r="45" spans="2:20" ht="15" customHeight="1">
      <c r="B45" s="169"/>
      <c r="C45" s="1553" t="str">
        <f>IF(Indice_index!$Z$1=1,"Saldo primário","Primary balance")</f>
        <v>Saldo primário</v>
      </c>
      <c r="D45" s="1527">
        <f>D28+D41</f>
        <v>-2929.2460374859647</v>
      </c>
      <c r="E45" s="1527">
        <f>E28+E41</f>
        <v>4396.6786652556184</v>
      </c>
      <c r="F45" s="1527">
        <v>7827.5226142543852</v>
      </c>
      <c r="G45" s="1527">
        <f>+E45-D45</f>
        <v>7325.9247027415831</v>
      </c>
      <c r="H45" s="1527" t="s">
        <v>2</v>
      </c>
      <c r="I45" s="1527"/>
      <c r="J45" s="1527"/>
      <c r="K45" s="208"/>
      <c r="L45" s="209"/>
      <c r="M45" s="207"/>
      <c r="N45" s="207"/>
      <c r="O45" s="207"/>
      <c r="P45" s="207"/>
      <c r="Q45" s="207"/>
      <c r="R45" s="207"/>
      <c r="S45" s="207"/>
      <c r="T45" s="207"/>
    </row>
    <row r="46" spans="2:20" ht="15" hidden="1" customHeight="1">
      <c r="C46" s="1566"/>
      <c r="D46" s="1476"/>
      <c r="E46" s="1476"/>
      <c r="F46" s="1476"/>
      <c r="G46" s="1476"/>
      <c r="H46" s="1476"/>
      <c r="I46" s="1476"/>
      <c r="J46" s="1476"/>
      <c r="K46" s="208"/>
      <c r="L46" s="209"/>
      <c r="M46" s="207"/>
      <c r="N46" s="207"/>
      <c r="O46" s="207"/>
      <c r="P46" s="207"/>
      <c r="Q46" s="207"/>
      <c r="R46" s="207"/>
      <c r="S46" s="207"/>
      <c r="T46" s="207"/>
    </row>
    <row r="47" spans="2:20" ht="13.5" customHeight="1">
      <c r="C47" s="1567" t="str">
        <f>IF(Indice_index!$Z$1=1,"Fonte: Direção-Geral do Orçamento","Source: Budget General Directorate")</f>
        <v>Fonte: Direção-Geral do Orçamento</v>
      </c>
      <c r="D47" s="1568"/>
      <c r="E47" s="1568"/>
      <c r="F47" s="1568"/>
      <c r="G47" s="1568"/>
      <c r="H47" s="1568"/>
      <c r="I47" s="1568"/>
      <c r="J47" s="1568"/>
      <c r="K47" s="208"/>
      <c r="L47" s="209"/>
      <c r="M47" s="207"/>
      <c r="N47" s="207"/>
      <c r="O47" s="207"/>
      <c r="P47" s="207"/>
      <c r="Q47" s="207"/>
      <c r="R47" s="207"/>
      <c r="S47" s="207"/>
      <c r="T47" s="207"/>
    </row>
    <row r="48" spans="2:20" s="169" customFormat="1" ht="13.5" customHeight="1">
      <c r="B48" s="138"/>
      <c r="D48" s="690"/>
      <c r="E48" s="690"/>
      <c r="F48" s="690"/>
      <c r="G48" s="690"/>
      <c r="H48" s="690"/>
      <c r="I48" s="690"/>
      <c r="J48" s="690"/>
      <c r="K48" s="208"/>
      <c r="L48" s="209"/>
      <c r="M48" s="207"/>
      <c r="N48" s="207"/>
      <c r="O48" s="207"/>
      <c r="P48" s="207"/>
      <c r="Q48" s="207"/>
      <c r="R48" s="207"/>
      <c r="S48" s="207"/>
      <c r="T48" s="207"/>
    </row>
  </sheetData>
  <mergeCells count="10">
    <mergeCell ref="M8:N8"/>
    <mergeCell ref="O8:P8"/>
    <mergeCell ref="Q8:R8"/>
    <mergeCell ref="S8:T8"/>
    <mergeCell ref="C6:C8"/>
    <mergeCell ref="D6:E7"/>
    <mergeCell ref="J6:J8"/>
    <mergeCell ref="F6:I6"/>
    <mergeCell ref="F7:G7"/>
    <mergeCell ref="H7:I7"/>
  </mergeCells>
  <printOptions horizontalCentered="1"/>
  <pageMargins left="0.70866141732283472" right="0.70866141732283472" top="0.74803149606299213" bottom="0.74803149606299213" header="0.74803149606299213" footer="0.35433070866141736"/>
  <pageSetup paperSize="9" scale="80" orientation="portrait" r:id="rId1"/>
  <headerFooter differentOddEven="1">
    <oddFooter>&amp;R&amp;G</oddFooter>
    <evenFooter>&amp;L&amp;G</evenFooter>
  </headerFooter>
  <ignoredErrors>
    <ignoredError sqref="D7:E7 J8 E6 J7 D8:E8" numberStoredAsText="1"/>
    <ignoredError sqref="C30:C35 C13:C14 C15:C19 C47:J47 D48:J48 C11:C12 D46:J46" unlockedFormula="1"/>
    <ignoredError sqref="G8:H8" formula="1"/>
  </ignoredErrors>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olha7">
    <pageSetUpPr fitToPage="1"/>
  </sheetPr>
  <dimension ref="B1:U52"/>
  <sheetViews>
    <sheetView showGridLines="0" zoomScaleNormal="100" zoomScaleSheetLayoutView="100" workbookViewId="0">
      <selection activeCell="C26" sqref="C26"/>
    </sheetView>
  </sheetViews>
  <sheetFormatPr defaultColWidth="9.140625" defaultRowHeight="12.75"/>
  <cols>
    <col min="1" max="1" width="2.5703125" style="189" customWidth="1"/>
    <col min="2" max="2" width="5.140625" style="189" customWidth="1"/>
    <col min="3" max="3" width="23.5703125" style="189" customWidth="1"/>
    <col min="4" max="4" width="1" style="189" customWidth="1"/>
    <col min="5" max="5" width="9.42578125" style="189" customWidth="1"/>
    <col min="6" max="6" width="8.5703125" style="189" customWidth="1"/>
    <col min="7" max="7" width="1" style="189" customWidth="1"/>
    <col min="8" max="8" width="7.42578125" style="190" customWidth="1"/>
    <col min="9" max="9" width="7.42578125" style="192" customWidth="1"/>
    <col min="10" max="10" width="7.42578125" style="359" customWidth="1"/>
    <col min="11" max="11" width="7.42578125" style="192" customWidth="1"/>
    <col min="12" max="12" width="9.140625" style="189" customWidth="1"/>
    <col min="13" max="14" width="1" style="191" customWidth="1"/>
    <col min="15" max="15" width="1.5703125" style="189" customWidth="1"/>
    <col min="16" max="16" width="9.140625" style="189" customWidth="1"/>
    <col min="17" max="17" width="11.42578125" style="189" customWidth="1"/>
    <col min="18" max="18" width="8.42578125" style="190" customWidth="1"/>
    <col min="19" max="21" width="9.140625" style="190"/>
    <col min="22" max="16384" width="9.140625" style="189"/>
  </cols>
  <sheetData>
    <row r="1" spans="2:18" s="190" customFormat="1">
      <c r="B1" s="205"/>
      <c r="C1" s="205"/>
      <c r="D1" s="189"/>
      <c r="E1" s="189"/>
      <c r="F1" s="189"/>
      <c r="G1" s="189"/>
      <c r="I1" s="192"/>
      <c r="J1" s="359"/>
      <c r="K1" s="192"/>
      <c r="L1" s="189"/>
      <c r="M1" s="191"/>
      <c r="N1" s="191"/>
      <c r="O1" s="189"/>
      <c r="P1" s="189"/>
      <c r="Q1" s="189"/>
    </row>
    <row r="2" spans="2:18" s="190" customFormat="1" ht="24" customHeight="1">
      <c r="B2" s="204"/>
      <c r="C2" s="9" t="str">
        <f>IF(Indice_index!$Z$1=1,"Síntese Global","Global Summary")</f>
        <v>Síntese Global</v>
      </c>
      <c r="D2" s="9"/>
      <c r="E2" s="201"/>
      <c r="F2" s="201"/>
      <c r="G2" s="201"/>
      <c r="H2" s="358"/>
      <c r="I2" s="201"/>
      <c r="J2" s="358"/>
      <c r="K2" s="201"/>
      <c r="L2" s="189"/>
      <c r="M2" s="191"/>
      <c r="N2" s="191"/>
      <c r="O2" s="189"/>
      <c r="P2" s="189"/>
      <c r="Q2" s="203"/>
    </row>
    <row r="3" spans="2:18" s="190" customFormat="1" ht="11.25" customHeight="1">
      <c r="B3" s="189"/>
      <c r="C3" s="202"/>
      <c r="D3" s="201"/>
      <c r="E3" s="201"/>
      <c r="F3" s="201"/>
      <c r="G3" s="201"/>
      <c r="H3" s="358"/>
      <c r="I3" s="201"/>
      <c r="J3" s="358"/>
      <c r="K3" s="189"/>
      <c r="L3" s="189"/>
      <c r="M3" s="191"/>
      <c r="N3" s="191"/>
      <c r="O3" s="189"/>
      <c r="P3" s="189"/>
      <c r="Q3" s="189"/>
    </row>
    <row r="4" spans="2:18" s="190" customFormat="1" ht="11.25" customHeight="1">
      <c r="B4" s="191"/>
      <c r="C4" s="191"/>
      <c r="D4" s="191"/>
      <c r="E4" s="191"/>
      <c r="F4" s="191"/>
      <c r="G4" s="191"/>
      <c r="H4" s="332"/>
      <c r="I4" s="191"/>
      <c r="J4" s="332"/>
      <c r="K4" s="191"/>
      <c r="L4" s="191"/>
      <c r="M4" s="191"/>
      <c r="N4" s="191"/>
      <c r="O4" s="189"/>
      <c r="P4" s="189"/>
      <c r="Q4" s="189"/>
    </row>
    <row r="5" spans="2:18" s="190" customFormat="1" ht="11.25" customHeight="1">
      <c r="B5" s="191"/>
      <c r="C5" s="332"/>
      <c r="D5" s="332"/>
      <c r="E5" s="332"/>
      <c r="F5" s="332"/>
      <c r="G5" s="332"/>
      <c r="H5" s="332"/>
      <c r="I5" s="332"/>
      <c r="J5" s="332"/>
      <c r="K5" s="332"/>
      <c r="L5" s="332"/>
      <c r="M5" s="191"/>
      <c r="N5" s="191"/>
      <c r="O5" s="189"/>
      <c r="P5" s="189"/>
      <c r="Q5" s="189"/>
    </row>
    <row r="6" spans="2:18" s="255" customFormat="1">
      <c r="B6" s="253"/>
      <c r="C6" s="683" t="s">
        <v>54</v>
      </c>
      <c r="D6" s="684"/>
      <c r="E6" s="684"/>
      <c r="F6" s="684"/>
      <c r="G6" s="684"/>
      <c r="H6" s="684"/>
      <c r="I6" s="684"/>
      <c r="J6" s="684"/>
      <c r="K6" s="684"/>
      <c r="L6" s="684"/>
      <c r="M6" s="253"/>
      <c r="N6" s="253"/>
      <c r="O6" s="254"/>
      <c r="P6" s="254"/>
      <c r="Q6" s="254"/>
    </row>
    <row r="7" spans="2:18" s="255" customFormat="1">
      <c r="B7" s="253"/>
      <c r="C7" s="684"/>
      <c r="D7" s="684"/>
      <c r="E7" s="684"/>
      <c r="F7" s="684"/>
      <c r="G7" s="684"/>
      <c r="H7" s="684"/>
      <c r="I7" s="684"/>
      <c r="J7" s="684"/>
      <c r="K7" s="684"/>
      <c r="L7" s="684"/>
      <c r="M7" s="253"/>
      <c r="N7" s="253"/>
      <c r="O7" s="254"/>
      <c r="P7" s="254"/>
      <c r="Q7" s="254"/>
    </row>
    <row r="8" spans="2:18" s="255" customFormat="1" ht="15.75">
      <c r="B8" s="253"/>
      <c r="C8" s="1189" t="str">
        <f>+'6 - Conta AC'!C4</f>
        <v>Período: janeiro a julho</v>
      </c>
      <c r="D8" s="1190"/>
      <c r="E8" s="1191"/>
      <c r="F8" s="1191"/>
      <c r="G8" s="1191"/>
      <c r="H8" s="1191"/>
      <c r="I8" s="1191"/>
      <c r="J8" s="1191"/>
      <c r="K8" s="1192"/>
      <c r="L8" s="1193" t="str">
        <f>IF(Indice_index!$Z$1=1,"€ Milhões","€ Millions")</f>
        <v>€ Milhões</v>
      </c>
      <c r="N8" s="254"/>
      <c r="O8" s="254"/>
      <c r="P8" s="254"/>
      <c r="Q8" s="254"/>
    </row>
    <row r="9" spans="2:18" s="190" customFormat="1" ht="18.75" customHeight="1">
      <c r="B9" s="191"/>
      <c r="C9" s="1669" t="s">
        <v>53</v>
      </c>
      <c r="D9" s="1194"/>
      <c r="E9" s="1672" t="s">
        <v>94</v>
      </c>
      <c r="F9" s="1672"/>
      <c r="G9" s="1195"/>
      <c r="H9" s="1678" t="s">
        <v>93</v>
      </c>
      <c r="I9" s="1678"/>
      <c r="J9" s="1678"/>
      <c r="K9" s="1678"/>
      <c r="L9" s="1674" t="str">
        <f>"Contributo VHA " &amp; "
(em p.p.)"</f>
        <v>Contributo VHA 
(em p.p.)</v>
      </c>
      <c r="N9" s="189"/>
      <c r="O9" s="189"/>
      <c r="P9" s="189"/>
      <c r="Q9" s="1677"/>
    </row>
    <row r="10" spans="2:18" s="190" customFormat="1" ht="13.5" customHeight="1">
      <c r="B10" s="191"/>
      <c r="C10" s="1670"/>
      <c r="D10" s="1196"/>
      <c r="E10" s="1673"/>
      <c r="F10" s="1673"/>
      <c r="G10" s="1197"/>
      <c r="H10" s="1673" t="s">
        <v>52</v>
      </c>
      <c r="I10" s="1673"/>
      <c r="J10" s="1673" t="s">
        <v>51</v>
      </c>
      <c r="K10" s="1673"/>
      <c r="L10" s="1675"/>
      <c r="N10" s="189"/>
      <c r="O10" s="189"/>
      <c r="P10" s="189"/>
      <c r="Q10" s="1677"/>
      <c r="R10" s="191"/>
    </row>
    <row r="11" spans="2:18" s="190" customFormat="1" ht="17.25" customHeight="1">
      <c r="B11" s="191"/>
      <c r="C11" s="1671"/>
      <c r="D11" s="1196"/>
      <c r="E11" s="1198" t="s">
        <v>67</v>
      </c>
      <c r="F11" s="1198" t="s">
        <v>74</v>
      </c>
      <c r="G11" s="1199"/>
      <c r="H11" s="1200" t="s">
        <v>511</v>
      </c>
      <c r="I11" s="1200" t="s">
        <v>513</v>
      </c>
      <c r="J11" s="1200" t="s">
        <v>511</v>
      </c>
      <c r="K11" s="1200" t="s">
        <v>513</v>
      </c>
      <c r="L11" s="1676"/>
      <c r="N11" s="189"/>
      <c r="O11" s="189"/>
      <c r="P11" s="189"/>
      <c r="Q11" s="200"/>
      <c r="R11" s="191"/>
    </row>
    <row r="12" spans="2:18" s="190" customFormat="1" ht="15" customHeight="1">
      <c r="B12" s="191"/>
      <c r="C12" s="1201" t="s">
        <v>50</v>
      </c>
      <c r="D12" s="1196"/>
      <c r="E12" s="755">
        <f>'5 - Conta AC + SS'!F30</f>
        <v>10819.058741789999</v>
      </c>
      <c r="F12" s="755">
        <f>'5 - Conta AC + SS'!G30</f>
        <v>10912.181948679998</v>
      </c>
      <c r="G12" s="755"/>
      <c r="H12" s="755">
        <v>56.787933689998681</v>
      </c>
      <c r="I12" s="745">
        <f>F12-E12</f>
        <v>93.123206889998983</v>
      </c>
      <c r="J12" s="745">
        <v>0.61568812999235334</v>
      </c>
      <c r="K12" s="745">
        <f t="shared" ref="K12:K18" si="0">+IFERROR(((F12/E12-1)*100),"-")</f>
        <v>0.86073298160678213</v>
      </c>
      <c r="L12" s="745">
        <f t="shared" ref="L12:L18" si="1">IFERROR((F12-E12)/$E$22*100,"-")</f>
        <v>0.18117070989909304</v>
      </c>
      <c r="N12" s="189"/>
      <c r="O12" s="189"/>
      <c r="P12" s="199"/>
      <c r="Q12" s="189"/>
      <c r="R12" s="195"/>
    </row>
    <row r="13" spans="2:18" s="190" customFormat="1" ht="15" customHeight="1">
      <c r="B13" s="191"/>
      <c r="C13" s="1201" t="s">
        <v>49</v>
      </c>
      <c r="D13" s="1196"/>
      <c r="E13" s="755">
        <f>'5 - Conta AC + SS'!F34</f>
        <v>5218.6453933500006</v>
      </c>
      <c r="F13" s="755">
        <f>'5 - Conta AC + SS'!G34</f>
        <v>5837.5501227400018</v>
      </c>
      <c r="G13" s="1199"/>
      <c r="H13" s="1199">
        <v>496.65074379000635</v>
      </c>
      <c r="I13" s="755">
        <f>F13-E13</f>
        <v>618.90472939000119</v>
      </c>
      <c r="J13" s="755">
        <v>11.37965182235401</v>
      </c>
      <c r="K13" s="745">
        <f t="shared" si="0"/>
        <v>11.859490015908293</v>
      </c>
      <c r="L13" s="745">
        <f t="shared" si="1"/>
        <v>1.2040759003922852</v>
      </c>
      <c r="N13" s="189"/>
      <c r="O13" s="189"/>
      <c r="P13" s="199"/>
      <c r="Q13" s="189"/>
      <c r="R13" s="195"/>
    </row>
    <row r="14" spans="2:18" s="190" customFormat="1" ht="15" customHeight="1">
      <c r="B14" s="191"/>
      <c r="C14" s="1201" t="s">
        <v>48</v>
      </c>
      <c r="D14" s="1196"/>
      <c r="E14" s="755">
        <f>'5 - Conta AC + SS'!F35</f>
        <v>4136.7425624400003</v>
      </c>
      <c r="F14" s="755">
        <f>'5 - Conta AC + SS'!G35</f>
        <v>3878.6359140300001</v>
      </c>
      <c r="G14" s="1199"/>
      <c r="H14" s="1199">
        <v>-596.98136552999858</v>
      </c>
      <c r="I14" s="755">
        <f>F14-E14</f>
        <v>-258.10664841000016</v>
      </c>
      <c r="J14" s="755">
        <v>-15.443088524737981</v>
      </c>
      <c r="K14" s="745">
        <f t="shared" si="0"/>
        <v>-6.2393693712900378</v>
      </c>
      <c r="L14" s="745">
        <f t="shared" si="1"/>
        <v>-0.50214512884368145</v>
      </c>
      <c r="N14" s="189"/>
      <c r="O14" s="189"/>
      <c r="P14" s="199"/>
      <c r="Q14" s="189"/>
      <c r="R14" s="195"/>
    </row>
    <row r="15" spans="2:18" s="190" customFormat="1" ht="15" customHeight="1">
      <c r="B15" s="191"/>
      <c r="C15" s="1201" t="s">
        <v>47</v>
      </c>
      <c r="D15" s="1196"/>
      <c r="E15" s="755">
        <f>'5 - Conta AC + SS'!F36+'5 - Conta AC + SS'!F44</f>
        <v>28133.31712168</v>
      </c>
      <c r="F15" s="755">
        <f>'5 - Conta AC + SS'!G36+'5 - Conta AC + SS'!G44</f>
        <v>27548.559468399999</v>
      </c>
      <c r="G15" s="755"/>
      <c r="H15" s="755">
        <v>-1133.2943380000033</v>
      </c>
      <c r="I15" s="755">
        <f>F15-E15</f>
        <v>-584.75765328000125</v>
      </c>
      <c r="J15" s="755">
        <v>-5.0073281390583642</v>
      </c>
      <c r="K15" s="745">
        <f t="shared" si="0"/>
        <v>-2.0785236620013636</v>
      </c>
      <c r="L15" s="745">
        <f t="shared" si="1"/>
        <v>-1.1376429431689075</v>
      </c>
      <c r="N15" s="189"/>
      <c r="O15" s="189"/>
      <c r="P15" s="199"/>
      <c r="Q15" s="189"/>
      <c r="R15" s="195"/>
    </row>
    <row r="16" spans="2:18" s="190" customFormat="1" ht="15" customHeight="1">
      <c r="B16" s="191"/>
      <c r="C16" s="1201" t="s">
        <v>46</v>
      </c>
      <c r="D16" s="1196"/>
      <c r="E16" s="755">
        <f>'5 - Conta AC + SS'!F39</f>
        <v>894.55034383000009</v>
      </c>
      <c r="F16" s="755">
        <f>'5 - Conta AC + SS'!G39</f>
        <v>924.19031309000002</v>
      </c>
      <c r="G16" s="755"/>
      <c r="H16" s="755">
        <v>74.368199300000242</v>
      </c>
      <c r="I16" s="755">
        <f t="shared" ref="I16:I19" si="2">F16-E16</f>
        <v>29.63996925999993</v>
      </c>
      <c r="J16" s="755">
        <v>10.084597791756034</v>
      </c>
      <c r="K16" s="745">
        <f t="shared" si="0"/>
        <v>3.313393087872174</v>
      </c>
      <c r="L16" s="745">
        <f t="shared" si="1"/>
        <v>5.766440451910796E-2</v>
      </c>
      <c r="N16" s="189"/>
      <c r="O16" s="189"/>
      <c r="P16" s="199"/>
      <c r="Q16" s="189"/>
      <c r="R16" s="195"/>
    </row>
    <row r="17" spans="2:18" s="190" customFormat="1" ht="15" customHeight="1">
      <c r="B17" s="191"/>
      <c r="C17" s="1201" t="s">
        <v>45</v>
      </c>
      <c r="D17" s="1196"/>
      <c r="E17" s="755">
        <f>'5 - Conta AC + SS'!F43</f>
        <v>1787.2383527500003</v>
      </c>
      <c r="F17" s="755">
        <f>'5 - Conta AC + SS'!G43</f>
        <v>1845.8341018000003</v>
      </c>
      <c r="G17" s="1199"/>
      <c r="H17" s="1199">
        <v>128.0966071600003</v>
      </c>
      <c r="I17" s="755">
        <f t="shared" si="2"/>
        <v>58.595749049999995</v>
      </c>
      <c r="J17" s="755">
        <v>8.3171573707693014</v>
      </c>
      <c r="K17" s="745">
        <f t="shared" si="0"/>
        <v>3.2785637662620326</v>
      </c>
      <c r="L17" s="745">
        <f t="shared" si="1"/>
        <v>0.11399772201785824</v>
      </c>
      <c r="N17" s="189"/>
      <c r="O17" s="189"/>
      <c r="P17" s="199"/>
      <c r="Q17" s="189"/>
      <c r="R17" s="195"/>
    </row>
    <row r="18" spans="2:18" s="190" customFormat="1" ht="15" customHeight="1">
      <c r="B18" s="191"/>
      <c r="C18" s="1201" t="s">
        <v>44</v>
      </c>
      <c r="D18" s="1196"/>
      <c r="E18" s="755">
        <f>'5 - Conta AC + SS'!F40+'5 - Conta AC + SS'!F47</f>
        <v>333.80609925999994</v>
      </c>
      <c r="F18" s="755">
        <f>'5 - Conta AC + SS'!G40+'5 - Conta AC + SS'!G47</f>
        <v>387.14364382000002</v>
      </c>
      <c r="G18" s="755"/>
      <c r="H18" s="755">
        <v>61.145854450000172</v>
      </c>
      <c r="I18" s="755">
        <f t="shared" si="2"/>
        <v>53.337544560000083</v>
      </c>
      <c r="J18" s="755">
        <v>22.451164942776678</v>
      </c>
      <c r="K18" s="745">
        <f t="shared" si="0"/>
        <v>15.978600953739841</v>
      </c>
      <c r="L18" s="745">
        <f t="shared" si="1"/>
        <v>0.10376791279991356</v>
      </c>
      <c r="N18" s="189"/>
      <c r="O18" s="189"/>
      <c r="P18" s="199"/>
      <c r="Q18" s="189"/>
      <c r="R18" s="195"/>
    </row>
    <row r="19" spans="2:18" s="190" customFormat="1" ht="15" customHeight="1">
      <c r="B19" s="191"/>
      <c r="C19" s="1201" t="s">
        <v>43</v>
      </c>
      <c r="D19" s="1196"/>
      <c r="E19" s="755">
        <f>'5 - Conta AC + SS'!F41+'5 - Conta AC + SS'!F48</f>
        <v>77.448359640002252</v>
      </c>
      <c r="F19" s="755">
        <f>'5 - Conta AC + SS'!G41+'5 - Conta AC + SS'!G48</f>
        <v>94.23207382000308</v>
      </c>
      <c r="G19" s="755"/>
      <c r="H19" s="755">
        <v>-9.7994831300011782</v>
      </c>
      <c r="I19" s="755">
        <f t="shared" si="2"/>
        <v>16.783714180000828</v>
      </c>
      <c r="J19" s="755"/>
      <c r="K19" s="745"/>
      <c r="L19" s="755"/>
      <c r="N19" s="189"/>
      <c r="O19" s="189"/>
      <c r="P19" s="199"/>
      <c r="Q19" s="198"/>
      <c r="R19" s="195"/>
    </row>
    <row r="20" spans="2:18" s="190" customFormat="1" ht="4.5" customHeight="1">
      <c r="B20" s="191"/>
      <c r="C20" s="1199"/>
      <c r="D20" s="1196"/>
      <c r="E20" s="755"/>
      <c r="F20" s="755"/>
      <c r="G20" s="1199"/>
      <c r="H20" s="1199"/>
      <c r="I20" s="755"/>
      <c r="J20" s="755"/>
      <c r="K20" s="745"/>
      <c r="L20" s="755"/>
      <c r="N20" s="189"/>
      <c r="O20" s="189"/>
      <c r="P20" s="199"/>
      <c r="Q20" s="198"/>
      <c r="R20" s="195"/>
    </row>
    <row r="21" spans="2:18" s="255" customFormat="1" ht="15" customHeight="1">
      <c r="B21" s="253"/>
      <c r="C21" s="1202" t="s">
        <v>42</v>
      </c>
      <c r="D21" s="1203"/>
      <c r="E21" s="1204">
        <f>+E22-E14</f>
        <v>47264.064412300002</v>
      </c>
      <c r="F21" s="1204">
        <f>+F22-F14</f>
        <v>47549.691672350011</v>
      </c>
      <c r="G21" s="1204"/>
      <c r="H21" s="1204">
        <v>-326.04448273999878</v>
      </c>
      <c r="I21" s="1204">
        <f>+F21-E21</f>
        <v>285.62726005000877</v>
      </c>
      <c r="J21" s="1204">
        <v>-0.8389225185657545</v>
      </c>
      <c r="K21" s="1205">
        <f>+IFERROR(((F21/E21-1)*100),"-")</f>
        <v>0.60432225539976958</v>
      </c>
      <c r="L21" s="1205">
        <f>IFERROR((F21-E21)/$E$22*100,"-")</f>
        <v>0.55568633424447045</v>
      </c>
      <c r="N21" s="254"/>
      <c r="O21" s="254"/>
      <c r="P21" s="256"/>
      <c r="Q21" s="257"/>
      <c r="R21" s="258"/>
    </row>
    <row r="22" spans="2:18" s="255" customFormat="1" ht="15" customHeight="1">
      <c r="B22" s="253"/>
      <c r="C22" s="1206" t="s">
        <v>41</v>
      </c>
      <c r="D22" s="1207"/>
      <c r="E22" s="1208">
        <f>SUM(E12:E19)</f>
        <v>51400.80697474</v>
      </c>
      <c r="F22" s="1208">
        <f>SUM(F12:F19)</f>
        <v>51428.327586380008</v>
      </c>
      <c r="G22" s="1208"/>
      <c r="H22" s="1208">
        <v>-923.02584826999373</v>
      </c>
      <c r="I22" s="1208">
        <f>+F22-E22</f>
        <v>27.520611640007701</v>
      </c>
      <c r="J22" s="1208">
        <v>-2.1601172799001978</v>
      </c>
      <c r="K22" s="1209">
        <f>+IFERROR(((F22/E22-1)*100),"-")</f>
        <v>5.3541205400797764E-2</v>
      </c>
      <c r="L22" s="1208"/>
      <c r="N22" s="254"/>
      <c r="O22" s="254"/>
      <c r="P22" s="254"/>
      <c r="Q22" s="259"/>
      <c r="R22" s="258"/>
    </row>
    <row r="23" spans="2:18" s="190" customFormat="1" ht="15" customHeight="1">
      <c r="B23" s="191"/>
      <c r="C23" s="1201" t="s">
        <v>40</v>
      </c>
      <c r="D23" s="1210"/>
      <c r="E23" s="193"/>
      <c r="F23" s="193"/>
      <c r="G23" s="193"/>
      <c r="H23" s="193"/>
      <c r="I23" s="193"/>
      <c r="J23" s="193"/>
      <c r="K23" s="193"/>
      <c r="L23" s="745"/>
      <c r="M23" s="332"/>
      <c r="N23" s="191"/>
      <c r="O23" s="189"/>
      <c r="P23" s="189"/>
      <c r="Q23" s="191"/>
      <c r="R23" s="191"/>
    </row>
    <row r="24" spans="2:18" s="190" customFormat="1">
      <c r="B24" s="191"/>
      <c r="C24" s="332"/>
      <c r="D24" s="332"/>
      <c r="E24" s="333"/>
      <c r="F24" s="333"/>
      <c r="G24" s="333"/>
      <c r="H24" s="333"/>
      <c r="I24" s="193"/>
      <c r="J24" s="193"/>
      <c r="K24" s="332"/>
      <c r="L24" s="332"/>
      <c r="M24" s="332"/>
      <c r="N24" s="191"/>
      <c r="O24" s="189"/>
      <c r="P24" s="189"/>
      <c r="Q24" s="191"/>
      <c r="R24" s="191"/>
    </row>
    <row r="25" spans="2:18" s="190" customFormat="1">
      <c r="B25" s="191"/>
      <c r="C25" s="332"/>
      <c r="D25" s="332"/>
      <c r="E25" s="333"/>
      <c r="F25" s="333"/>
      <c r="G25" s="333"/>
      <c r="H25" s="333"/>
      <c r="I25" s="193"/>
      <c r="J25" s="193"/>
      <c r="K25" s="332"/>
      <c r="L25" s="332"/>
      <c r="M25" s="191"/>
      <c r="N25" s="191"/>
      <c r="O25" s="189"/>
      <c r="P25" s="189"/>
      <c r="Q25" s="189"/>
    </row>
    <row r="26" spans="2:18" s="190" customFormat="1">
      <c r="B26" s="191"/>
      <c r="C26" s="191"/>
      <c r="D26" s="191"/>
      <c r="E26" s="197"/>
      <c r="F26" s="196"/>
      <c r="G26" s="191"/>
      <c r="H26" s="332"/>
      <c r="I26" s="193"/>
      <c r="J26" s="193"/>
      <c r="K26" s="191"/>
      <c r="L26" s="195"/>
      <c r="M26" s="191"/>
      <c r="N26" s="191"/>
      <c r="O26" s="189"/>
      <c r="P26" s="189"/>
      <c r="Q26" s="189"/>
    </row>
    <row r="27" spans="2:18" s="190" customFormat="1">
      <c r="B27" s="189"/>
      <c r="C27" s="189"/>
      <c r="D27" s="189"/>
      <c r="E27" s="189"/>
      <c r="F27" s="194"/>
      <c r="G27" s="189"/>
      <c r="I27" s="193"/>
      <c r="J27" s="193"/>
      <c r="K27" s="192"/>
      <c r="L27" s="189"/>
      <c r="M27" s="191"/>
      <c r="N27" s="191"/>
      <c r="O27" s="189"/>
      <c r="P27" s="189"/>
      <c r="Q27" s="189"/>
    </row>
    <row r="28" spans="2:18" s="190" customFormat="1">
      <c r="B28" s="189"/>
      <c r="C28" s="189"/>
      <c r="D28" s="189"/>
      <c r="E28" s="189"/>
      <c r="F28" s="189"/>
      <c r="G28" s="189"/>
      <c r="I28" s="193"/>
      <c r="J28" s="193"/>
      <c r="K28" s="192"/>
      <c r="L28" s="189"/>
      <c r="M28" s="191"/>
      <c r="N28" s="191"/>
      <c r="O28" s="189"/>
      <c r="P28" s="189"/>
      <c r="Q28" s="189"/>
    </row>
    <row r="29" spans="2:18" s="190" customFormat="1">
      <c r="B29" s="189"/>
      <c r="C29" s="189"/>
      <c r="D29" s="189"/>
      <c r="E29" s="189"/>
      <c r="F29" s="189"/>
      <c r="G29" s="189"/>
      <c r="I29" s="193"/>
      <c r="J29" s="193"/>
      <c r="K29" s="192"/>
      <c r="L29" s="189"/>
      <c r="M29" s="191"/>
      <c r="N29" s="191"/>
      <c r="O29" s="189"/>
      <c r="P29" s="189"/>
      <c r="Q29" s="189"/>
    </row>
    <row r="30" spans="2:18" s="190" customFormat="1">
      <c r="B30" s="189"/>
      <c r="C30" s="189"/>
      <c r="D30" s="189"/>
      <c r="E30" s="189"/>
      <c r="F30" s="189"/>
      <c r="G30" s="189"/>
      <c r="I30" s="193"/>
      <c r="J30" s="193"/>
      <c r="K30" s="192"/>
      <c r="L30" s="189"/>
      <c r="M30" s="191"/>
      <c r="N30" s="191"/>
      <c r="O30" s="189"/>
      <c r="P30" s="189"/>
      <c r="Q30" s="189"/>
    </row>
    <row r="31" spans="2:18" s="190" customFormat="1">
      <c r="B31" s="189"/>
      <c r="C31" s="191"/>
      <c r="D31" s="191"/>
      <c r="E31" s="191"/>
      <c r="F31" s="191"/>
      <c r="G31" s="191"/>
      <c r="H31" s="332"/>
      <c r="I31" s="191"/>
      <c r="J31" s="332"/>
      <c r="K31" s="191"/>
      <c r="L31" s="191"/>
      <c r="M31" s="191"/>
      <c r="N31" s="191"/>
      <c r="O31" s="189"/>
      <c r="P31" s="189"/>
      <c r="Q31" s="189"/>
    </row>
    <row r="32" spans="2:18" s="190" customFormat="1">
      <c r="B32" s="189"/>
      <c r="C32" s="191"/>
      <c r="D32" s="191"/>
      <c r="E32" s="191"/>
      <c r="F32" s="191"/>
      <c r="G32" s="191"/>
      <c r="H32" s="332"/>
      <c r="I32" s="191"/>
      <c r="J32" s="332"/>
      <c r="K32" s="191"/>
      <c r="L32" s="191"/>
      <c r="M32" s="191"/>
      <c r="N32" s="191"/>
      <c r="O32" s="189"/>
      <c r="P32" s="189"/>
      <c r="Q32" s="189"/>
    </row>
    <row r="33" spans="8:21" s="191" customFormat="1">
      <c r="H33" s="332"/>
      <c r="J33" s="332"/>
      <c r="O33" s="189"/>
      <c r="P33" s="189"/>
      <c r="Q33" s="189"/>
      <c r="R33" s="190"/>
      <c r="S33" s="190"/>
      <c r="T33" s="190"/>
      <c r="U33" s="190"/>
    </row>
    <row r="34" spans="8:21" s="191" customFormat="1">
      <c r="H34" s="332"/>
      <c r="J34" s="332"/>
      <c r="O34" s="189"/>
      <c r="P34" s="189"/>
      <c r="Q34" s="189"/>
      <c r="R34" s="190"/>
      <c r="S34" s="190"/>
      <c r="T34" s="190"/>
      <c r="U34" s="190"/>
    </row>
    <row r="35" spans="8:21" s="191" customFormat="1">
      <c r="H35" s="332"/>
      <c r="J35" s="332"/>
      <c r="O35" s="189"/>
      <c r="P35" s="189"/>
      <c r="Q35" s="189"/>
      <c r="R35" s="190"/>
      <c r="S35" s="190"/>
      <c r="T35" s="190"/>
      <c r="U35" s="190"/>
    </row>
    <row r="36" spans="8:21" s="191" customFormat="1">
      <c r="H36" s="332"/>
      <c r="J36" s="332"/>
      <c r="O36" s="189"/>
      <c r="P36" s="189"/>
      <c r="Q36" s="189"/>
      <c r="R36" s="190"/>
      <c r="S36" s="190"/>
      <c r="T36" s="190"/>
      <c r="U36" s="190"/>
    </row>
    <row r="37" spans="8:21" s="191" customFormat="1">
      <c r="H37" s="332"/>
      <c r="J37" s="332"/>
      <c r="O37" s="189"/>
      <c r="P37" s="189"/>
      <c r="Q37" s="189"/>
      <c r="R37" s="190"/>
      <c r="S37" s="190"/>
      <c r="T37" s="190"/>
      <c r="U37" s="190"/>
    </row>
    <row r="38" spans="8:21" s="191" customFormat="1">
      <c r="H38" s="332"/>
      <c r="J38" s="332"/>
      <c r="O38" s="189"/>
      <c r="P38" s="189"/>
      <c r="Q38" s="189"/>
      <c r="R38" s="190"/>
      <c r="S38" s="190"/>
      <c r="T38" s="190"/>
      <c r="U38" s="190"/>
    </row>
    <row r="39" spans="8:21" s="191" customFormat="1">
      <c r="H39" s="332"/>
      <c r="J39" s="332"/>
      <c r="O39" s="189"/>
      <c r="P39" s="189"/>
      <c r="Q39" s="189"/>
      <c r="R39" s="190"/>
      <c r="S39" s="190"/>
      <c r="T39" s="190"/>
      <c r="U39" s="190"/>
    </row>
    <row r="40" spans="8:21" s="191" customFormat="1">
      <c r="H40" s="332"/>
      <c r="J40" s="332"/>
      <c r="O40" s="189"/>
      <c r="P40" s="189"/>
      <c r="Q40" s="189"/>
      <c r="R40" s="190"/>
      <c r="S40" s="190"/>
      <c r="T40" s="190"/>
      <c r="U40" s="190"/>
    </row>
    <row r="41" spans="8:21" s="191" customFormat="1">
      <c r="H41" s="332"/>
      <c r="J41" s="332"/>
      <c r="O41" s="189"/>
      <c r="P41" s="189"/>
      <c r="Q41" s="189"/>
      <c r="R41" s="190"/>
      <c r="S41" s="190"/>
      <c r="T41" s="190"/>
      <c r="U41" s="190"/>
    </row>
    <row r="42" spans="8:21" s="191" customFormat="1">
      <c r="H42" s="332"/>
      <c r="J42" s="332"/>
      <c r="O42" s="189"/>
      <c r="P42" s="189"/>
      <c r="Q42" s="189"/>
      <c r="R42" s="190"/>
      <c r="S42" s="190"/>
      <c r="T42" s="190"/>
      <c r="U42" s="190"/>
    </row>
    <row r="43" spans="8:21" s="191" customFormat="1">
      <c r="H43" s="332"/>
      <c r="J43" s="332"/>
      <c r="O43" s="189"/>
      <c r="P43" s="189"/>
      <c r="Q43" s="189"/>
      <c r="R43" s="190"/>
      <c r="S43" s="190"/>
      <c r="T43" s="190"/>
      <c r="U43" s="190"/>
    </row>
    <row r="44" spans="8:21" s="191" customFormat="1">
      <c r="H44" s="332"/>
      <c r="J44" s="332"/>
      <c r="O44" s="189"/>
      <c r="P44" s="189"/>
      <c r="Q44" s="189"/>
      <c r="R44" s="190"/>
      <c r="S44" s="190"/>
      <c r="T44" s="190"/>
      <c r="U44" s="190"/>
    </row>
    <row r="45" spans="8:21" s="191" customFormat="1">
      <c r="H45" s="332"/>
      <c r="J45" s="332"/>
      <c r="O45" s="189"/>
      <c r="P45" s="189"/>
      <c r="Q45" s="189"/>
      <c r="R45" s="190"/>
      <c r="S45" s="190"/>
      <c r="T45" s="190"/>
      <c r="U45" s="190"/>
    </row>
    <row r="46" spans="8:21" s="191" customFormat="1">
      <c r="H46" s="332"/>
      <c r="J46" s="332"/>
      <c r="O46" s="189"/>
      <c r="P46" s="189"/>
      <c r="Q46" s="189"/>
      <c r="R46" s="190"/>
      <c r="S46" s="190"/>
      <c r="T46" s="190"/>
      <c r="U46" s="190"/>
    </row>
    <row r="47" spans="8:21" s="191" customFormat="1">
      <c r="H47" s="332"/>
      <c r="J47" s="332"/>
      <c r="O47" s="189"/>
      <c r="P47" s="189"/>
      <c r="Q47" s="189"/>
      <c r="R47" s="190"/>
      <c r="S47" s="190"/>
      <c r="T47" s="190"/>
      <c r="U47" s="190"/>
    </row>
    <row r="48" spans="8:21" s="191" customFormat="1">
      <c r="H48" s="332"/>
      <c r="J48" s="332"/>
      <c r="O48" s="189"/>
      <c r="P48" s="189"/>
      <c r="Q48" s="189"/>
      <c r="R48" s="190"/>
      <c r="S48" s="190"/>
      <c r="T48" s="190"/>
      <c r="U48" s="190"/>
    </row>
    <row r="49" spans="8:21" s="191" customFormat="1">
      <c r="H49" s="332"/>
      <c r="J49" s="332"/>
      <c r="O49" s="189"/>
      <c r="P49" s="189"/>
      <c r="Q49" s="189"/>
      <c r="R49" s="190"/>
      <c r="S49" s="190"/>
      <c r="T49" s="190"/>
      <c r="U49" s="190"/>
    </row>
    <row r="50" spans="8:21" s="191" customFormat="1">
      <c r="H50" s="332"/>
      <c r="J50" s="332"/>
      <c r="O50" s="189"/>
      <c r="P50" s="189"/>
      <c r="Q50" s="189"/>
      <c r="R50" s="190"/>
      <c r="S50" s="190"/>
      <c r="T50" s="190"/>
      <c r="U50" s="190"/>
    </row>
    <row r="51" spans="8:21" s="191" customFormat="1">
      <c r="H51" s="332"/>
      <c r="J51" s="332"/>
      <c r="O51" s="189"/>
      <c r="P51" s="189"/>
      <c r="Q51" s="189"/>
      <c r="R51" s="190"/>
      <c r="S51" s="190"/>
      <c r="T51" s="190"/>
      <c r="U51" s="190"/>
    </row>
    <row r="52" spans="8:21" s="191" customFormat="1">
      <c r="H52" s="332"/>
      <c r="J52" s="332"/>
      <c r="O52" s="189"/>
      <c r="P52" s="189"/>
      <c r="Q52" s="189"/>
      <c r="R52" s="190"/>
      <c r="S52" s="190"/>
      <c r="T52" s="190"/>
      <c r="U52" s="190"/>
    </row>
  </sheetData>
  <mergeCells count="7">
    <mergeCell ref="C9:C11"/>
    <mergeCell ref="E9:F10"/>
    <mergeCell ref="L9:L11"/>
    <mergeCell ref="Q9:Q10"/>
    <mergeCell ref="H9:K9"/>
    <mergeCell ref="H10:I10"/>
    <mergeCell ref="J10:K10"/>
  </mergeCells>
  <printOptions horizontalCentered="1"/>
  <pageMargins left="0.70866141732283472" right="0.70866141732283472" top="0.74803149606299213" bottom="0.74803149606299213" header="0.74803149606299213" footer="0.35433070866141736"/>
  <pageSetup paperSize="9" scale="93" orientation="portrait" r:id="rId1"/>
  <headerFooter differentOddEven="1">
    <oddFooter>&amp;R&amp;G</oddFooter>
    <evenFooter>&amp;L&amp;G</evenFooter>
  </headerFooter>
  <ignoredErrors>
    <ignoredError sqref="F9:G9 G11 E10:G10 L10 L11 E11:F11" numberStoredAsText="1"/>
  </ignoredErrors>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2:S158"/>
  <sheetViews>
    <sheetView showGridLines="0" zoomScaleNormal="100" workbookViewId="0">
      <selection activeCell="B2" sqref="B2"/>
    </sheetView>
  </sheetViews>
  <sheetFormatPr defaultColWidth="9.42578125" defaultRowHeight="15"/>
  <cols>
    <col min="1" max="1" width="2.5703125" style="614" customWidth="1"/>
    <col min="2" max="2" width="4.42578125" style="425" customWidth="1"/>
    <col min="3" max="3" width="62.140625" style="425" customWidth="1"/>
    <col min="4" max="4" width="10.7109375" style="425" customWidth="1"/>
    <col min="5" max="5" width="12.5703125" style="426" customWidth="1"/>
    <col min="6" max="6" width="17.42578125" customWidth="1"/>
    <col min="11" max="11" width="10.5703125" bestFit="1" customWidth="1"/>
    <col min="12" max="12" width="15.42578125" bestFit="1" customWidth="1"/>
    <col min="13" max="13" width="19.42578125" style="425" bestFit="1" customWidth="1"/>
    <col min="14" max="14" width="9.5703125" style="425" bestFit="1" customWidth="1"/>
    <col min="15" max="15" width="9.42578125" style="425"/>
    <col min="16" max="16" width="10.5703125" style="425" bestFit="1" customWidth="1"/>
    <col min="17" max="16384" width="9.42578125" style="425"/>
  </cols>
  <sheetData>
    <row r="2" spans="1:18" s="613" customFormat="1" ht="37.5" customHeight="1">
      <c r="A2" s="612"/>
      <c r="B2" s="8"/>
      <c r="C2" s="1681" t="str">
        <f>IF(Indice_index!$Z$1=1,"3 - Impacto orçamental das medidas adotadas no âmbito da COVID-19 pelas Administrações Públicas","3 - Budgetary impact of COVID-19 policy measures by the General Government")</f>
        <v>3 - Impacto orçamental das medidas adotadas no âmbito da COVID-19 pelas Administrações Públicas</v>
      </c>
      <c r="D2" s="1681"/>
      <c r="E2" s="358"/>
      <c r="F2"/>
      <c r="G2"/>
      <c r="H2"/>
      <c r="I2"/>
      <c r="J2"/>
      <c r="K2"/>
      <c r="L2"/>
      <c r="M2" s="189"/>
    </row>
    <row r="3" spans="1:18" s="190" customFormat="1" ht="15" customHeight="1">
      <c r="D3" s="530"/>
      <c r="E3" s="358"/>
      <c r="F3" s="358"/>
      <c r="G3" s="358"/>
      <c r="H3" s="358"/>
      <c r="I3" s="358"/>
      <c r="J3" s="358"/>
      <c r="K3" s="358"/>
      <c r="L3" s="189"/>
      <c r="M3" s="456"/>
      <c r="N3" s="457"/>
      <c r="O3" s="191"/>
      <c r="P3" s="189"/>
      <c r="Q3" s="189"/>
      <c r="R3" s="189"/>
    </row>
    <row r="4" spans="1:18" s="190" customFormat="1" ht="15" customHeight="1">
      <c r="C4" s="1680" t="str">
        <f>IF(Indice_index!$Z$1=1,"Execução das medidas adotadas no âmbito da COVID-19 pelas Administrações Públicas","Budgetary implementation of COVID-19 policy measures by the General Government")</f>
        <v>Execução das medidas adotadas no âmbito da COVID-19 pelas Administrações Públicas</v>
      </c>
      <c r="D4" s="1680"/>
      <c r="E4" s="1680"/>
      <c r="F4" s="1680"/>
      <c r="G4" s="1680"/>
      <c r="H4" s="1680"/>
      <c r="I4" s="1680"/>
      <c r="J4" s="358"/>
      <c r="K4" s="358"/>
      <c r="L4" s="189"/>
      <c r="M4" s="456"/>
      <c r="N4" s="457"/>
      <c r="O4" s="191"/>
      <c r="P4" s="189"/>
      <c r="Q4" s="189"/>
      <c r="R4" s="189"/>
    </row>
    <row r="5" spans="1:18" ht="15" customHeight="1">
      <c r="A5" s="426"/>
      <c r="B5" s="426"/>
      <c r="C5" s="426"/>
      <c r="D5" s="426"/>
      <c r="E5" s="444"/>
      <c r="F5" s="444"/>
      <c r="G5" s="444"/>
      <c r="H5" s="444"/>
      <c r="I5" s="444"/>
      <c r="J5" s="426"/>
      <c r="K5" s="425"/>
      <c r="L5" s="425"/>
      <c r="M5" s="458"/>
      <c r="N5" s="458"/>
    </row>
    <row r="6" spans="1:18">
      <c r="C6" s="1230" t="str">
        <f>+'5 - Conta AC + SS'!C5</f>
        <v>Período: janeiro a julho</v>
      </c>
      <c r="D6" s="915" t="str">
        <f>IF(Indice_index!$Z$1=1,"€ Milhões","€ Millions")</f>
        <v>€ Milhões</v>
      </c>
      <c r="E6" s="634"/>
    </row>
    <row r="7" spans="1:18" ht="21" customHeight="1">
      <c r="A7" s="1679"/>
      <c r="C7" s="1231" t="str">
        <f>IF(Indice_index!$Z$1=1,"Medida Covid-19","COVID-19 Policy Measure")</f>
        <v>Medida Covid-19</v>
      </c>
      <c r="D7" s="1232" t="s">
        <v>66</v>
      </c>
      <c r="E7" s="634"/>
      <c r="F7" s="1680"/>
      <c r="G7" s="1680"/>
      <c r="H7" s="1680"/>
      <c r="I7" s="1680"/>
      <c r="J7" s="1680"/>
      <c r="K7" s="1680"/>
      <c r="L7" s="1680"/>
    </row>
    <row r="8" spans="1:18" ht="2.25" customHeight="1">
      <c r="A8" s="1679"/>
      <c r="C8" s="1233"/>
      <c r="D8" s="1234"/>
      <c r="E8" s="634"/>
    </row>
    <row r="9" spans="1:18" ht="12" customHeight="1">
      <c r="A9" s="626"/>
      <c r="C9" s="1136" t="str">
        <f>IF(Indice_index!$Z$1=1,"Prorrogação do pagamento do IVA","Extension of VAT payment")</f>
        <v>Prorrogação do pagamento do IVA</v>
      </c>
      <c r="D9" s="1141">
        <v>264.08491099999998</v>
      </c>
      <c r="E9" s="634"/>
    </row>
    <row r="10" spans="1:18" ht="12" customHeight="1">
      <c r="A10" s="615"/>
      <c r="C10" s="1136" t="str">
        <f>IF(Indice_index!$Z$1=1,"Limitação extraordinária de pagamentos por conta em sede de IRS ou IRC","Extraordinary limitation of prepayments related with IRS or IRC")</f>
        <v>Limitação extraordinária de pagamentos por conta em sede de IRS ou IRC</v>
      </c>
      <c r="D10" s="1141">
        <v>33.715119219999998</v>
      </c>
      <c r="E10" s="634"/>
    </row>
    <row r="11" spans="1:18" ht="12" customHeight="1">
      <c r="A11" s="616"/>
      <c r="C11" s="1136" t="str">
        <f>IF(Indice_index!$Z$1=1,"Isenção de pagamento da Taxa Social Única (estimativa)","Exemption from payment of the social security contributions (estimate)")</f>
        <v>Isenção de pagamento da Taxa Social Única (estimativa)</v>
      </c>
      <c r="D11" s="1141">
        <v>6.6599775803950001</v>
      </c>
      <c r="E11" s="634"/>
    </row>
    <row r="12" spans="1:18" ht="12" hidden="1" customHeight="1">
      <c r="A12" s="616"/>
      <c r="C12" s="1136" t="str">
        <f>IF(Indice_index!$Z$1=1,"Adiamento, redução ou isenção de rendas de imóveis","Postponement, reduction or exemption of property rents payment")</f>
        <v>Adiamento, redução ou isenção de rendas de imóveis</v>
      </c>
      <c r="D12" s="1141">
        <v>1.6386539999999998E-2</v>
      </c>
      <c r="E12" s="634"/>
    </row>
    <row r="13" spans="1:18" ht="12" customHeight="1">
      <c r="A13" s="616"/>
      <c r="C13" s="1136" t="str">
        <f>IF(Indice_index!$Z$1=1,"Revenda de vacinas contra a COVID-19 a países terceiros","Resale of vaccines against COVID-19 to third countries")</f>
        <v>Revenda de vacinas contra a COVID-19 a países terceiros</v>
      </c>
      <c r="D13" s="1137">
        <v>-39.724086960000001</v>
      </c>
      <c r="E13" s="634"/>
    </row>
    <row r="14" spans="1:18" ht="2.25" customHeight="1">
      <c r="C14" s="1235"/>
      <c r="D14" s="1236"/>
      <c r="E14" s="634"/>
    </row>
    <row r="15" spans="1:18" ht="12" customHeight="1">
      <c r="C15" s="1237" t="str">
        <f>IF(Indice_index!$Z$1=1,"Receita","Revenue")</f>
        <v>Receita</v>
      </c>
      <c r="D15" s="1145">
        <f>SUM(D9:D14)</f>
        <v>264.75230738039494</v>
      </c>
      <c r="E15" s="663"/>
      <c r="F15" s="640"/>
    </row>
    <row r="16" spans="1:18" ht="5.0999999999999996" customHeight="1">
      <c r="C16" s="1148"/>
      <c r="D16" s="637"/>
      <c r="E16" s="634"/>
    </row>
    <row r="17" spans="1:5" ht="12" customHeight="1">
      <c r="C17" s="1133" t="str">
        <f>IF(Indice_index!$Z$1=1,"Apoio às empresas","Enterpises support")</f>
        <v>Apoio às empresas</v>
      </c>
      <c r="D17" s="1134">
        <f>D18+D25+D22+D24</f>
        <v>549.92674155000009</v>
      </c>
      <c r="E17" s="662"/>
    </row>
    <row r="18" spans="1:5" ht="12" customHeight="1">
      <c r="C18" s="1135" t="str">
        <f>IF(Indice_index!$Z$1=1,"Apoios aos custos com trabalhadores","Support for workers' costs")</f>
        <v>Apoios aos custos com trabalhadores</v>
      </c>
      <c r="D18" s="1134">
        <f>D19+D21+D20</f>
        <v>167.1762171</v>
      </c>
      <c r="E18" s="662"/>
    </row>
    <row r="19" spans="1:5" ht="12" customHeight="1">
      <c r="A19" s="617"/>
      <c r="C19" s="1136" t="str">
        <f>IF(Indice_index!$Z$1=1,"Incentivo à normalização","Incentive to normalization")</f>
        <v>Incentivo à normalização</v>
      </c>
      <c r="D19" s="1137">
        <v>117.97278759000001</v>
      </c>
      <c r="E19" s="662"/>
    </row>
    <row r="20" spans="1:5" ht="12" customHeight="1">
      <c r="A20" s="617"/>
      <c r="C20" s="1136" t="str">
        <f>IF(Indice_index!$Z$1=1,"Apoio extraordinário à retoma progressiva de atividade","Extraordinary support for the progressive resumption of activity")</f>
        <v>Apoio extraordinário à retoma progressiva de atividade</v>
      </c>
      <c r="D20" s="1137">
        <v>39.934095059999997</v>
      </c>
      <c r="E20" s="662"/>
    </row>
    <row r="21" spans="1:5" ht="12" customHeight="1">
      <c r="A21" s="617"/>
      <c r="C21" s="1136" t="str">
        <f>IF(Indice_index!$Z$1=1,"Layoff Simplificado","Simplified layoff")</f>
        <v>Layoff Simplificado</v>
      </c>
      <c r="D21" s="1137">
        <v>9.269334449999997</v>
      </c>
      <c r="E21" s="662"/>
    </row>
    <row r="22" spans="1:5" ht="12" customHeight="1">
      <c r="A22" s="617"/>
      <c r="C22" s="1135" t="str">
        <f>IF(Indice_index!$Z$1=1,"Apoios a outros custos fixos das empresas","Support for other fixed costs of companies")</f>
        <v>Apoios a outros custos fixos das empresas</v>
      </c>
      <c r="D22" s="1134">
        <f>D23</f>
        <v>43.795815390000001</v>
      </c>
      <c r="E22" s="662"/>
    </row>
    <row r="23" spans="1:5" ht="12" customHeight="1">
      <c r="A23" s="617"/>
      <c r="C23" s="1136" t="str">
        <f>IF(Indice_index!$Z$1=1,"Programa Apoiar (APOIAR.PT, APOIAR Rendas e APOIAR + Simples)","Apoiar Program (APOIAR.PT, APOIAR rentals and APOIAR simple plus)")</f>
        <v>Programa Apoiar (APOIAR.PT, APOIAR Rendas e APOIAR + Simples)</v>
      </c>
      <c r="D23" s="1137">
        <v>43.795815390000001</v>
      </c>
      <c r="E23" s="662"/>
    </row>
    <row r="24" spans="1:5" ht="12" customHeight="1">
      <c r="A24" s="617"/>
      <c r="C24" s="1138" t="str">
        <f>IF(Indice_index!$Z$1=1,"Apoios ao setor dos transportes","Transport Subsidies")</f>
        <v>Apoios ao setor dos transportes</v>
      </c>
      <c r="D24" s="1139">
        <v>11.327756000000001</v>
      </c>
      <c r="E24" s="662"/>
    </row>
    <row r="25" spans="1:5" ht="12" customHeight="1">
      <c r="A25" s="617"/>
      <c r="C25" s="1135" t="str">
        <f>IF(Indice_index!$Z$1=1,"Outros","Other benefits")</f>
        <v>Outros</v>
      </c>
      <c r="D25" s="1139">
        <f>SUM(D26:D31)</f>
        <v>327.62695306000001</v>
      </c>
      <c r="E25" s="662"/>
    </row>
    <row r="26" spans="1:5" ht="12" customHeight="1">
      <c r="A26" s="617"/>
      <c r="C26" s="1136" t="str">
        <f>IF(Indice_index!$Z$1=1,"Programa Ativar (inclui bolsas de formação)","ATIVAR.PT Program (includes training grants)")</f>
        <v>Programa Ativar (inclui bolsas de formação)</v>
      </c>
      <c r="D26" s="1137">
        <v>226.63549381999999</v>
      </c>
      <c r="E26" s="662"/>
    </row>
    <row r="27" spans="1:5" ht="12" customHeight="1">
      <c r="A27" s="617"/>
      <c r="C27" s="1136" t="str">
        <f>IF(Indice_index!$Z$1=1,"Compensação ao aumento do valor da retribuição mínima mensal garantida","Compensation for the increase in the guaranteed minimum monthly salary")</f>
        <v>Compensação ao aumento do valor da retribuição mínima mensal garantida</v>
      </c>
      <c r="D27" s="1137">
        <v>71.734712000000002</v>
      </c>
      <c r="E27" s="662"/>
    </row>
    <row r="28" spans="1:5" ht="12" customHeight="1">
      <c r="A28" s="617"/>
      <c r="C28" s="1136" t="str">
        <f>IF(Indice_index!$Z$1=1,"Programa Garantir Cultura","Guarantee Culture Program")</f>
        <v>Programa Garantir Cultura</v>
      </c>
      <c r="D28" s="1137">
        <v>9.2896277999999981</v>
      </c>
      <c r="E28" s="662"/>
    </row>
    <row r="29" spans="1:5" ht="12" customHeight="1">
      <c r="A29" s="617"/>
      <c r="C29" s="1136" t="str">
        <f>IF(Indice_index!$Z$1=1,"Incentivos à inovação e à Investigação e Desenvolvimento","
Incentives for innovation and Research and Development")</f>
        <v>Incentivos à inovação e à Investigação e Desenvolvimento</v>
      </c>
      <c r="D29" s="1137">
        <v>8.27281479</v>
      </c>
      <c r="E29" s="662"/>
    </row>
    <row r="30" spans="1:5" ht="12" customHeight="1">
      <c r="A30" s="617"/>
      <c r="C30" s="1136" t="str">
        <f>IF(Indice_index!$Z$1=1,"Programa Adaptar (Adaptar, Adaptar Turismo)","Adaptar Program (Adpatar, Adaptar Tourism")</f>
        <v>Programa Adaptar (Adaptar, Adaptar Turismo)</v>
      </c>
      <c r="D30" s="1137">
        <v>4.3148757199999999</v>
      </c>
      <c r="E30" s="662"/>
    </row>
    <row r="31" spans="1:5" ht="12" customHeight="1">
      <c r="A31" s="617"/>
      <c r="C31" s="1136" t="str">
        <f>IF(Indice_index!$Z$1=1,"Outros apoios a empresas","Other benefits to companies")</f>
        <v>Outros apoios a empresas</v>
      </c>
      <c r="D31" s="1137">
        <v>7.3794289300000004</v>
      </c>
      <c r="E31" s="662"/>
    </row>
    <row r="32" spans="1:5" ht="12" customHeight="1">
      <c r="A32" s="617"/>
      <c r="C32" s="1133" t="str">
        <f>IF(Indice_index!$Z$1=1,"Apoio ao rendimento das famílias","Support of families income")</f>
        <v>Apoio ao rendimento das famílias</v>
      </c>
      <c r="D32" s="1134">
        <f>SUM(D33:D40)</f>
        <v>446.17958653000011</v>
      </c>
      <c r="E32" s="662"/>
    </row>
    <row r="33" spans="1:5" ht="12" customHeight="1">
      <c r="A33" s="617"/>
      <c r="C33" s="1140" t="str">
        <f>IF(Indice_index!$Z$1=1,"Isolamento profilático","Prophylactic isolation benefit")</f>
        <v>Isolamento profilático</v>
      </c>
      <c r="D33" s="1137">
        <v>234.09417428000003</v>
      </c>
      <c r="E33" s="662"/>
    </row>
    <row r="34" spans="1:5" ht="12" customHeight="1">
      <c r="A34" s="617"/>
      <c r="B34" s="617"/>
      <c r="C34" s="1136" t="str">
        <f>IF(Indice_index!$Z$1=1,"Apoios extraordinários ao rendimento dos trabalhadores","Extraordinary support of workers income")</f>
        <v>Apoios extraordinários ao rendimento dos trabalhadores</v>
      </c>
      <c r="D34" s="1137">
        <v>75.875691200000006</v>
      </c>
      <c r="E34" s="662"/>
    </row>
    <row r="35" spans="1:5" ht="12" customHeight="1">
      <c r="A35" s="617"/>
      <c r="C35" s="1136" t="str">
        <f>IF(Indice_index!$Z$1=1,"Subsídio de doença","Sick benefit")</f>
        <v>Subsídio de doença</v>
      </c>
      <c r="D35" s="1137">
        <v>64.325917660000002</v>
      </c>
      <c r="E35" s="662"/>
    </row>
    <row r="36" spans="1:5" ht="12" customHeight="1">
      <c r="A36" s="618"/>
      <c r="B36" s="426"/>
      <c r="C36" s="1136" t="str">
        <f>+IF(Indice_index!$Z$1=1,"Programa AUTOvoucher","AUTOvoucher Program")</f>
        <v>Programa AUTOvoucher</v>
      </c>
      <c r="D36" s="1137">
        <v>30</v>
      </c>
      <c r="E36" s="662"/>
    </row>
    <row r="37" spans="1:5" ht="12" customHeight="1">
      <c r="A37" s="617"/>
      <c r="C37" s="1136" t="str">
        <f>IF(Indice_index!$Z$1=1,"Subsídios de assistência a filho e a neto","Allowances for child and grandchild's care")</f>
        <v>Subsídios de assistência a filho e a neto</v>
      </c>
      <c r="D37" s="1137">
        <v>15.02673673</v>
      </c>
      <c r="E37" s="662"/>
    </row>
    <row r="38" spans="1:5" ht="12" customHeight="1">
      <c r="A38" s="617"/>
      <c r="C38" s="1136" t="str">
        <f>IF(Indice_index!$Z$1=1,"Apoios excecional à família","Extraordinary benefits to families")</f>
        <v>Apoios excecional à família</v>
      </c>
      <c r="D38" s="1137">
        <v>8.1451427099999982</v>
      </c>
      <c r="E38" s="662"/>
    </row>
    <row r="39" spans="1:5" ht="12" customHeight="1">
      <c r="A39" s="617"/>
      <c r="C39" s="1136" t="str">
        <f>IF(Indice_index!$Z$1=1,"Prestações por doenças profissionais","Benefits for professional illnesses")</f>
        <v>Prestações por doenças profissionais</v>
      </c>
      <c r="D39" s="1137">
        <v>1.1776210499999997</v>
      </c>
      <c r="E39" s="662"/>
    </row>
    <row r="40" spans="1:5" ht="12" customHeight="1">
      <c r="A40" s="617"/>
      <c r="C40" s="1136" t="str">
        <f>IF(Indice_index!$Z$1=1,"Outros apoios de proteção social","Other social protection benefits")</f>
        <v>Outros apoios de proteção social</v>
      </c>
      <c r="D40" s="1137">
        <v>17.534302900000011</v>
      </c>
      <c r="E40" s="662"/>
    </row>
    <row r="41" spans="1:5" ht="12" customHeight="1">
      <c r="A41" s="617"/>
      <c r="C41" s="1133" t="str">
        <f>IF(Indice_index!$Z$1=1,"Saúde","Health sector")</f>
        <v>Saúde</v>
      </c>
      <c r="D41" s="1134">
        <f>SUM(D42:D46)</f>
        <v>794.04512945800013</v>
      </c>
      <c r="E41" s="662"/>
    </row>
    <row r="42" spans="1:5" ht="12" customHeight="1">
      <c r="A42" s="617"/>
      <c r="C42" s="1136" t="str">
        <f>IF(Indice_index!$Z$1=1,"Aquisição de vacinas","Purchasing of vaccines")</f>
        <v>Aquisição de vacinas</v>
      </c>
      <c r="D42" s="1137">
        <v>302.04774749000001</v>
      </c>
      <c r="E42" s="662"/>
    </row>
    <row r="43" spans="1:5" ht="12" customHeight="1">
      <c r="A43" s="617"/>
      <c r="C43" s="1136" t="str">
        <f>IF(Indice_index!$Z$1=1,"Testes COVID-19","COVID-19 tests ")</f>
        <v>Testes COVID-19</v>
      </c>
      <c r="D43" s="1137">
        <v>254.13469516000006</v>
      </c>
      <c r="E43" s="662"/>
    </row>
    <row r="44" spans="1:5" ht="12" customHeight="1">
      <c r="A44" s="617"/>
      <c r="C44" s="1136" t="str">
        <f>IF(Indice_index!$Z$1=1,"Recursos humanos (contratações, horas extra e outros abonos)","Human resources (hiring, overtime and other allowances)")</f>
        <v>Recursos humanos (contratações, horas extra e outros abonos)</v>
      </c>
      <c r="D44" s="1137">
        <v>171.30000437000004</v>
      </c>
      <c r="E44" s="662"/>
    </row>
    <row r="45" spans="1:5" ht="12" customHeight="1">
      <c r="A45" s="617"/>
      <c r="C45" s="1136" t="str">
        <f>IF(Indice_index!$Z$1=1,"EPI, medicamentos e outros","Personal protective equipment, medicines and others")</f>
        <v>EPI, medicamentos e outros</v>
      </c>
      <c r="D45" s="1137">
        <v>60.08590354799999</v>
      </c>
      <c r="E45" s="662"/>
    </row>
    <row r="46" spans="1:5" ht="12" customHeight="1">
      <c r="A46" s="617"/>
      <c r="C46" s="1136" t="str">
        <f>IF(Indice_index!$Z$1=1,"Equipamentos e outros","Equipment and others")</f>
        <v>Equipamentos e outros</v>
      </c>
      <c r="D46" s="1141">
        <v>6.4767788899999994</v>
      </c>
      <c r="E46" s="662"/>
    </row>
    <row r="47" spans="1:5" ht="12" customHeight="1">
      <c r="A47" s="617"/>
      <c r="C47" s="1133" t="str">
        <f>IF(Indice_index!$Z$1=1,"Outros","Other benefits")</f>
        <v>Outros</v>
      </c>
      <c r="D47" s="1134">
        <f>SUM(D48:D54)</f>
        <v>386.55876545000001</v>
      </c>
      <c r="E47" s="662"/>
    </row>
    <row r="48" spans="1:5" ht="12" customHeight="1">
      <c r="A48" s="617"/>
      <c r="C48" s="1136" t="str">
        <f>IF(Indice_index!$Z$1=1,"Universalização da escola digital","Universalization of the digital school")</f>
        <v>Universalização da escola digital</v>
      </c>
      <c r="D48" s="1137">
        <v>202.71416651999999</v>
      </c>
      <c r="E48" s="662"/>
    </row>
    <row r="49" spans="1:12" ht="12" customHeight="1">
      <c r="A49" s="617"/>
      <c r="C49" s="1136" t="str">
        <f>IF(Indice_index!$Z$1=1,"Programa de Apoio a Edifícios Mais Sustentáveis","More Sustainable Building Support Program")</f>
        <v>Programa de Apoio a Edifícios Mais Sustentáveis</v>
      </c>
      <c r="D49" s="1141">
        <v>44.337212139999998</v>
      </c>
      <c r="E49" s="662"/>
    </row>
    <row r="50" spans="1:12" ht="12" customHeight="1">
      <c r="A50" s="617"/>
      <c r="C50" s="1136" t="str">
        <f>IF(Indice_index!$Z$1=1,"Recursos humanos (contratações, horas extra e outros abonos)","Human resources (hiring, overtime and other allowances)")</f>
        <v>Recursos humanos (contratações, horas extra e outros abonos)</v>
      </c>
      <c r="D50" s="1137">
        <v>17.552192129999995</v>
      </c>
      <c r="E50" s="662"/>
    </row>
    <row r="51" spans="1:12" ht="12" customHeight="1">
      <c r="A51" s="617"/>
      <c r="C51" s="1142" t="str">
        <f>IF(Indice_index!$Z$1=1,"EPI, adaptação dos locais de trabalho, produtos e serviços de limpeza","Other sectors: personal protective equipment, workplaces adaptation, cleaning products and services")</f>
        <v>EPI, adaptação dos locais de trabalho, produtos e serviços de limpeza</v>
      </c>
      <c r="D51" s="1137">
        <v>12.798907149999993</v>
      </c>
      <c r="E51" s="662"/>
    </row>
    <row r="52" spans="1:12" ht="12" customHeight="1">
      <c r="A52" s="617"/>
      <c r="C52" s="1136" t="str">
        <f>IF(Indice_index!$Z$1=1,"Reforço de emergência de equipamentos sociais e de saúde","Emergency reinforcement of social and health facilities")</f>
        <v>Reforço de emergência de equipamentos sociais e de saúde</v>
      </c>
      <c r="D52" s="1137">
        <v>10.44151499</v>
      </c>
      <c r="E52" s="662"/>
    </row>
    <row r="53" spans="1:12" ht="12" customHeight="1">
      <c r="A53" s="617"/>
      <c r="C53" s="1136" t="str">
        <f>IF(Indice_index!$Z$1=1,"Programa Vale Eficiência ","Financial support program for energy efficiency")</f>
        <v xml:space="preserve">Programa Vale Eficiência </v>
      </c>
      <c r="D53" s="1137">
        <v>2.5390150199999999</v>
      </c>
      <c r="E53" s="662"/>
    </row>
    <row r="54" spans="1:12" ht="12" customHeight="1">
      <c r="A54" s="617"/>
      <c r="C54" s="1136" t="str">
        <f>IF(Indice_index!$Z$1=1,"Outras despesas","Other expenditures")</f>
        <v>Outras despesas</v>
      </c>
      <c r="D54" s="1137">
        <v>96.175757500000032</v>
      </c>
      <c r="E54" s="662"/>
    </row>
    <row r="55" spans="1:12" ht="3" customHeight="1">
      <c r="A55" s="617"/>
      <c r="C55" s="1143"/>
      <c r="D55" s="1137"/>
      <c r="E55" s="637"/>
    </row>
    <row r="56" spans="1:12" ht="12" customHeight="1">
      <c r="C56" s="1144" t="str">
        <f>IF(Indice_index!$Z$1=1,"Despesa ","Expenditure")</f>
        <v xml:space="preserve">Despesa </v>
      </c>
      <c r="D56" s="1145">
        <f>+D47+D41+D32+D17</f>
        <v>2176.7102229880002</v>
      </c>
      <c r="E56" s="654"/>
      <c r="F56" s="653"/>
      <c r="G56" s="628"/>
      <c r="H56" s="628"/>
      <c r="I56" s="628"/>
    </row>
    <row r="57" spans="1:12" ht="6.6" customHeight="1">
      <c r="C57" s="1144"/>
      <c r="D57" s="1145"/>
      <c r="E57" s="638"/>
      <c r="F57" s="628"/>
      <c r="G57" s="628"/>
      <c r="H57" s="628"/>
      <c r="I57" s="628"/>
    </row>
    <row r="58" spans="1:12" ht="12" customHeight="1">
      <c r="A58" s="617"/>
      <c r="C58" s="1144" t="str">
        <f>IF(Indice_index!$Z$1=1,"Linhas de apoio","Benefits line")</f>
        <v>Linhas de apoio</v>
      </c>
      <c r="D58" s="1145">
        <f>SUM(D59:D60)</f>
        <v>34.731450639999998</v>
      </c>
      <c r="E58" s="636"/>
      <c r="F58" s="627"/>
      <c r="G58" s="627"/>
      <c r="H58" s="627"/>
      <c r="I58" s="627"/>
      <c r="J58" s="425"/>
      <c r="K58" s="425"/>
      <c r="L58" s="425"/>
    </row>
    <row r="59" spans="1:12" ht="12" customHeight="1">
      <c r="A59" s="617"/>
      <c r="C59" s="1146" t="str">
        <f>IF(Indice_index!$Z$1=1,"Linha de apoio tesouraria MPE","Treasury support line for SME")</f>
        <v>Linha de apoio tesouraria MPE</v>
      </c>
      <c r="D59" s="1141">
        <v>21.73320064</v>
      </c>
      <c r="E59" s="639"/>
      <c r="F59" s="629"/>
      <c r="G59" s="629"/>
      <c r="H59" s="629"/>
      <c r="I59" s="627"/>
      <c r="J59" s="425"/>
      <c r="K59" s="425"/>
      <c r="L59" s="425"/>
    </row>
    <row r="60" spans="1:12" ht="12" customHeight="1">
      <c r="A60" s="617"/>
      <c r="C60" s="1146" t="str">
        <f>IF(Indice_index!$Z$1=1,"Outros apoios","Other benefits")</f>
        <v>Outros apoios</v>
      </c>
      <c r="D60" s="1137">
        <v>12.998250000000001</v>
      </c>
      <c r="E60" s="639"/>
      <c r="F60" s="629"/>
      <c r="G60" s="629"/>
      <c r="H60" s="629"/>
      <c r="I60" s="627"/>
      <c r="J60" s="425"/>
      <c r="K60" s="425"/>
      <c r="L60" s="425"/>
    </row>
    <row r="61" spans="1:12" ht="12" customHeight="1">
      <c r="C61" s="1144" t="str">
        <f>IF(Indice_index!$Z$1=1,"Total das linhas","Total Benefits line")</f>
        <v>Total das linhas</v>
      </c>
      <c r="D61" s="1145">
        <f>SUM(D59:D60)</f>
        <v>34.731450639999998</v>
      </c>
      <c r="E61" s="636"/>
      <c r="F61" s="627"/>
      <c r="G61" s="627"/>
      <c r="H61" s="627"/>
      <c r="I61" s="627"/>
      <c r="J61" s="425"/>
      <c r="K61" s="425"/>
      <c r="L61" s="425"/>
    </row>
    <row r="62" spans="1:12" ht="3" customHeight="1">
      <c r="C62" s="1147"/>
      <c r="D62" s="637"/>
      <c r="E62" s="636"/>
      <c r="F62" s="627"/>
      <c r="G62" s="627"/>
      <c r="H62" s="627"/>
      <c r="I62" s="627"/>
      <c r="J62" s="425"/>
      <c r="K62" s="425"/>
      <c r="L62" s="425"/>
    </row>
    <row r="63" spans="1:12" ht="12" customHeight="1">
      <c r="C63" s="1144" t="str">
        <f>IF(Indice_index!$Z$1=1,"Montante Global de despesa ","Global expenditure amount")</f>
        <v xml:space="preserve">Montante Global de despesa </v>
      </c>
      <c r="D63" s="1145">
        <f>+D61+D56</f>
        <v>2211.441673628</v>
      </c>
      <c r="E63" s="664"/>
      <c r="F63" s="641"/>
      <c r="G63" s="627"/>
      <c r="H63" s="627"/>
      <c r="I63" s="627"/>
      <c r="J63" s="425"/>
      <c r="K63" s="425"/>
      <c r="L63" s="425"/>
    </row>
    <row r="64" spans="1:12" ht="3.75" customHeight="1">
      <c r="C64" s="1148"/>
      <c r="D64" s="1148"/>
      <c r="E64" s="637"/>
      <c r="F64" s="628"/>
      <c r="G64" s="628"/>
      <c r="H64" s="628"/>
      <c r="I64" s="628"/>
    </row>
    <row r="65" spans="3:19">
      <c r="C65" s="1149" t="str">
        <f>IF(Indice_index!$Z$1=1,"Notas:","Notes:")</f>
        <v>Notas:</v>
      </c>
      <c r="D65" s="1150"/>
      <c r="E65" s="633"/>
    </row>
    <row r="66" spans="3:19" ht="86.25" customHeight="1">
      <c r="C66" s="1682" t="str">
        <f>IF(Indice_index!$Z$1=1,"A execução da despesa decorre dos sistemas de execução e de reporte da execução das entidades (registado nas Medidas 095 - 'Contingência COVID-2019 - prevenção, contenção, mitigação e tratamento' e 096 - 'Contingência COVID 2019 – garantir normalidade'"&amp;C157,C158)</f>
        <v>A execução da despesa decorre dos sistemas de execução e de reporte da execução das entidades (registado nas Medidas 095 - 'Contingência COVID-2019 - prevenção, contenção, mitigação e tratamento' e 096 - 'Contingência COVID 2019 – garantir normalidade', criadas pela Circular Série A n.º 1398 da DGO, as Medidas 097 - 'Programa Ativar' e 098 - 'Incentivo Extraordinário à Normalização', criadas com a Lei n.º 27-A/2020, de 24 de julho, a Medida 099 - 'Universalização da Escola Digital', criada com a Lei nº75-B/2020, de 31 de dezembro) e Medida 102 - "Plano de Recuperação e Resiliência" prevista na Portaria n.º 48/2021, de 4 de março).</v>
      </c>
      <c r="D66" s="1682"/>
      <c r="E66" s="643"/>
    </row>
    <row r="67" spans="3:19" ht="28.5" customHeight="1">
      <c r="C67" s="1683" t="str">
        <f>IF(Indice_index!$Z$1=1,"Os valores apresentados nas colunas dos diversos subsetores encontram-se expurgados dos montantes consolidados no âmbito das Administrações Públicas.","The amounts presented in column (for each of the General Government' sub-sectors exclude the consolidation amounts within the scope of General Government.")</f>
        <v>Os valores apresentados nas colunas dos diversos subsetores encontram-se expurgados dos montantes consolidados no âmbito das Administrações Públicas.</v>
      </c>
      <c r="D67" s="1683"/>
      <c r="E67" s="642"/>
    </row>
    <row r="68" spans="3:19" ht="33" customHeight="1">
      <c r="C68" s="1682" t="str">
        <f>IF(Indice_index!$Z$1=1,"A informação da Segurança Social compreende a execução associada aos subsistemas de Solidariedade, Proteção Familiar, Previdencial e Ação Social, bem como outras despesas realizadas pelas instituições integradas neste setor.","The Social Security information comprises the execution associated with the Solidarity, Family Protection, Social Security and Social Action subsystems, as well as other expenditure incurred by the institutions belonging to this sector.")</f>
        <v>A informação da Segurança Social compreende a execução associada aos subsistemas de Solidariedade, Proteção Familiar, Previdencial e Ação Social, bem como outras despesas realizadas pelas instituições integradas neste setor.</v>
      </c>
      <c r="D68" s="1682"/>
      <c r="E68" s="643"/>
    </row>
    <row r="69" spans="3:19" ht="41.25" customHeight="1">
      <c r="C69" s="1685" t="str">
        <f>IF(Indice_index!$Z$1=1,"O subsector da Administração Local inclui municípios e freguesias (no caso das freguesias o reporte encontra-se suspenso desde junho de 2022).","The Local Administration subsector includes municipalities and parishes (in the case of parishes, reporting has been suspended since June 2022).")</f>
        <v>O subsector da Administração Local inclui municípios e freguesias (no caso das freguesias o reporte encontra-se suspenso desde junho de 2022).</v>
      </c>
      <c r="D69" s="1685"/>
      <c r="E69" s="1486"/>
      <c r="F69" s="1486"/>
      <c r="G69" s="1486"/>
      <c r="H69" s="1486"/>
    </row>
    <row r="70" spans="3:19" s="22" customFormat="1" ht="22.5" hidden="1" customHeight="1">
      <c r="C70" s="1684"/>
      <c r="D70" s="1684"/>
      <c r="E70" s="63"/>
      <c r="F70" s="63"/>
      <c r="G70" s="63"/>
      <c r="H70" s="63"/>
      <c r="I70" s="63"/>
      <c r="J70" s="63"/>
      <c r="K70" s="63"/>
      <c r="R70" s="24"/>
      <c r="S70" s="24"/>
    </row>
    <row r="71" spans="3:19" ht="6.75" customHeight="1">
      <c r="C71" s="1151"/>
      <c r="D71" s="1151"/>
      <c r="E71" s="636"/>
    </row>
    <row r="72" spans="3:19">
      <c r="C72" s="1152" t="str">
        <f>IF(Indice_index!$Z$1=1,"Fonte:","Source:")</f>
        <v>Fonte:</v>
      </c>
      <c r="D72" s="1151"/>
      <c r="E72" s="636"/>
    </row>
    <row r="73" spans="3:19" ht="50.25" customHeight="1">
      <c r="C73" s="1682" t="s">
        <v>68</v>
      </c>
      <c r="D73" s="1682"/>
      <c r="E73" s="643"/>
    </row>
    <row r="74" spans="3:19">
      <c r="C74" s="426"/>
      <c r="D74" s="426"/>
    </row>
    <row r="75" spans="3:19">
      <c r="C75" s="426"/>
      <c r="D75" s="426"/>
    </row>
    <row r="76" spans="3:19">
      <c r="C76" s="426"/>
      <c r="D76" s="426"/>
    </row>
    <row r="77" spans="3:19">
      <c r="C77" s="426"/>
      <c r="D77" s="426"/>
    </row>
    <row r="78" spans="3:19">
      <c r="C78" s="426"/>
      <c r="D78" s="426"/>
    </row>
    <row r="79" spans="3:19">
      <c r="C79" s="426"/>
      <c r="D79" s="426"/>
    </row>
    <row r="80" spans="3:19">
      <c r="C80" s="426"/>
      <c r="D80" s="426"/>
    </row>
    <row r="81" spans="3:9">
      <c r="C81" s="426"/>
      <c r="D81" s="426"/>
    </row>
    <row r="82" spans="3:9">
      <c r="C82" s="426"/>
      <c r="D82" s="426"/>
    </row>
    <row r="83" spans="3:9">
      <c r="C83" s="426"/>
      <c r="D83" s="426"/>
    </row>
    <row r="84" spans="3:9">
      <c r="C84" s="634"/>
      <c r="D84" s="634"/>
      <c r="E84" s="634"/>
      <c r="F84" s="1491"/>
      <c r="G84" s="1491"/>
      <c r="H84" s="1491"/>
      <c r="I84" s="1491"/>
    </row>
    <row r="85" spans="3:9">
      <c r="C85" s="634"/>
      <c r="D85" s="634"/>
      <c r="E85" s="634"/>
      <c r="F85" s="1491"/>
      <c r="G85" s="1491"/>
      <c r="H85" s="1491"/>
      <c r="I85" s="1491"/>
    </row>
    <row r="86" spans="3:9">
      <c r="C86" s="634"/>
      <c r="D86" s="634"/>
      <c r="E86" s="634"/>
      <c r="F86" s="1491"/>
      <c r="G86" s="1491"/>
      <c r="H86" s="1491"/>
      <c r="I86" s="1491"/>
    </row>
    <row r="87" spans="3:9">
      <c r="C87" s="634"/>
      <c r="D87" s="634"/>
      <c r="E87" s="634"/>
      <c r="F87" s="1491"/>
      <c r="G87" s="1491"/>
      <c r="H87" s="1491"/>
      <c r="I87" s="1491"/>
    </row>
    <row r="88" spans="3:9">
      <c r="C88" s="634"/>
      <c r="D88" s="634"/>
      <c r="E88" s="634"/>
      <c r="F88" s="1491"/>
      <c r="G88" s="1491"/>
      <c r="H88" s="1491"/>
      <c r="I88" s="1491"/>
    </row>
    <row r="89" spans="3:9">
      <c r="C89" s="634"/>
      <c r="D89" s="634"/>
      <c r="E89" s="634"/>
      <c r="F89" s="1491"/>
      <c r="G89" s="1491"/>
      <c r="H89" s="1491"/>
      <c r="I89" s="1491"/>
    </row>
    <row r="90" spans="3:9">
      <c r="C90" s="634"/>
      <c r="D90" s="634"/>
      <c r="E90" s="634"/>
      <c r="F90" s="1491"/>
      <c r="G90" s="1491"/>
      <c r="H90" s="1491"/>
      <c r="I90" s="1491"/>
    </row>
    <row r="91" spans="3:9">
      <c r="C91" s="634"/>
      <c r="D91" s="634"/>
      <c r="E91" s="634"/>
      <c r="F91" s="1491"/>
      <c r="G91" s="1491"/>
      <c r="H91" s="1491"/>
      <c r="I91" s="1491"/>
    </row>
    <row r="92" spans="3:9">
      <c r="C92" s="634"/>
      <c r="D92" s="634"/>
      <c r="E92" s="634"/>
      <c r="F92" s="1491"/>
      <c r="G92" s="1491"/>
      <c r="H92" s="1491"/>
      <c r="I92" s="1491"/>
    </row>
    <row r="93" spans="3:9">
      <c r="C93" s="634"/>
      <c r="D93" s="634"/>
      <c r="E93" s="634"/>
      <c r="F93" s="1491"/>
      <c r="G93" s="1491"/>
      <c r="H93" s="1491"/>
      <c r="I93" s="1491"/>
    </row>
    <row r="94" spans="3:9">
      <c r="C94" s="634"/>
      <c r="D94" s="634"/>
      <c r="E94" s="634"/>
      <c r="F94" s="1491"/>
      <c r="G94" s="1491"/>
      <c r="H94" s="1491"/>
      <c r="I94" s="1491"/>
    </row>
    <row r="95" spans="3:9">
      <c r="C95" s="426"/>
      <c r="D95" s="426"/>
    </row>
    <row r="96" spans="3:9">
      <c r="C96" s="426"/>
      <c r="D96" s="426"/>
    </row>
    <row r="97" spans="3:4">
      <c r="C97" s="426"/>
      <c r="D97" s="426"/>
    </row>
    <row r="98" spans="3:4">
      <c r="C98" s="426"/>
      <c r="D98" s="426"/>
    </row>
    <row r="99" spans="3:4">
      <c r="C99" s="426"/>
      <c r="D99" s="426"/>
    </row>
    <row r="100" spans="3:4">
      <c r="C100" s="426"/>
      <c r="D100" s="426"/>
    </row>
    <row r="101" spans="3:4">
      <c r="C101" s="426"/>
      <c r="D101" s="426"/>
    </row>
    <row r="102" spans="3:4">
      <c r="C102" s="426"/>
      <c r="D102" s="426"/>
    </row>
    <row r="103" spans="3:4">
      <c r="C103" s="426"/>
      <c r="D103" s="426"/>
    </row>
    <row r="104" spans="3:4">
      <c r="C104" s="426"/>
      <c r="D104" s="426"/>
    </row>
    <row r="105" spans="3:4">
      <c r="C105" s="426"/>
      <c r="D105" s="426"/>
    </row>
    <row r="106" spans="3:4">
      <c r="C106" s="426"/>
      <c r="D106" s="426"/>
    </row>
    <row r="107" spans="3:4">
      <c r="C107" s="426"/>
      <c r="D107" s="426"/>
    </row>
    <row r="108" spans="3:4">
      <c r="C108" s="426"/>
      <c r="D108" s="426"/>
    </row>
    <row r="109" spans="3:4">
      <c r="C109" s="426"/>
      <c r="D109" s="426"/>
    </row>
    <row r="110" spans="3:4">
      <c r="C110" s="426"/>
      <c r="D110" s="426"/>
    </row>
    <row r="111" spans="3:4">
      <c r="C111" s="426"/>
      <c r="D111" s="426"/>
    </row>
    <row r="112" spans="3:4">
      <c r="C112" s="426"/>
      <c r="D112" s="426"/>
    </row>
    <row r="113" spans="3:4">
      <c r="C113" s="426"/>
      <c r="D113" s="426"/>
    </row>
    <row r="114" spans="3:4">
      <c r="C114" s="426"/>
      <c r="D114" s="426"/>
    </row>
    <row r="115" spans="3:4">
      <c r="C115" s="426"/>
      <c r="D115" s="426"/>
    </row>
    <row r="116" spans="3:4">
      <c r="C116" s="426"/>
      <c r="D116" s="426"/>
    </row>
    <row r="117" spans="3:4">
      <c r="C117" s="426"/>
      <c r="D117" s="426"/>
    </row>
    <row r="118" spans="3:4">
      <c r="C118" s="426"/>
      <c r="D118" s="426"/>
    </row>
    <row r="119" spans="3:4">
      <c r="C119" s="426"/>
      <c r="D119" s="426"/>
    </row>
    <row r="120" spans="3:4">
      <c r="C120" s="426"/>
      <c r="D120" s="426"/>
    </row>
    <row r="121" spans="3:4">
      <c r="C121" s="426"/>
      <c r="D121" s="426"/>
    </row>
    <row r="122" spans="3:4">
      <c r="C122" s="426"/>
      <c r="D122" s="426"/>
    </row>
    <row r="123" spans="3:4">
      <c r="C123" s="426"/>
      <c r="D123" s="426"/>
    </row>
    <row r="124" spans="3:4">
      <c r="C124" s="426"/>
      <c r="D124" s="426"/>
    </row>
    <row r="125" spans="3:4">
      <c r="C125" s="426"/>
      <c r="D125" s="426"/>
    </row>
    <row r="126" spans="3:4">
      <c r="C126" s="426"/>
      <c r="D126" s="426"/>
    </row>
    <row r="127" spans="3:4">
      <c r="C127" s="426"/>
      <c r="D127" s="426"/>
    </row>
    <row r="128" spans="3:4">
      <c r="C128" s="426"/>
      <c r="D128" s="426"/>
    </row>
    <row r="129" spans="3:4">
      <c r="C129" s="426"/>
      <c r="D129" s="426"/>
    </row>
    <row r="130" spans="3:4">
      <c r="C130" s="426"/>
      <c r="D130" s="426"/>
    </row>
    <row r="131" spans="3:4">
      <c r="C131" s="426"/>
      <c r="D131" s="426"/>
    </row>
    <row r="132" spans="3:4">
      <c r="C132" s="426"/>
      <c r="D132" s="426"/>
    </row>
    <row r="133" spans="3:4">
      <c r="C133" s="426"/>
      <c r="D133" s="426"/>
    </row>
    <row r="134" spans="3:4">
      <c r="C134" s="426"/>
      <c r="D134" s="426"/>
    </row>
    <row r="135" spans="3:4">
      <c r="C135" s="426"/>
      <c r="D135" s="426"/>
    </row>
    <row r="136" spans="3:4">
      <c r="C136" s="426"/>
      <c r="D136" s="426"/>
    </row>
    <row r="137" spans="3:4">
      <c r="C137" s="426"/>
      <c r="D137" s="426"/>
    </row>
    <row r="138" spans="3:4">
      <c r="C138" s="426"/>
      <c r="D138" s="426"/>
    </row>
    <row r="139" spans="3:4">
      <c r="C139" s="426"/>
      <c r="D139" s="426"/>
    </row>
    <row r="140" spans="3:4">
      <c r="C140" s="426"/>
      <c r="D140" s="426"/>
    </row>
    <row r="141" spans="3:4">
      <c r="C141" s="426"/>
      <c r="D141" s="426"/>
    </row>
    <row r="142" spans="3:4">
      <c r="C142" s="426"/>
      <c r="D142" s="426"/>
    </row>
    <row r="157" spans="3:3">
      <c r="C157" s="588" t="s">
        <v>69</v>
      </c>
    </row>
    <row r="158" spans="3:3">
      <c r="C158" s="588" t="s">
        <v>70</v>
      </c>
    </row>
  </sheetData>
  <mergeCells count="10">
    <mergeCell ref="C68:D68"/>
    <mergeCell ref="C73:D73"/>
    <mergeCell ref="C4:I4"/>
    <mergeCell ref="C70:D70"/>
    <mergeCell ref="C69:D69"/>
    <mergeCell ref="A7:A8"/>
    <mergeCell ref="F7:L7"/>
    <mergeCell ref="C2:D2"/>
    <mergeCell ref="C66:D66"/>
    <mergeCell ref="C67:D67"/>
  </mergeCells>
  <conditionalFormatting sqref="E59:E60 D17:D37 D9:D11 D13 D39:D55">
    <cfRule type="cellIs" dxfId="124" priority="21" operator="equal">
      <formula>0</formula>
    </cfRule>
  </conditionalFormatting>
  <conditionalFormatting sqref="D13">
    <cfRule type="cellIs" dxfId="123" priority="16" operator="equal">
      <formula>0</formula>
    </cfRule>
  </conditionalFormatting>
  <conditionalFormatting sqref="D36:D37">
    <cfRule type="cellIs" dxfId="122" priority="17" operator="equal">
      <formula>0</formula>
    </cfRule>
  </conditionalFormatting>
  <conditionalFormatting sqref="F59:H60">
    <cfRule type="cellIs" dxfId="121" priority="15" operator="equal">
      <formula>0</formula>
    </cfRule>
  </conditionalFormatting>
  <conditionalFormatting sqref="D59">
    <cfRule type="cellIs" dxfId="120" priority="8" operator="equal">
      <formula>0</formula>
    </cfRule>
  </conditionalFormatting>
  <conditionalFormatting sqref="D12:D13">
    <cfRule type="cellIs" dxfId="119" priority="11" operator="equal">
      <formula>0</formula>
    </cfRule>
  </conditionalFormatting>
  <conditionalFormatting sqref="D60">
    <cfRule type="cellIs" dxfId="118" priority="7" operator="equal">
      <formula>0</formula>
    </cfRule>
  </conditionalFormatting>
  <conditionalFormatting sqref="D38">
    <cfRule type="cellIs" dxfId="117" priority="6" operator="equal">
      <formula>0</formula>
    </cfRule>
  </conditionalFormatting>
  <printOptions horizontalCentered="1"/>
  <pageMargins left="0.70866141732283472" right="0.70866141732283472" top="0.74803149606299213" bottom="0.74803149606299213" header="0.74803149606299213" footer="0.35433070866141736"/>
  <pageSetup paperSize="9" scale="62" orientation="portrait" r:id="rId1"/>
  <headerFooter differentOddEven="1">
    <oddFooter>&amp;R&amp;G</oddFooter>
    <evenFooter>&amp;L&amp;G</evenFooter>
  </headerFooter>
  <ignoredErrors>
    <ignoredError sqref="C6" unlockedFormula="1"/>
    <ignoredError sqref="D22 D25" formula="1"/>
  </ignoredErrors>
  <drawing r:id="rId2"/>
  <legacyDrawingHF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olha8">
    <pageSetUpPr fitToPage="1"/>
  </sheetPr>
  <dimension ref="A1:W179"/>
  <sheetViews>
    <sheetView showGridLines="0" zoomScaleNormal="100" zoomScaleSheetLayoutView="100" workbookViewId="0">
      <selection activeCell="B2" sqref="B2"/>
    </sheetView>
  </sheetViews>
  <sheetFormatPr defaultColWidth="9.140625" defaultRowHeight="12.75"/>
  <cols>
    <col min="1" max="1" width="2.5703125" style="425" customWidth="1"/>
    <col min="2" max="2" width="4.42578125" style="425" customWidth="1"/>
    <col min="3" max="3" width="59.140625" style="426" customWidth="1"/>
    <col min="4" max="4" width="32.42578125" style="426" customWidth="1"/>
    <col min="5" max="6" width="7.42578125" style="444" customWidth="1"/>
    <col min="7" max="7" width="8.85546875" style="444" customWidth="1"/>
    <col min="8" max="8" width="7.5703125" style="444" customWidth="1"/>
    <col min="9" max="9" width="7.42578125" style="444" customWidth="1"/>
    <col min="10" max="10" width="11.42578125" style="657" bestFit="1" customWidth="1"/>
    <col min="11" max="11" width="47.140625" style="425" customWidth="1"/>
    <col min="12" max="12" width="9.140625" style="425"/>
    <col min="13" max="14" width="9.140625" style="458"/>
    <col min="15" max="15" width="9.140625" style="425"/>
    <col min="16" max="16" width="10.5703125" style="425" bestFit="1" customWidth="1"/>
    <col min="17" max="17" width="15.42578125" style="425" bestFit="1" customWidth="1"/>
    <col min="18" max="18" width="19.42578125" style="425" bestFit="1" customWidth="1"/>
    <col min="19" max="19" width="9.85546875" style="425" bestFit="1" customWidth="1"/>
    <col min="20" max="20" width="9.140625" style="425"/>
    <col min="21" max="21" width="10.85546875" style="425" bestFit="1" customWidth="1"/>
    <col min="22" max="16384" width="9.140625" style="425"/>
  </cols>
  <sheetData>
    <row r="1" spans="1:18" ht="15" customHeight="1"/>
    <row r="2" spans="1:18" s="190" customFormat="1" ht="38.450000000000003" customHeight="1">
      <c r="B2" s="8"/>
      <c r="C2" s="1681" t="str">
        <f>IF(Indice_index!$Z$1=1,"4 - Impacto orçamental das medidas adotadas no âmbito da COVID-19 por subsetor das Administrações Públicas","4 - Budgetary impact of COVID-19 policy measures by General Government subsector")</f>
        <v>4 - Impacto orçamental das medidas adotadas no âmbito da COVID-19 por subsetor das Administrações Públicas</v>
      </c>
      <c r="D2" s="1681"/>
      <c r="E2" s="1681"/>
      <c r="F2" s="1681"/>
      <c r="G2" s="1681"/>
      <c r="H2" s="1681"/>
      <c r="I2" s="1681"/>
      <c r="J2" s="658"/>
      <c r="K2" s="358"/>
      <c r="L2" s="201"/>
      <c r="M2" s="456"/>
      <c r="N2" s="457"/>
      <c r="O2" s="191"/>
      <c r="P2" s="189"/>
      <c r="Q2" s="189"/>
      <c r="R2" s="203"/>
    </row>
    <row r="3" spans="1:18" s="190" customFormat="1" ht="15" customHeight="1">
      <c r="D3" s="530"/>
      <c r="E3" s="358"/>
      <c r="F3" s="358"/>
      <c r="G3" s="358"/>
      <c r="H3" s="358"/>
      <c r="I3" s="358"/>
      <c r="J3" s="658"/>
      <c r="K3" s="358"/>
      <c r="L3" s="189"/>
      <c r="M3" s="456"/>
      <c r="N3" s="457"/>
      <c r="O3" s="191"/>
      <c r="P3" s="189"/>
      <c r="Q3" s="189"/>
      <c r="R3" s="189"/>
    </row>
    <row r="4" spans="1:18" s="190" customFormat="1" ht="15" customHeight="1">
      <c r="C4" s="1680" t="str">
        <f>IF(Indice_index!$Z$1=1,"Execução das medidas adotadas no âmbito da COVID-19 por classificação económica e por subsetor das Administrações Públicas","Budgetary implementation of COVID-19 policy measures, according to economic classification and General Government subsector")</f>
        <v>Execução das medidas adotadas no âmbito da COVID-19 por classificação económica e por subsetor das Administrações Públicas</v>
      </c>
      <c r="D4" s="1680"/>
      <c r="E4" s="1680"/>
      <c r="F4" s="1680"/>
      <c r="G4" s="1680"/>
      <c r="H4" s="1680"/>
      <c r="I4" s="1680"/>
      <c r="J4" s="658"/>
      <c r="K4" s="358"/>
      <c r="L4" s="189"/>
      <c r="M4" s="456"/>
      <c r="N4" s="457"/>
      <c r="O4" s="191"/>
      <c r="P4" s="189"/>
      <c r="Q4" s="189"/>
      <c r="R4" s="189"/>
    </row>
    <row r="5" spans="1:18" ht="15" customHeight="1">
      <c r="A5" s="426"/>
      <c r="B5" s="426"/>
      <c r="J5" s="659"/>
    </row>
    <row r="6" spans="1:18" ht="15" customHeight="1">
      <c r="A6" s="426"/>
      <c r="B6" s="426"/>
      <c r="C6" s="1397" t="str">
        <f>+'5 - Conta AC + SS'!C5</f>
        <v>Período: janeiro a julho</v>
      </c>
      <c r="D6" s="1397"/>
      <c r="E6" s="1397"/>
      <c r="F6" s="1397"/>
      <c r="G6" s="1397"/>
      <c r="H6" s="1397"/>
      <c r="I6" s="1397" t="str">
        <f>IF(Indice_index!$Z$1=1,"€ Milhões","€ Millions")</f>
        <v>€ Milhões</v>
      </c>
      <c r="J6" s="659"/>
    </row>
    <row r="7" spans="1:18" ht="36" customHeight="1">
      <c r="A7" s="426"/>
      <c r="B7" s="426"/>
      <c r="C7" s="1477" t="str">
        <f>IF(Indice_index!$Z$1=1,"Medida COVID-19","COVID-19 Policy Measure")</f>
        <v>Medida COVID-19</v>
      </c>
      <c r="D7" s="1478" t="str">
        <f>IF(Indice_index!$Z$1=1,"Classificação económica","Economic classification")</f>
        <v>Classificação económica</v>
      </c>
      <c r="E7" s="1479" t="str">
        <f>IF(Indice_index!$Z$1=1,"Adm. Central","Central Government")</f>
        <v>Adm. Central</v>
      </c>
      <c r="F7" s="1479" t="str">
        <f>IF(Indice_index!$Z$1=1,"Seg.  Social","Social Security")</f>
        <v>Seg.  Social</v>
      </c>
      <c r="G7" s="1479" t="str">
        <f>IF(Indice_index!$Z$1=1,"Adm. Regional","Regional Government")</f>
        <v>Adm. Regional</v>
      </c>
      <c r="H7" s="1479" t="str">
        <f>IF(Indice_index!$Z$1=1,"Adm. Local","Local Government")</f>
        <v>Adm. Local</v>
      </c>
      <c r="I7" s="1480" t="s">
        <v>66</v>
      </c>
      <c r="J7" s="659"/>
    </row>
    <row r="8" spans="1:18" ht="15" customHeight="1">
      <c r="A8" s="426"/>
      <c r="B8" s="426"/>
      <c r="C8" s="1153" t="str">
        <f>IF(Indice_index!$Z$1=1,"Limitação extraordinária de pagamentos por conta em sede de IRS ou IRC","Extraordinary limitation of prepayments related with IRS or IRC")</f>
        <v>Limitação extraordinária de pagamentos por conta em sede de IRS ou IRC</v>
      </c>
      <c r="D8" s="1154" t="str">
        <f>IF(Indice_index!$Z$1=1,"R.01 - Imp. Diretos","R.01 - Direct taxes")</f>
        <v>R.01 - Imp. Diretos</v>
      </c>
      <c r="E8" s="1137">
        <f>27.81620809+5.89891113</f>
        <v>33.715119219999998</v>
      </c>
      <c r="F8" s="1155"/>
      <c r="G8" s="1155"/>
      <c r="H8" s="1155"/>
      <c r="I8" s="1156">
        <f>SUM(E8:H8)</f>
        <v>33.715119219999998</v>
      </c>
      <c r="J8" s="659"/>
    </row>
    <row r="9" spans="1:18" ht="15" customHeight="1">
      <c r="A9" s="426"/>
      <c r="B9" s="426"/>
      <c r="C9" s="1153" t="str">
        <f>IF(Indice_index!$Z$1=1,"Prorrogação do pagamento do IVA","Extension of VAT payment")</f>
        <v>Prorrogação do pagamento do IVA</v>
      </c>
      <c r="D9" s="1154" t="str">
        <f>IF(Indice_index!$Z$1=1,"R.02 - Imp. Indiretos","R.02 - Indirect taxes")</f>
        <v>R.02 - Imp. Indiretos</v>
      </c>
      <c r="E9" s="1156">
        <v>264.08491099999998</v>
      </c>
      <c r="F9" s="1155"/>
      <c r="G9" s="1155"/>
      <c r="H9" s="1155"/>
      <c r="I9" s="1156">
        <f t="shared" ref="I9:I66" si="0">SUM(E9:H9)</f>
        <v>264.08491099999998</v>
      </c>
      <c r="J9" s="659"/>
    </row>
    <row r="10" spans="1:18" ht="15" customHeight="1">
      <c r="A10" s="426"/>
      <c r="B10" s="426"/>
      <c r="C10" s="1153" t="str">
        <f>IF(Indice_index!$Z$1=1,"Isenção de pagamento da Taxa Social Única (estimativa)","Exemption from payment of the social security contributions (estimate)")</f>
        <v>Isenção de pagamento da Taxa Social Única (estimativa)</v>
      </c>
      <c r="D10" s="1154" t="str">
        <f>IF(Indice_index!$Z$1=1,"R.03 - Contrib. SS","R.03 - Contributions to the Social Security")</f>
        <v>R.03 - Contrib. SS</v>
      </c>
      <c r="E10" s="1155"/>
      <c r="F10" s="1155">
        <v>6.6599775803950001</v>
      </c>
      <c r="G10" s="1155"/>
      <c r="H10" s="1155"/>
      <c r="I10" s="1156">
        <f t="shared" si="0"/>
        <v>6.6599775803950001</v>
      </c>
      <c r="J10" s="659"/>
    </row>
    <row r="11" spans="1:18" ht="15" customHeight="1">
      <c r="A11" s="426"/>
      <c r="B11" s="426"/>
      <c r="C11" s="1153" t="str">
        <f>IF(Indice_index!$Z$1=1,"Adiamento, redução ou isenção de rendas de imóveis","Postponement, reduction or exemption of property rents payment")</f>
        <v>Adiamento, redução ou isenção de rendas de imóveis</v>
      </c>
      <c r="D11" s="1154" t="str">
        <f>IF(Indice_index!$Z$1=1,"R.07 - Vendas Bens e Serv.","R.07 - Sale of current goods and services")</f>
        <v>R.07 - Vendas Bens e Serv.</v>
      </c>
      <c r="E11" s="1155"/>
      <c r="F11" s="1155"/>
      <c r="G11" s="1155">
        <v>1.6386539999999998E-2</v>
      </c>
      <c r="H11" s="1155"/>
      <c r="I11" s="1156">
        <f t="shared" si="0"/>
        <v>1.6386539999999998E-2</v>
      </c>
      <c r="J11" s="659"/>
    </row>
    <row r="12" spans="1:18" ht="15" customHeight="1">
      <c r="A12" s="426"/>
      <c r="B12" s="426"/>
      <c r="C12" s="1153" t="str">
        <f>IF(Indice_index!$Z$1=1,"Revenda de vacinas contra a COVID-19 a países terceiros","Resale of vaccines against COVID-19 to third countries")</f>
        <v>Revenda de vacinas contra a COVID-19 a países terceiros</v>
      </c>
      <c r="D12" s="1154" t="str">
        <f>IF(Indice_index!$Z$1=1,"R.07 - Vendas Bens e Serv.","R.07 - Sale of current goods and services")</f>
        <v>R.07 - Vendas Bens e Serv.</v>
      </c>
      <c r="E12" s="1155">
        <v>-39.724086960000001</v>
      </c>
      <c r="F12" s="1155"/>
      <c r="G12" s="1155"/>
      <c r="H12" s="1155"/>
      <c r="I12" s="1156">
        <f>SUM(E12:H12)</f>
        <v>-39.724086960000001</v>
      </c>
      <c r="J12" s="659"/>
    </row>
    <row r="13" spans="1:18" ht="4.5" customHeight="1">
      <c r="A13" s="426"/>
      <c r="B13" s="426"/>
      <c r="C13" s="1154"/>
      <c r="D13" s="1154"/>
      <c r="E13" s="1156"/>
      <c r="F13" s="1156"/>
      <c r="G13" s="1156"/>
      <c r="H13" s="1156"/>
      <c r="I13" s="1156"/>
      <c r="J13" s="659"/>
    </row>
    <row r="14" spans="1:18" ht="15" customHeight="1">
      <c r="A14" s="426"/>
      <c r="B14" s="426"/>
      <c r="C14" s="1237" t="str">
        <f>IF(Indice_index!$Z$1=1,"Total da Receita efetiva","Total Effective revenue")</f>
        <v>Total da Receita efetiva</v>
      </c>
      <c r="D14" s="1237"/>
      <c r="E14" s="1145">
        <f>SUM(E8:E12)</f>
        <v>258.07594325999997</v>
      </c>
      <c r="F14" s="1145">
        <f>SUM(F8:F12)</f>
        <v>6.6599775803950001</v>
      </c>
      <c r="G14" s="1145">
        <f>SUM(G8:G12)</f>
        <v>1.6386539999999998E-2</v>
      </c>
      <c r="H14" s="1145">
        <f>SUM(H8:H12)</f>
        <v>0</v>
      </c>
      <c r="I14" s="1145">
        <f>SUM(E14:H14)</f>
        <v>264.75230738039494</v>
      </c>
      <c r="J14" s="659"/>
    </row>
    <row r="15" spans="1:18" ht="4.5" customHeight="1">
      <c r="A15" s="426"/>
      <c r="B15" s="426"/>
      <c r="C15" s="634"/>
      <c r="D15" s="634"/>
      <c r="E15" s="635"/>
      <c r="F15" s="635"/>
      <c r="G15" s="635"/>
      <c r="H15" s="635"/>
      <c r="I15" s="635"/>
      <c r="J15" s="659"/>
    </row>
    <row r="16" spans="1:18" ht="15" customHeight="1">
      <c r="A16" s="426"/>
      <c r="B16" s="476"/>
      <c r="C16" s="1153" t="str">
        <f>IF(Indice_index!$Z$1=1,"Saúde: Recursos humanos (contratações, horas extra e outros abonos)","Health: Human resources (hiring, overtime and other allowances)")</f>
        <v>Saúde: Recursos humanos (contratações, horas extra e outros abonos)</v>
      </c>
      <c r="D16" s="1153" t="str">
        <f>IF(Indice_index!$Z$1=1,"D.01- Desp. c/ pessoal","D.01 - Employees")</f>
        <v>D.01- Desp. c/ pessoal</v>
      </c>
      <c r="E16" s="1137">
        <v>140.26469846000003</v>
      </c>
      <c r="F16" s="1137">
        <v>0</v>
      </c>
      <c r="G16" s="1137">
        <v>31.035305910000002</v>
      </c>
      <c r="H16" s="1137"/>
      <c r="I16" s="1156">
        <f t="shared" si="0"/>
        <v>171.30000437000004</v>
      </c>
      <c r="J16" s="659"/>
    </row>
    <row r="17" spans="1:14" ht="15" customHeight="1">
      <c r="A17" s="426"/>
      <c r="B17" s="476"/>
      <c r="C17" s="1153" t="str">
        <f>IF(Indice_index!$Z$1=1,"Recursos humanos (contratações, horas extra e outros abonos)","Human resources (hiring, overtime and other allowances)")</f>
        <v>Recursos humanos (contratações, horas extra e outros abonos)</v>
      </c>
      <c r="D17" s="1153" t="str">
        <f>IF(Indice_index!$Z$1=1,"D.01- Desp. c/ pessoal","D.01 - Employees")</f>
        <v>D.01- Desp. c/ pessoal</v>
      </c>
      <c r="E17" s="1137">
        <v>17.543845099999995</v>
      </c>
      <c r="F17" s="1137">
        <v>8.3470299999999983E-3</v>
      </c>
      <c r="G17" s="1137">
        <v>0</v>
      </c>
      <c r="H17" s="1137"/>
      <c r="I17" s="1156">
        <f t="shared" si="0"/>
        <v>17.552192129999995</v>
      </c>
      <c r="J17" s="659"/>
    </row>
    <row r="18" spans="1:14" ht="15" customHeight="1">
      <c r="A18" s="426"/>
      <c r="B18" s="476"/>
      <c r="C18" s="1153" t="str">
        <f>IF(Indice_index!$Z$1=1,"Saúde: aquisição de vacinas","Health: purchasing of vaccines")</f>
        <v>Saúde: aquisição de vacinas</v>
      </c>
      <c r="D18" s="1153" t="str">
        <f>IF(Indice_index!$Z$1=1,"D.02 - Aq. Bens e Serv.","D.02 - Purchase of goods and services")</f>
        <v>D.02 - Aq. Bens e Serv.</v>
      </c>
      <c r="E18" s="1137">
        <v>302.04774749000001</v>
      </c>
      <c r="F18" s="1137"/>
      <c r="G18" s="1137"/>
      <c r="H18" s="1137"/>
      <c r="I18" s="1156">
        <f>SUM(E18:H18)</f>
        <v>302.04774749000001</v>
      </c>
      <c r="J18" s="659"/>
    </row>
    <row r="19" spans="1:14" ht="15" customHeight="1">
      <c r="A19" s="426"/>
      <c r="B19" s="476"/>
      <c r="C19" s="1153" t="str">
        <f>IF(Indice_index!$Z$1=1,"Saúde: testes COVID-19","Health: COVID-19 tests ")</f>
        <v>Saúde: testes COVID-19</v>
      </c>
      <c r="D19" s="1153" t="str">
        <f>IF(Indice_index!$Z$1=1,"D.02 - Aq. Bens e Serv.","D.02 - Purchase of goods and services")</f>
        <v>D.02 - Aq. Bens e Serv.</v>
      </c>
      <c r="E19" s="1137">
        <v>243.16495568000008</v>
      </c>
      <c r="F19" s="1137"/>
      <c r="G19" s="1137">
        <v>10.969739479999999</v>
      </c>
      <c r="H19" s="1137"/>
      <c r="I19" s="1156">
        <f t="shared" si="0"/>
        <v>254.13469516000006</v>
      </c>
      <c r="J19" s="659"/>
    </row>
    <row r="20" spans="1:14" ht="15" customHeight="1">
      <c r="A20" s="426"/>
      <c r="B20" s="476"/>
      <c r="C20" s="1153" t="str">
        <f>IF(Indice_index!$Z$1=1,"Saúde: equipamentos de proteção individual (EPI), medicamentos e outros","Health: personal protective equipment, medicines and others")</f>
        <v>Saúde: equipamentos de proteção individual (EPI), medicamentos e outros</v>
      </c>
      <c r="D20" s="1153" t="str">
        <f>IF(Indice_index!$Z$1=1,"D.02 - Aq. Bens e Serv.","D.02 - Purchase of goods and services")</f>
        <v>D.02 - Aq. Bens e Serv.</v>
      </c>
      <c r="E20" s="1137">
        <v>49.487318489999986</v>
      </c>
      <c r="F20" s="1137"/>
      <c r="G20" s="1137">
        <v>6.5062806699999989</v>
      </c>
      <c r="H20" s="1137">
        <v>4.0923043880000005</v>
      </c>
      <c r="I20" s="1156">
        <f t="shared" si="0"/>
        <v>60.08590354799999</v>
      </c>
      <c r="J20" s="659"/>
    </row>
    <row r="21" spans="1:14" ht="15" customHeight="1">
      <c r="A21" s="426"/>
      <c r="B21" s="476"/>
      <c r="C21" s="1153" t="str">
        <f>IF(Indice_index!$Z$1=1,"Programa Ativar - Formação","ATIVAR.PT Program - Training")</f>
        <v>Programa Ativar - Formação</v>
      </c>
      <c r="D21" s="1153" t="str">
        <f>IF(Indice_index!$Z$1=1,"D.02 - Aq. Bens e Serv.","D.02 - Purchase of goods and services")</f>
        <v>D.02 - Aq. Bens e Serv.</v>
      </c>
      <c r="E21" s="1137">
        <v>34.102131959999994</v>
      </c>
      <c r="F21" s="1137"/>
      <c r="G21" s="1137">
        <v>0</v>
      </c>
      <c r="H21" s="1137">
        <v>11.584686249999999</v>
      </c>
      <c r="I21" s="1156">
        <f t="shared" ref="I21" si="1">SUM(E21:H21)</f>
        <v>45.686818209999991</v>
      </c>
      <c r="J21" s="659"/>
    </row>
    <row r="22" spans="1:14" ht="15" customHeight="1">
      <c r="A22" s="426"/>
      <c r="B22" s="476"/>
      <c r="C22" s="1153" t="str">
        <f>IF(Indice_index!$Z$1=1,"EPI, adaptação dos locais de trabalho, produtos e serviços de limpeza","Other sectors: personal protective equipment, workplaces adaptation, cleaning products and services")</f>
        <v>EPI, adaptação dos locais de trabalho, produtos e serviços de limpeza</v>
      </c>
      <c r="D22" s="1153" t="str">
        <f>IF(Indice_index!$Z$1=1,"D.02 - Aq. Bens e Serv.","D.02 - Purchase of goods and services")</f>
        <v>D.02 - Aq. Bens e Serv.</v>
      </c>
      <c r="E22" s="1137">
        <v>10.134968379999993</v>
      </c>
      <c r="F22" s="1137">
        <v>2.6639387700000001</v>
      </c>
      <c r="G22" s="1137">
        <v>0</v>
      </c>
      <c r="H22" s="1137"/>
      <c r="I22" s="1156">
        <f t="shared" si="0"/>
        <v>12.798907149999993</v>
      </c>
      <c r="J22" s="659"/>
    </row>
    <row r="23" spans="1:14" ht="15" customHeight="1">
      <c r="A23" s="426"/>
      <c r="B23" s="476"/>
      <c r="C23" s="1153" t="str">
        <f>IF(Indice_index!$Z$1=1,"Universalização da escola digital ","Universalization of the digital school")</f>
        <v xml:space="preserve">Universalização da escola digital </v>
      </c>
      <c r="D23" s="1153" t="str">
        <f>IF(Indice_index!$Z$1=1,"D.02 - Aq. Bens e Serv.","D.02 - Purchase of goods and services")</f>
        <v>D.02 - Aq. Bens e Serv.</v>
      </c>
      <c r="E23" s="1137">
        <v>1.4618549999999999</v>
      </c>
      <c r="F23" s="1137"/>
      <c r="G23" s="1137"/>
      <c r="H23" s="1137"/>
      <c r="I23" s="1156">
        <f t="shared" si="0"/>
        <v>1.4618549999999999</v>
      </c>
      <c r="J23" s="659"/>
    </row>
    <row r="24" spans="1:14" ht="15" customHeight="1">
      <c r="A24" s="426"/>
      <c r="B24" s="476"/>
      <c r="C24" s="1153" t="str">
        <f>IF(Indice_index!$Z$1=1,"Outras Aquisições de Bens e Serviços","Other services and goods acquisitions")</f>
        <v>Outras Aquisições de Bens e Serviços</v>
      </c>
      <c r="D24" s="1153" t="str">
        <f>IF(Indice_index!$Z$1=1,"D.02 - Aq. Bens e Serv.","D.02 - Purchase of goods and services")</f>
        <v>D.02 - Aq. Bens e Serv.</v>
      </c>
      <c r="E24" s="1137">
        <v>5.0064785900000031</v>
      </c>
      <c r="F24" s="1137"/>
      <c r="G24" s="1137">
        <v>0.58336918999999998</v>
      </c>
      <c r="H24" s="1137"/>
      <c r="I24" s="1156">
        <f t="shared" si="0"/>
        <v>5.589847780000003</v>
      </c>
      <c r="J24" s="659"/>
    </row>
    <row r="25" spans="1:14" ht="15" customHeight="1">
      <c r="A25" s="426"/>
      <c r="B25" s="476"/>
      <c r="C25" s="1153" t="str">
        <f>IF(Indice_index!$Z$1=1,"Juros e outros encargos","Interests and other charges")</f>
        <v>Juros e outros encargos</v>
      </c>
      <c r="D25" s="1153" t="str">
        <f>IF(Indice_index!$Z$1=1,"D.03 - Juros e outros encargos","D.03 - Interests and other charges")</f>
        <v>D.03 - Juros e outros encargos</v>
      </c>
      <c r="E25" s="1137">
        <v>9.7285999999999998E-4</v>
      </c>
      <c r="F25" s="1137"/>
      <c r="G25" s="1137"/>
      <c r="H25" s="1137"/>
      <c r="I25" s="1156">
        <f t="shared" ref="I25" si="2">SUM(E25:H25)</f>
        <v>9.7285999999999998E-4</v>
      </c>
      <c r="J25" s="659"/>
    </row>
    <row r="26" spans="1:14" ht="15" customHeight="1">
      <c r="A26" s="426"/>
      <c r="B26" s="476"/>
      <c r="C26" s="1481" t="str">
        <f>IF(Indice_index!$Z$1=1,"Isolamento profilático","Prophylactic isolation benefit")</f>
        <v>Isolamento profilático</v>
      </c>
      <c r="D26" s="1482" t="str">
        <f>IF(Indice_index!$Z$1=1,"D.04 - Transf. Correntes","D.04 - Current transfers")</f>
        <v>D.04 - Transf. Correntes</v>
      </c>
      <c r="E26" s="1137" t="s">
        <v>512</v>
      </c>
      <c r="F26" s="1137">
        <v>234.09417428000003</v>
      </c>
      <c r="G26" s="1137"/>
      <c r="H26" s="1137"/>
      <c r="I26" s="1156">
        <f t="shared" si="0"/>
        <v>234.09417428000003</v>
      </c>
      <c r="J26" s="659"/>
    </row>
    <row r="27" spans="1:14" ht="15" customHeight="1">
      <c r="A27" s="426"/>
      <c r="B27" s="476"/>
      <c r="C27" s="1153" t="str">
        <f>IF(Indice_index!$Z$1=1,"Apoios extraordinários ao rendimento dos trabalhadores","Extraordinary support of workers income")</f>
        <v>Apoios extraordinários ao rendimento dos trabalhadores</v>
      </c>
      <c r="D27" s="1153" t="str">
        <f>IF(Indice_index!$Z$1=1,"D.04 - Transf. Correntes","D.04 - Current transfers")</f>
        <v>D.04 - Transf. Correntes</v>
      </c>
      <c r="E27" s="1137" t="s">
        <v>512</v>
      </c>
      <c r="F27" s="1137">
        <v>75.875691200000006</v>
      </c>
      <c r="G27" s="1137"/>
      <c r="H27" s="1137"/>
      <c r="I27" s="1156">
        <f>SUM(E27:H27)</f>
        <v>75.875691200000006</v>
      </c>
      <c r="J27" s="659"/>
    </row>
    <row r="28" spans="1:14" s="426" customFormat="1" ht="15" customHeight="1">
      <c r="B28" s="476"/>
      <c r="C28" s="1153" t="str">
        <f>IF(Indice_index!$Z$1=1,"Compensação ao aumento do valor da retribuição mínima mensal garantida","Compensation for the increase in the guaranteed minimum monthly salary")</f>
        <v>Compensação ao aumento do valor da retribuição mínima mensal garantida</v>
      </c>
      <c r="D28" s="1153" t="str">
        <f>IF(Indice_index!$Z$1=1,"D.04 - Transf. Correntes","D.04 - Current transfers")</f>
        <v>D.04 - Transf. Correntes</v>
      </c>
      <c r="E28" s="1137">
        <v>71.734712000000002</v>
      </c>
      <c r="F28" s="1137"/>
      <c r="G28" s="1137"/>
      <c r="H28" s="1137"/>
      <c r="I28" s="1156">
        <f>SUM(E28:H28)</f>
        <v>71.734712000000002</v>
      </c>
      <c r="J28" s="659"/>
      <c r="M28" s="459"/>
      <c r="N28" s="459"/>
    </row>
    <row r="29" spans="1:14" s="467" customFormat="1" ht="15" customHeight="1">
      <c r="A29" s="426"/>
      <c r="B29" s="476"/>
      <c r="C29" s="1153" t="str">
        <f>IF(Indice_index!$Z$1=1,"Subsídio de doença por infecção SARS-CoV-2","SARS-CoV-2 infection sickness benefit")</f>
        <v>Subsídio de doença por infecção SARS-CoV-2</v>
      </c>
      <c r="D29" s="1153" t="str">
        <f>IF(Indice_index!$Z$1=1,"D.04 - Transf. Correntes","D.04 - Current transfers")</f>
        <v>D.04 - Transf. Correntes</v>
      </c>
      <c r="E29" s="1137" t="s">
        <v>512</v>
      </c>
      <c r="F29" s="1137">
        <v>64.325917660000002</v>
      </c>
      <c r="G29" s="1137"/>
      <c r="H29" s="1137"/>
      <c r="I29" s="1156">
        <f t="shared" si="0"/>
        <v>64.325917660000002</v>
      </c>
      <c r="J29" s="660"/>
      <c r="M29" s="468"/>
      <c r="N29" s="468"/>
    </row>
    <row r="30" spans="1:14" s="426" customFormat="1" ht="15" customHeight="1">
      <c r="B30" s="476"/>
      <c r="C30" s="1153" t="str">
        <f>IF(Indice_index!$Z$1=1,"Programa de Apoio a Edifícios Mais Sustentáveis","More Sustainable Building Support Program")</f>
        <v>Programa de Apoio a Edifícios Mais Sustentáveis</v>
      </c>
      <c r="D30" s="1153" t="str">
        <f>IF(Indice_index!$Z$1=1,"D.04 - Transf. Correntes","D.04 - Current transfers")</f>
        <v>D.04 - Transf. Correntes</v>
      </c>
      <c r="E30" s="1137">
        <v>44.337212139999998</v>
      </c>
      <c r="F30" s="1137"/>
      <c r="G30" s="1137"/>
      <c r="H30" s="1137"/>
      <c r="I30" s="1156">
        <f>SUM(E30:H30)</f>
        <v>44.337212139999998</v>
      </c>
      <c r="J30" s="659"/>
      <c r="M30" s="459"/>
      <c r="N30" s="459"/>
    </row>
    <row r="31" spans="1:14" ht="15" customHeight="1">
      <c r="A31" s="426"/>
      <c r="B31" s="476"/>
      <c r="C31" s="1153" t="str">
        <f>IF(Indice_index!$Z$1=1,"Apoio extraordinário à retoma progressiva de atividade","Extraordinary support for the progressive resumption of activity")</f>
        <v>Apoio extraordinário à retoma progressiva de atividade</v>
      </c>
      <c r="D31" s="1153" t="str">
        <f>IF(Indice_index!$Z$1=1,"D.04 - Transf. Correntes","D.04 - Current transfers")</f>
        <v>D.04 - Transf. Correntes</v>
      </c>
      <c r="E31" s="1137" t="s">
        <v>512</v>
      </c>
      <c r="F31" s="1137">
        <v>39.934095059999997</v>
      </c>
      <c r="G31" s="1137"/>
      <c r="H31" s="1137"/>
      <c r="I31" s="1156">
        <f t="shared" si="0"/>
        <v>39.934095059999997</v>
      </c>
      <c r="J31" s="659"/>
    </row>
    <row r="32" spans="1:14" ht="15" customHeight="1">
      <c r="A32" s="426"/>
      <c r="B32" s="476"/>
      <c r="C32" s="1153" t="str">
        <f>IF(Indice_index!$Z$1=1,"Programa Ativar - Bolsas de formação","ATIVAR.PT Program - Training Scholarships")</f>
        <v>Programa Ativar - Bolsas de formação</v>
      </c>
      <c r="D32" s="1153" t="str">
        <f>IF(Indice_index!$Z$1=1,"D.04 - Transf. Correntes","D.04 - Current transfers")</f>
        <v>D.04 - Transf. Correntes</v>
      </c>
      <c r="E32" s="1137">
        <v>37.602071349999996</v>
      </c>
      <c r="F32" s="1137"/>
      <c r="G32" s="1137"/>
      <c r="H32" s="1137"/>
      <c r="I32" s="1156">
        <f>SUM(E32:H32)</f>
        <v>37.602071349999996</v>
      </c>
      <c r="J32" s="659"/>
    </row>
    <row r="33" spans="1:14" s="426" customFormat="1" ht="15" customHeight="1">
      <c r="B33" s="476"/>
      <c r="C33" s="1153" t="str">
        <f>IF(Indice_index!$Z$1=1,"Subsídios de assistência a filho e a neto","Allowances for child and grandchild's care")</f>
        <v>Subsídios de assistência a filho e a neto</v>
      </c>
      <c r="D33" s="1153" t="str">
        <f>IF(Indice_index!$Z$1=1,"D.04 - Transf. Correntes","D.04 - Current transfers")</f>
        <v>D.04 - Transf. Correntes</v>
      </c>
      <c r="E33" s="1137" t="s">
        <v>512</v>
      </c>
      <c r="F33" s="1137">
        <v>15.02673673</v>
      </c>
      <c r="G33" s="1137"/>
      <c r="H33" s="1137"/>
      <c r="I33" s="1156">
        <f>SUM(E33:H33)</f>
        <v>15.02673673</v>
      </c>
      <c r="J33" s="659"/>
      <c r="M33" s="459"/>
      <c r="N33" s="459"/>
    </row>
    <row r="34" spans="1:14" s="426" customFormat="1" ht="15" customHeight="1">
      <c r="B34" s="476"/>
      <c r="C34" s="1153" t="str">
        <f>IF(Indice_index!$Z$1=1,"Outros apoios de proteção social","Other social protection benefits")</f>
        <v>Outros apoios de proteção social</v>
      </c>
      <c r="D34" s="1153" t="str">
        <f>IF(Indice_index!$Z$1=1,"D.04 - Transf. Correntes","D.04 - Current transfers")</f>
        <v>D.04 - Transf. Correntes</v>
      </c>
      <c r="E34" s="1137" t="s">
        <v>512</v>
      </c>
      <c r="F34" s="1137">
        <v>1.9905191199999999</v>
      </c>
      <c r="G34" s="1137"/>
      <c r="H34" s="1137">
        <v>11.845675600000011</v>
      </c>
      <c r="I34" s="1156">
        <f>SUM(E34:H34)</f>
        <v>13.836194720000011</v>
      </c>
      <c r="J34" s="659"/>
      <c r="M34" s="459"/>
      <c r="N34" s="459"/>
    </row>
    <row r="35" spans="1:14" s="426" customFormat="1" ht="15" customHeight="1">
      <c r="B35" s="476"/>
      <c r="C35" s="1153" t="str">
        <f>IF(Indice_index!$Z$1=1,"Apoio extraordinário serviços públicos de transporte de passageiros","Extraordinary financial support for public passenger transport services")</f>
        <v>Apoio extraordinário serviços públicos de transporte de passageiros</v>
      </c>
      <c r="D35" s="1153" t="str">
        <f>IF(Indice_index!$Z$1=1,"D.04 - Transf. Correntes","D.04 - Current transfers")</f>
        <v>D.04 - Transf. Correntes</v>
      </c>
      <c r="E35" s="1137">
        <v>11.327756000000001</v>
      </c>
      <c r="F35" s="1137"/>
      <c r="G35" s="1137"/>
      <c r="H35" s="1137"/>
      <c r="I35" s="1156">
        <f>SUM(E35:H35)</f>
        <v>11.327756000000001</v>
      </c>
      <c r="J35" s="659"/>
      <c r="K35" s="444"/>
      <c r="M35" s="459"/>
      <c r="N35" s="459"/>
    </row>
    <row r="36" spans="1:14" ht="15" customHeight="1">
      <c r="A36" s="426"/>
      <c r="B36" s="476"/>
      <c r="C36" s="1153" t="str">
        <f>IF(Indice_index!$Z$1=1,"Layoff simplificado","Simplified layoff")</f>
        <v>Layoff simplificado</v>
      </c>
      <c r="D36" s="1153" t="str">
        <f>IF(Indice_index!$Z$1=1,"D.04 - Transf. Correntes","D.04 - Current transfers")</f>
        <v>D.04 - Transf. Correntes</v>
      </c>
      <c r="E36" s="1137" t="s">
        <v>512</v>
      </c>
      <c r="F36" s="1137">
        <v>9.269334449999997</v>
      </c>
      <c r="G36" s="1137"/>
      <c r="H36" s="1137"/>
      <c r="I36" s="1156">
        <f t="shared" si="0"/>
        <v>9.269334449999997</v>
      </c>
      <c r="J36" s="659"/>
    </row>
    <row r="37" spans="1:14" ht="15" customHeight="1">
      <c r="A37" s="426"/>
      <c r="B37" s="476"/>
      <c r="C37" s="1153" t="str">
        <f>IF(Indice_index!$Z$1=1,"Apoios sociais às famílias","Social benefits to families")</f>
        <v>Apoios sociais às famílias</v>
      </c>
      <c r="D37" s="1153" t="str">
        <f>IF(Indice_index!$Z$1=1,"D.04 - Transf. Correntes","D.04 - Current transfers")</f>
        <v>D.04 - Transf. Correntes</v>
      </c>
      <c r="E37" s="1137" t="s">
        <v>512</v>
      </c>
      <c r="F37" s="1137">
        <v>8.14514271</v>
      </c>
      <c r="G37" s="1137"/>
      <c r="H37" s="1137"/>
      <c r="I37" s="1156">
        <f t="shared" si="0"/>
        <v>8.14514271</v>
      </c>
      <c r="J37" s="659"/>
    </row>
    <row r="38" spans="1:14" s="426" customFormat="1" ht="15" customHeight="1">
      <c r="B38" s="476"/>
      <c r="C38" s="1153" t="str">
        <f>IF(Indice_index!$Z$1=1,"Programa Garantir Cultura","Guarantee Culture Program")</f>
        <v>Programa Garantir Cultura</v>
      </c>
      <c r="D38" s="1153" t="str">
        <f>IF(Indice_index!$Z$1=1,"D.04 - Transf. Correntes","D.04 - Current transfers")</f>
        <v>D.04 - Transf. Correntes</v>
      </c>
      <c r="E38" s="1137">
        <v>5.3025013099999985</v>
      </c>
      <c r="F38" s="1137"/>
      <c r="G38" s="1137"/>
      <c r="H38" s="1137"/>
      <c r="I38" s="1156">
        <f>SUM(E38:H38)</f>
        <v>5.3025013099999985</v>
      </c>
      <c r="J38" s="659"/>
      <c r="M38" s="459"/>
      <c r="N38" s="459"/>
    </row>
    <row r="39" spans="1:14" s="426" customFormat="1" ht="15" customHeight="1">
      <c r="B39" s="476"/>
      <c r="C39" s="1153" t="str">
        <f>IF(Indice_index!$Z$1=1,"Apoios ao emprego (inclui complementos layoff)","Employment benefits (include layoff complements)")</f>
        <v>Apoios ao emprego (inclui complementos layoff)</v>
      </c>
      <c r="D39" s="1153" t="str">
        <f>IF(Indice_index!$Z$1=1,"D.04 - Transf. Correntes","D.04 - Current transfers")</f>
        <v>D.04 - Transf. Correntes</v>
      </c>
      <c r="E39" s="1137" t="s">
        <v>512</v>
      </c>
      <c r="F39" s="1137"/>
      <c r="G39" s="1137">
        <v>4.0795801999999828</v>
      </c>
      <c r="H39" s="1137"/>
      <c r="I39" s="1156">
        <f t="shared" si="0"/>
        <v>4.0795801999999828</v>
      </c>
      <c r="J39" s="659"/>
      <c r="M39" s="459"/>
      <c r="N39" s="459"/>
    </row>
    <row r="40" spans="1:14" s="426" customFormat="1" ht="15" customHeight="1">
      <c r="B40" s="476"/>
      <c r="C40" s="1153" t="str">
        <f>IF(Indice_index!$Z$1=1,"Apoio Social Extraordinário para Profissionais da Cultura","Extraordinary Social Benefit for Culture Professionals")</f>
        <v>Apoio Social Extraordinário para Profissionais da Cultura</v>
      </c>
      <c r="D40" s="1153" t="str">
        <f>IF(Indice_index!$Z$1=1,"D.04 - Transf. Correntes","D.04 - Current transfers")</f>
        <v>D.04 - Transf. Correntes</v>
      </c>
      <c r="E40" s="1137">
        <v>3.6981081800000002</v>
      </c>
      <c r="F40" s="1137"/>
      <c r="G40" s="1137"/>
      <c r="H40" s="1137"/>
      <c r="I40" s="1156">
        <f>SUM(E40:H40)</f>
        <v>3.6981081800000002</v>
      </c>
      <c r="J40" s="659"/>
      <c r="M40" s="459"/>
      <c r="N40" s="459"/>
    </row>
    <row r="41" spans="1:14" s="426" customFormat="1" ht="15" customHeight="1">
      <c r="B41" s="476"/>
      <c r="C41" s="1153" t="str">
        <f>IF(Indice_index!$Z$1=1,"Programa Vale Eficiência ","Financial support program for energy efficiency")</f>
        <v xml:space="preserve">Programa Vale Eficiência </v>
      </c>
      <c r="D41" s="1153" t="str">
        <f>IF(Indice_index!$Z$1=1,"D.04 - Transf. Correntes","D.04 - Current transfers")</f>
        <v>D.04 - Transf. Correntes</v>
      </c>
      <c r="E41" s="1137">
        <v>2.4383650000000001</v>
      </c>
      <c r="F41" s="1137"/>
      <c r="G41" s="1137"/>
      <c r="H41" s="1137"/>
      <c r="I41" s="1156">
        <f>SUM(E41:H41)</f>
        <v>2.4383650000000001</v>
      </c>
      <c r="J41" s="659"/>
      <c r="M41" s="459"/>
      <c r="N41" s="459"/>
    </row>
    <row r="42" spans="1:14" ht="15" customHeight="1">
      <c r="A42" s="426"/>
      <c r="B42" s="476"/>
      <c r="C42" s="1153" t="str">
        <f>IF(Indice_index!$Z$1=1,"Prestações por doenças profissionais","Benefits for professional illnesses")</f>
        <v>Prestações por doenças profissionais</v>
      </c>
      <c r="D42" s="1153" t="str">
        <f>IF(Indice_index!$Z$1=1,"D.04 - Transf. Correntes","D.04 - Current transfers")</f>
        <v>D.04 - Transf. Correntes</v>
      </c>
      <c r="E42" s="1137" t="s">
        <v>512</v>
      </c>
      <c r="F42" s="1137">
        <v>1.1776210499999997</v>
      </c>
      <c r="G42" s="1137"/>
      <c r="H42" s="1137"/>
      <c r="I42" s="1137">
        <f t="shared" si="0"/>
        <v>1.1776210499999997</v>
      </c>
      <c r="J42" s="426"/>
    </row>
    <row r="43" spans="1:14" s="467" customFormat="1" ht="15" customHeight="1">
      <c r="A43" s="426"/>
      <c r="B43" s="476"/>
      <c r="C43" s="1153" t="str">
        <f>IF(Indice_index!$Z$1=1,"Apoio a associações humanitárias de bombeiros","Financial support to humanitarian firefighters associations")</f>
        <v>Apoio a associações humanitárias de bombeiros</v>
      </c>
      <c r="D43" s="1153" t="str">
        <f>IF(Indice_index!$Z$1=1,"D.04 - Transf. Correntes","D.04 - Current transfers")</f>
        <v>D.04 - Transf. Correntes</v>
      </c>
      <c r="E43" s="1137">
        <v>0.15725</v>
      </c>
      <c r="F43" s="1137"/>
      <c r="G43" s="1137"/>
      <c r="H43" s="1137"/>
      <c r="I43" s="1156">
        <f t="shared" ref="I43" si="3">SUM(E43:H43)</f>
        <v>0.15725</v>
      </c>
      <c r="J43" s="660"/>
      <c r="M43" s="468"/>
      <c r="N43" s="468"/>
    </row>
    <row r="44" spans="1:14" s="426" customFormat="1" ht="15" customHeight="1">
      <c r="B44" s="476"/>
      <c r="C44" s="1153" t="str">
        <f>IF(Indice_index!$Z$1=1,"Apoios ao setor das pescas","Benefits to fisheries sector")</f>
        <v>Apoios ao setor das pescas</v>
      </c>
      <c r="D44" s="1153" t="str">
        <f>IF(Indice_index!$Z$1=1,"D.04 - Transf. Correntes","D.04 - Current transfers")</f>
        <v>D.04 - Transf. Correntes</v>
      </c>
      <c r="E44" s="1137">
        <v>0.10065001999999999</v>
      </c>
      <c r="F44" s="1137"/>
      <c r="G44" s="1137"/>
      <c r="H44" s="1137"/>
      <c r="I44" s="1156">
        <f t="shared" ref="I44" si="4">SUM(E44:H44)</f>
        <v>0.10065001999999999</v>
      </c>
      <c r="J44" s="659"/>
      <c r="M44" s="459"/>
      <c r="N44" s="459"/>
    </row>
    <row r="45" spans="1:14" ht="15" customHeight="1">
      <c r="A45" s="426"/>
      <c r="B45" s="476"/>
      <c r="C45" s="1153" t="str">
        <f>IF(Indice_index!$Z$1=1,"Apoios a setores de produção agrícola","Benefits to agricultural production sectors")</f>
        <v>Apoios a setores de produção agrícola</v>
      </c>
      <c r="D45" s="1153" t="str">
        <f>IF(Indice_index!$Z$1=1,"D.04 - Transf. Correntes","D.04 - Current transfers")</f>
        <v>D.04 - Transf. Correntes</v>
      </c>
      <c r="E45" s="1137">
        <v>8.2524270000000011E-2</v>
      </c>
      <c r="F45" s="1137"/>
      <c r="G45" s="1137"/>
      <c r="H45" s="1137"/>
      <c r="I45" s="1156">
        <f>SUM(E45:H45)</f>
        <v>8.2524270000000011E-2</v>
      </c>
      <c r="J45" s="659"/>
    </row>
    <row r="46" spans="1:14" ht="15" customHeight="1">
      <c r="A46" s="426"/>
      <c r="B46" s="476"/>
      <c r="C46" s="1153" t="str">
        <f>IF(Indice_index!$Z$1=1,"Outros apoios","Other Central Government support expenditure")</f>
        <v>Outros apoios</v>
      </c>
      <c r="D46" s="1153" t="str">
        <f>IF(Indice_index!$Z$1=1,"D.04 - Transf. Correntes","D.04 - Current transfers")</f>
        <v>D.04 - Transf. Correntes</v>
      </c>
      <c r="E46" s="1137">
        <v>3.1936085299999997</v>
      </c>
      <c r="F46" s="1137"/>
      <c r="G46" s="1137">
        <v>13.95259199</v>
      </c>
      <c r="H46" s="1137"/>
      <c r="I46" s="1156">
        <f>SUM(E46:H46)</f>
        <v>17.146200520000001</v>
      </c>
      <c r="J46" s="659"/>
    </row>
    <row r="47" spans="1:14" ht="15" customHeight="1">
      <c r="A47" s="426"/>
      <c r="B47" s="476"/>
      <c r="C47" s="1153" t="str">
        <f>IF(Indice_index!$Z$1=1,"Programa Ativar","ATIVAR.PT Program")</f>
        <v>Programa Ativar</v>
      </c>
      <c r="D47" s="1153" t="str">
        <f>IF(Indice_index!$Z$1=1,"D.05 - Subsídios","D.05 - Subsidies")</f>
        <v>D.05 - Subsídios</v>
      </c>
      <c r="E47" s="1137">
        <v>143.34660425999999</v>
      </c>
      <c r="F47" s="1137"/>
      <c r="G47" s="1137"/>
      <c r="H47" s="1137"/>
      <c r="I47" s="1156">
        <f>SUM(E47:H47)</f>
        <v>143.34660425999999</v>
      </c>
      <c r="J47" s="659"/>
    </row>
    <row r="48" spans="1:14" ht="15" customHeight="1">
      <c r="A48" s="426"/>
      <c r="B48" s="476"/>
      <c r="C48" s="1153" t="str">
        <f>IF(Indice_index!$Z$1=1,"Novo incentivo à normalização da atividade empresarial","New extraordinary incentive to normalization")</f>
        <v>Novo incentivo à normalização da atividade empresarial</v>
      </c>
      <c r="D48" s="1153" t="str">
        <f>IF(Indice_index!$Z$1=1,"D.05 - Subsídios","D.05 - Subsidies")</f>
        <v>D.05 - Subsídios</v>
      </c>
      <c r="E48" s="1137">
        <v>117.56346418000001</v>
      </c>
      <c r="F48" s="1137"/>
      <c r="G48" s="1137"/>
      <c r="H48" s="1137"/>
      <c r="I48" s="1156">
        <f t="shared" si="0"/>
        <v>117.56346418000001</v>
      </c>
      <c r="J48" s="659"/>
      <c r="K48" s="531"/>
    </row>
    <row r="49" spans="1:14" ht="15" customHeight="1">
      <c r="A49" s="426"/>
      <c r="B49" s="476"/>
      <c r="C49" s="1153" t="str">
        <f>+IF(Indice_index!$Z$1=1,"Programa AUTOvoucher","AUTOvoucher Program")</f>
        <v>Programa AUTOvoucher</v>
      </c>
      <c r="D49" s="1153" t="str">
        <f>IF(Indice_index!$Z$1=1,"D.05 - Subsídios","D.05 - Subsidies")</f>
        <v>D.05 - Subsídios</v>
      </c>
      <c r="E49" s="1137">
        <v>30</v>
      </c>
      <c r="F49" s="1137"/>
      <c r="G49" s="1483"/>
      <c r="H49" s="1483"/>
      <c r="I49" s="1156">
        <f t="shared" si="0"/>
        <v>30</v>
      </c>
      <c r="J49" s="659"/>
    </row>
    <row r="50" spans="1:14" ht="15" customHeight="1">
      <c r="A50" s="426"/>
      <c r="B50" s="476"/>
      <c r="C50" s="1153" t="str">
        <f>IF(Indice_index!$Z$1=1,"Reforço de emergência de equipamentos sociais e de saúde","Emergency reinforcement of social and health facilities")</f>
        <v>Reforço de emergência de equipamentos sociais e de saúde</v>
      </c>
      <c r="D50" s="1153" t="str">
        <f>IF(Indice_index!$Z$1=1,"D.05 - Subsídios","D.05 - Subsidies")</f>
        <v>D.05 - Subsídios</v>
      </c>
      <c r="E50" s="1137">
        <v>9.8619934399999991</v>
      </c>
      <c r="F50" s="1137">
        <v>0.57952155000000005</v>
      </c>
      <c r="G50" s="1137"/>
      <c r="H50" s="1137"/>
      <c r="I50" s="1156">
        <f t="shared" si="0"/>
        <v>10.44151499</v>
      </c>
      <c r="J50" s="659"/>
    </row>
    <row r="51" spans="1:14" ht="15" customHeight="1">
      <c r="A51" s="426"/>
      <c r="B51" s="476"/>
      <c r="C51" s="1153" t="str">
        <f>IF(Indice_index!$Z$1=1,"Apoios ao cinema e audiovisual","Support to cinema and audiovisual activities")</f>
        <v>Apoios ao cinema e audiovisual</v>
      </c>
      <c r="D51" s="1153" t="str">
        <f>IF(Indice_index!$Z$1=1,"D.05 - Subsídios","D.05 - Subsidies")</f>
        <v>D.05 - Subsídios</v>
      </c>
      <c r="E51" s="1137">
        <v>0.58988361999999994</v>
      </c>
      <c r="F51" s="1137"/>
      <c r="G51" s="1137"/>
      <c r="H51" s="1137"/>
      <c r="I51" s="1156">
        <f>SUM(E51:H51)</f>
        <v>0.58988361999999994</v>
      </c>
      <c r="J51" s="659"/>
    </row>
    <row r="52" spans="1:14" ht="15" customHeight="1">
      <c r="A52" s="426"/>
      <c r="B52" s="476"/>
      <c r="C52" s="1153" t="str">
        <f>IF(Indice_index!$Z$1=1,"Incentivo extraordinário à normalização","Extraordinary incentive to normalization")</f>
        <v>Incentivo extraordinário à normalização</v>
      </c>
      <c r="D52" s="1153" t="str">
        <f>IF(Indice_index!$Z$1=1,"D.05 - Subsídios","D.05 - Subsidies")</f>
        <v>D.05 - Subsídios</v>
      </c>
      <c r="E52" s="1137">
        <v>0.40932341</v>
      </c>
      <c r="F52" s="1137"/>
      <c r="G52" s="1137"/>
      <c r="H52" s="1137"/>
      <c r="I52" s="1156">
        <f t="shared" si="0"/>
        <v>0.40932341</v>
      </c>
      <c r="J52" s="659"/>
    </row>
    <row r="53" spans="1:14" ht="15" customHeight="1">
      <c r="A53" s="426"/>
      <c r="B53" s="476"/>
      <c r="C53" s="1153" t="str">
        <f>IF(Indice_index!$Z$1=1,"Outros apoios a empresas","Other benefits to companies")</f>
        <v>Outros apoios a empresas</v>
      </c>
      <c r="D53" s="1153" t="str">
        <f>IF(Indice_index!$Z$1=1,"D.05 - Subsídios","D.05 - Subsidies")</f>
        <v>D.05 - Subsídios</v>
      </c>
      <c r="E53" s="1137">
        <v>2.3720000000000001E-2</v>
      </c>
      <c r="F53" s="1137"/>
      <c r="G53" s="1137">
        <v>3.52350275</v>
      </c>
      <c r="H53" s="1137">
        <v>3.7496819100000005</v>
      </c>
      <c r="I53" s="1156">
        <f t="shared" si="0"/>
        <v>7.2969046600000009</v>
      </c>
      <c r="J53" s="659"/>
    </row>
    <row r="54" spans="1:14" ht="15" customHeight="1">
      <c r="A54" s="426"/>
      <c r="B54" s="476"/>
      <c r="C54" s="1153" t="str">
        <f>IF(Indice_index!$Z$1=1,"Outros encargos","Other charges")</f>
        <v>Outros encargos</v>
      </c>
      <c r="D54" s="1153" t="str">
        <f>IF(Indice_index!$Z$1=1,"D.06/D.11 - Otr. Desp. Correntes/Capital","D.06 - Other current/capital expenditure")</f>
        <v>D.06/D.11 - Otr. Desp. Correntes/Capital</v>
      </c>
      <c r="E54" s="1137">
        <v>2.8578468900000003</v>
      </c>
      <c r="F54" s="1137"/>
      <c r="G54" s="1483">
        <v>0</v>
      </c>
      <c r="H54" s="1483">
        <v>4.8554368699999992</v>
      </c>
      <c r="I54" s="1156">
        <f t="shared" si="0"/>
        <v>7.7132837599999995</v>
      </c>
      <c r="J54" s="659"/>
    </row>
    <row r="55" spans="1:14" ht="15" customHeight="1">
      <c r="A55" s="426"/>
      <c r="B55" s="476"/>
      <c r="C55" s="1153" t="str">
        <f>IF(Indice_index!$Z$1=1,"Universalização da escola digital","Universalization of the digital school")</f>
        <v>Universalização da escola digital</v>
      </c>
      <c r="D55" s="1153" t="str">
        <f>IF(Indice_index!$Z$1=1,"D.07 - Aq. Bens de Capital","D.07 - Investment")</f>
        <v>D.07 - Aq. Bens de Capital</v>
      </c>
      <c r="E55" s="1137">
        <v>201.25231152000001</v>
      </c>
      <c r="F55" s="1137"/>
      <c r="G55" s="1137">
        <v>0</v>
      </c>
      <c r="H55" s="1137"/>
      <c r="I55" s="1156">
        <f>SUM(E55:H55)</f>
        <v>201.25231152000001</v>
      </c>
      <c r="J55" s="659"/>
    </row>
    <row r="56" spans="1:14" ht="15" customHeight="1">
      <c r="A56" s="426"/>
      <c r="B56" s="476"/>
      <c r="C56" s="1153" t="str">
        <f>IF(Indice_index!$Z$1=1,"Saúde: equipamentos e outros","Health: equipment and others")</f>
        <v>Saúde: equipamentos e outros</v>
      </c>
      <c r="D56" s="1153" t="str">
        <f>IF(Indice_index!$Z$1=1,"D.07 - Aq. Bens de Capital","D.07 - Investment")</f>
        <v>D.07 - Aq. Bens de Capital</v>
      </c>
      <c r="E56" s="1137">
        <v>5.9544924999999997</v>
      </c>
      <c r="F56" s="1137"/>
      <c r="G56" s="1137">
        <v>0.52228638999999999</v>
      </c>
      <c r="H56" s="1137"/>
      <c r="I56" s="1156">
        <f t="shared" si="0"/>
        <v>6.4767788899999994</v>
      </c>
      <c r="J56" s="659"/>
    </row>
    <row r="57" spans="1:14" ht="15" customHeight="1">
      <c r="A57" s="426"/>
      <c r="B57" s="476"/>
      <c r="C57" s="1153" t="str">
        <f>IF(Indice_index!$Z$1=1,"Apoio ao teletrabalho","Support to teleworking")</f>
        <v>Apoio ao teletrabalho</v>
      </c>
      <c r="D57" s="1153" t="str">
        <f>IF(Indice_index!$Z$1=1,"D.07 - Aq. Bens de Capital","D.07 - Investment")</f>
        <v>D.07 - Aq. Bens de Capital</v>
      </c>
      <c r="E57" s="1137">
        <v>4.8795363399999996</v>
      </c>
      <c r="F57" s="1137"/>
      <c r="G57" s="1137">
        <v>0</v>
      </c>
      <c r="H57" s="1137"/>
      <c r="I57" s="1156">
        <f t="shared" si="0"/>
        <v>4.8795363399999996</v>
      </c>
      <c r="J57" s="659"/>
    </row>
    <row r="58" spans="1:14" ht="15" customHeight="1">
      <c r="A58" s="426"/>
      <c r="B58" s="476"/>
      <c r="C58" s="1153" t="str">
        <f>IF(Indice_index!$Z$1=1,"Outros equipamentos","Other equipment")</f>
        <v>Outros equipamentos</v>
      </c>
      <c r="D58" s="1153" t="str">
        <f>IF(Indice_index!$Z$1=1,"D.07 - Aq. Bens de Capital","D.07 - Investment")</f>
        <v>D.07 - Aq. Bens de Capital</v>
      </c>
      <c r="E58" s="1137">
        <v>12.995582050000003</v>
      </c>
      <c r="F58" s="1137"/>
      <c r="G58" s="1137">
        <v>8.0075599999999997E-2</v>
      </c>
      <c r="H58" s="1137">
        <v>1.0680447500000005</v>
      </c>
      <c r="I58" s="1156">
        <f t="shared" si="0"/>
        <v>14.143702400000004</v>
      </c>
      <c r="J58" s="659"/>
    </row>
    <row r="59" spans="1:14" ht="15" customHeight="1">
      <c r="A59" s="426"/>
      <c r="B59" s="476"/>
      <c r="C59" s="1153" t="str">
        <f>IF(Indice_index!$Z$1=1,"Linha Invest RAM","Invest RAM Line")</f>
        <v>Linha Invest RAM</v>
      </c>
      <c r="D59" s="1153" t="str">
        <f>IF(Indice_index!$Z$1=1,"D.08 - Transf. Capital","D.08 - Capital transfers")</f>
        <v>D.08 - Transf. Capital</v>
      </c>
      <c r="E59" s="1137">
        <v>0</v>
      </c>
      <c r="F59" s="1137"/>
      <c r="G59" s="1137">
        <v>27.345149249999999</v>
      </c>
      <c r="H59" s="1137"/>
      <c r="I59" s="1156">
        <f>SUM(E59:H59)</f>
        <v>27.345149249999999</v>
      </c>
      <c r="J59" s="659"/>
    </row>
    <row r="60" spans="1:14" ht="15" customHeight="1">
      <c r="A60" s="426"/>
      <c r="B60" s="476"/>
      <c r="C60" s="1153" t="str">
        <f>IF(Indice_index!$Z$1=1,"Programa Apoiar.PT - apoios à economia","Apoiar.PT Program - support to economic activity")</f>
        <v>Programa Apoiar.PT - apoios à economia</v>
      </c>
      <c r="D60" s="1153" t="str">
        <f>IF(Indice_index!$Z$1=1,"D.08 - Transf. Capital","D.08 - Capital transfers")</f>
        <v>D.08 - Transf. Capital</v>
      </c>
      <c r="E60" s="1137">
        <v>0.68706005000000003</v>
      </c>
      <c r="F60" s="1137"/>
      <c r="G60" s="1137">
        <v>8.66662672</v>
      </c>
      <c r="H60" s="1137"/>
      <c r="I60" s="1156">
        <f>SUM(E60:H60)</f>
        <v>9.3536867699999995</v>
      </c>
      <c r="J60" s="659"/>
    </row>
    <row r="61" spans="1:14" ht="15" customHeight="1">
      <c r="A61" s="426"/>
      <c r="B61" s="476"/>
      <c r="C61" s="1153" t="str">
        <f>IF(Indice_index!$Z$1=1,"Programa Adaptar Turismo","Adaptar Program")</f>
        <v>Programa Adaptar Turismo</v>
      </c>
      <c r="D61" s="1153" t="str">
        <f>IF(Indice_index!$Z$1=1,"D.08 - Transf. Capital","D.08 - Capital transfers")</f>
        <v>D.08 - Transf. Capital</v>
      </c>
      <c r="E61" s="1137">
        <v>2.6303621699999997</v>
      </c>
      <c r="F61" s="1137"/>
      <c r="G61" s="1137">
        <v>0</v>
      </c>
      <c r="H61" s="1137"/>
      <c r="I61" s="1156">
        <f t="shared" si="0"/>
        <v>2.6303621699999997</v>
      </c>
      <c r="J61" s="659"/>
    </row>
    <row r="62" spans="1:14" ht="15" customHeight="1">
      <c r="A62" s="426"/>
      <c r="B62" s="476"/>
      <c r="C62" s="1153" t="str">
        <f>IF(Indice_index!$Z$1=1,"Programa Adaptar","Adaptar Program")</f>
        <v>Programa Adaptar</v>
      </c>
      <c r="D62" s="1153" t="str">
        <f>IF(Indice_index!$Z$1=1,"D.08 - Transf. Capital","D.08 - Capital transfers")</f>
        <v>D.08 - Transf. Capital</v>
      </c>
      <c r="E62" s="1137">
        <v>2.9620859999999999E-2</v>
      </c>
      <c r="F62" s="1137"/>
      <c r="G62" s="1137">
        <v>0.17903351000000001</v>
      </c>
      <c r="H62" s="1137"/>
      <c r="I62" s="1156">
        <f t="shared" si="0"/>
        <v>0.20865437000000001</v>
      </c>
      <c r="J62" s="659"/>
    </row>
    <row r="63" spans="1:14" ht="15" customHeight="1">
      <c r="A63" s="426"/>
      <c r="B63" s="476"/>
      <c r="C63" s="1153" t="str">
        <f>IF(Indice_index!$Z$1=1,"Programa Apoiar Rendas","Apoiar rentals Program")</f>
        <v>Programa Apoiar Rendas</v>
      </c>
      <c r="D63" s="1153" t="str">
        <f>IF(Indice_index!$Z$1=1,"D.08 - Transf. Capital","D.08 - Capital transfers")</f>
        <v>D.08 - Transf. Capital</v>
      </c>
      <c r="E63" s="1137">
        <v>2.3779359999999999E-2</v>
      </c>
      <c r="F63" s="1137"/>
      <c r="G63" s="1137">
        <v>0</v>
      </c>
      <c r="H63" s="1137"/>
      <c r="I63" s="1156">
        <f t="shared" si="0"/>
        <v>2.3779359999999999E-2</v>
      </c>
      <c r="J63" s="659"/>
    </row>
    <row r="64" spans="1:14" s="426" customFormat="1" ht="15" customHeight="1">
      <c r="B64" s="476"/>
      <c r="C64" s="1153" t="str">
        <f>IF(Indice_index!$Z$1=1,"Outros apoios","Other benefits")</f>
        <v>Outros apoios</v>
      </c>
      <c r="D64" s="1153" t="str">
        <f>IF(Indice_index!$Z$1=1,"D.08 - Transf. Capital","D.08 - Capital transfers")</f>
        <v>D.08 - Transf. Capital</v>
      </c>
      <c r="E64" s="1137">
        <v>0.12123645999999999</v>
      </c>
      <c r="F64" s="1137"/>
      <c r="G64" s="1137">
        <v>11.290029369999999</v>
      </c>
      <c r="H64" s="1137">
        <v>1.3292099900000001</v>
      </c>
      <c r="I64" s="1156">
        <f t="shared" si="0"/>
        <v>12.74047582</v>
      </c>
      <c r="J64" s="659"/>
      <c r="L64" s="444"/>
      <c r="M64" s="459"/>
      <c r="N64" s="459"/>
    </row>
    <row r="65" spans="1:11" ht="4.5" customHeight="1">
      <c r="A65" s="426"/>
      <c r="B65" s="476"/>
      <c r="C65" s="634"/>
      <c r="D65" s="634"/>
      <c r="E65" s="1156"/>
      <c r="F65" s="1156"/>
      <c r="G65" s="1156"/>
      <c r="H65" s="1156"/>
      <c r="I65" s="1156"/>
      <c r="J65" s="659"/>
    </row>
    <row r="66" spans="1:11" ht="15" customHeight="1">
      <c r="A66" s="426"/>
      <c r="B66" s="476"/>
      <c r="C66" s="1237" t="str">
        <f>IF(Indice_index!$Z$1=1,"Total da Despesa efetiva","Total Effective Expenditure")</f>
        <v>Total da Despesa efetiva</v>
      </c>
      <c r="D66" s="1237"/>
      <c r="E66" s="1157">
        <f>SUM(E16:E64)</f>
        <v>1516.4165479199999</v>
      </c>
      <c r="F66" s="1145">
        <f>SUM(F16:F64)</f>
        <v>453.09103961</v>
      </c>
      <c r="G66" s="1145">
        <f>SUM(G16:G64)</f>
        <v>118.73357102999999</v>
      </c>
      <c r="H66" s="1145">
        <f>SUM(H16:H64)</f>
        <v>38.525039758000013</v>
      </c>
      <c r="I66" s="1145">
        <f t="shared" si="0"/>
        <v>2126.7661983179996</v>
      </c>
      <c r="J66" s="659"/>
    </row>
    <row r="67" spans="1:11" ht="6.6" customHeight="1">
      <c r="A67" s="426"/>
      <c r="B67" s="476"/>
      <c r="C67" s="1237"/>
      <c r="D67" s="1237"/>
      <c r="E67" s="1145"/>
      <c r="F67" s="1145"/>
      <c r="G67" s="1145"/>
      <c r="H67" s="1145"/>
      <c r="I67" s="1145"/>
      <c r="J67" s="659"/>
    </row>
    <row r="68" spans="1:11" ht="15" customHeight="1">
      <c r="A68" s="426"/>
      <c r="B68" s="476"/>
      <c r="C68" s="1237" t="str">
        <f>IF(Indice_index!$Z$1=1,"Ativos financeiros","Financial assets")</f>
        <v>Ativos financeiros</v>
      </c>
      <c r="D68" s="1237"/>
      <c r="E68" s="1145">
        <f>E69+E70</f>
        <v>34.731450639999998</v>
      </c>
      <c r="F68" s="1145">
        <f t="shared" ref="F68:H68" si="5">F69+F70</f>
        <v>0</v>
      </c>
      <c r="G68" s="1145">
        <f t="shared" si="5"/>
        <v>0</v>
      </c>
      <c r="H68" s="1145">
        <f t="shared" si="5"/>
        <v>0</v>
      </c>
      <c r="I68" s="1145">
        <f>I69+I70</f>
        <v>34.731450639999998</v>
      </c>
      <c r="J68" s="659"/>
    </row>
    <row r="69" spans="1:11" ht="15" customHeight="1">
      <c r="A69" s="426"/>
      <c r="B69" s="476"/>
      <c r="C69" s="1153" t="str">
        <f>IF(Indice_index!$Z$1=1,"Linha de apoio tesouraria MPE","Treasury support line for SME")</f>
        <v>Linha de apoio tesouraria MPE</v>
      </c>
      <c r="D69" s="1153" t="str">
        <f>IF(Indice_index!$Z$1=1,"D.09 - Ativos financeiros","D.09 - Financial assets")</f>
        <v>D.09 - Ativos financeiros</v>
      </c>
      <c r="E69" s="1137">
        <v>21.73320064</v>
      </c>
      <c r="F69" s="1137">
        <v>0</v>
      </c>
      <c r="G69" s="1137"/>
      <c r="H69" s="1137"/>
      <c r="I69" s="1137">
        <f>SUM(E69:H69)</f>
        <v>21.73320064</v>
      </c>
      <c r="J69" s="659"/>
    </row>
    <row r="70" spans="1:11" ht="15" customHeight="1">
      <c r="A70" s="426"/>
      <c r="B70" s="476"/>
      <c r="C70" s="1153" t="str">
        <f>IF(Indice_index!$Z$1=1,"Linha de apoio ao turismo","Tourism support line")</f>
        <v>Linha de apoio ao turismo</v>
      </c>
      <c r="D70" s="1153" t="str">
        <f>IF(Indice_index!$Z$1=1,"D.09 - Ativos financeiros","D.09 - Financial assets")</f>
        <v>D.09 - Ativos financeiros</v>
      </c>
      <c r="E70" s="1137">
        <v>12.998250000000001</v>
      </c>
      <c r="F70" s="1137">
        <v>0</v>
      </c>
      <c r="G70" s="1137"/>
      <c r="H70" s="1137"/>
      <c r="I70" s="1137">
        <f t="shared" ref="I70" si="6">SUM(E70:H70)</f>
        <v>12.998250000000001</v>
      </c>
      <c r="J70" s="659"/>
    </row>
    <row r="71" spans="1:11" ht="15" customHeight="1">
      <c r="A71" s="426"/>
      <c r="B71" s="476"/>
      <c r="C71" s="1237" t="str">
        <f>IF(Indice_index!$Z$1=1,"Total da Despesa Orçamental","Total Expenditure")</f>
        <v>Total da Despesa Orçamental</v>
      </c>
      <c r="D71" s="1237"/>
      <c r="E71" s="1145">
        <f>+E66+E68</f>
        <v>1551.1479985599999</v>
      </c>
      <c r="F71" s="1145">
        <f t="shared" ref="F71:I71" si="7">+F66+F68</f>
        <v>453.09103961</v>
      </c>
      <c r="G71" s="1145">
        <f t="shared" si="7"/>
        <v>118.73357102999999</v>
      </c>
      <c r="H71" s="1145">
        <f t="shared" si="7"/>
        <v>38.525039758000013</v>
      </c>
      <c r="I71" s="1145">
        <f t="shared" si="7"/>
        <v>2161.4976489579994</v>
      </c>
      <c r="J71" s="659"/>
    </row>
    <row r="72" spans="1:11" ht="6.6" customHeight="1">
      <c r="A72" s="426"/>
      <c r="B72" s="476"/>
      <c r="C72" s="634"/>
      <c r="D72" s="634"/>
      <c r="E72" s="635"/>
      <c r="F72" s="635"/>
      <c r="G72" s="635"/>
      <c r="H72" s="635"/>
      <c r="I72" s="635"/>
      <c r="J72" s="659"/>
    </row>
    <row r="73" spans="1:11" ht="15" customHeight="1">
      <c r="A73" s="426"/>
      <c r="B73" s="476"/>
      <c r="C73" s="1237" t="str">
        <f>IF(Indice_index!$Z$1=1,"Operações Extra-orçamentais","Extra-budgetary operations")</f>
        <v>Operações Extra-orçamentais</v>
      </c>
      <c r="D73" s="1237"/>
      <c r="E73" s="1145"/>
      <c r="F73" s="1145"/>
      <c r="G73" s="1145"/>
      <c r="H73" s="1145"/>
      <c r="I73" s="1145"/>
      <c r="J73" s="659"/>
      <c r="K73" s="470"/>
    </row>
    <row r="74" spans="1:11" ht="15" customHeight="1">
      <c r="A74" s="426"/>
      <c r="B74" s="476"/>
      <c r="C74" s="1153" t="str">
        <f>IF(Indice_index!$Z$1=1,"Programa Apoiar.PT - apoios à economia","Apoiar.PT Program - support to economic activity")</f>
        <v>Programa Apoiar.PT - apoios à economia</v>
      </c>
      <c r="D74" s="1153" t="str">
        <f>IF(Indice_index!$Z$1=1,"D.12 - Operações extra-orçamentais","D.12 - Extra-budgetary operations")</f>
        <v>D.12 - Operações extra-orçamentais</v>
      </c>
      <c r="E74" s="1137">
        <v>31.944338420000001</v>
      </c>
      <c r="F74" s="1137">
        <v>0</v>
      </c>
      <c r="G74" s="1156"/>
      <c r="H74" s="1156"/>
      <c r="I74" s="1156">
        <f t="shared" ref="I74:I80" si="8">SUM(E74:H74)</f>
        <v>31.944338420000001</v>
      </c>
      <c r="J74" s="659"/>
    </row>
    <row r="75" spans="1:11" ht="15" customHeight="1">
      <c r="A75" s="426"/>
      <c r="B75" s="476"/>
      <c r="C75" s="1153" t="str">
        <f>IF(Indice_index!$Z$1=1,"Linha de apoio à economia","Economy support line")</f>
        <v>Linha de apoio à economia</v>
      </c>
      <c r="D75" s="1154" t="str">
        <f>IF(Indice_index!$Z$1=1,"D.12 - Operações extra-orçamentais","D.12 - Extra-budgetary operations")</f>
        <v>D.12 - Operações extra-orçamentais</v>
      </c>
      <c r="E75" s="1137">
        <v>8.27281479</v>
      </c>
      <c r="F75" s="1137">
        <v>0</v>
      </c>
      <c r="G75" s="1156"/>
      <c r="H75" s="1156"/>
      <c r="I75" s="1156">
        <f t="shared" si="8"/>
        <v>8.27281479</v>
      </c>
      <c r="J75" s="659"/>
    </row>
    <row r="76" spans="1:11" ht="15" customHeight="1">
      <c r="A76" s="426"/>
      <c r="B76" s="476"/>
      <c r="C76" s="1153" t="str">
        <f>IF(Indice_index!$Z$1=1,"Programa Garantir Cultura","Guarantee Culture Program")</f>
        <v>Programa Garantir Cultura</v>
      </c>
      <c r="D76" s="1154" t="str">
        <f>IF(Indice_index!$Z$1=1,"D.12 - Operações extra-orçamentais","D.12 - Extra-budgetary operations")</f>
        <v>D.12 - Operações extra-orçamentais</v>
      </c>
      <c r="E76" s="1137">
        <v>3.9871264900000001</v>
      </c>
      <c r="F76" s="1137">
        <v>0</v>
      </c>
      <c r="G76" s="1156"/>
      <c r="H76" s="1156"/>
      <c r="I76" s="1156">
        <f>SUM(E76:H76)</f>
        <v>3.9871264900000001</v>
      </c>
      <c r="J76" s="659"/>
    </row>
    <row r="77" spans="1:11" ht="15" customHeight="1">
      <c r="A77" s="426"/>
      <c r="B77" s="476"/>
      <c r="C77" s="1153" t="str">
        <f>IF(Indice_index!$Z$1=1,"Programa Apoiar Rendas","Apoiar rentals Program")</f>
        <v>Programa Apoiar Rendas</v>
      </c>
      <c r="D77" s="1154" t="str">
        <f>IF(Indice_index!$Z$1=1,"D.12 - Operações extra-orçamentais","D.12 - Extra-budgetary operations")</f>
        <v>D.12 - Operações extra-orçamentais</v>
      </c>
      <c r="E77" s="1137">
        <v>1.64646081</v>
      </c>
      <c r="F77" s="1137">
        <v>0</v>
      </c>
      <c r="G77" s="1156"/>
      <c r="H77" s="1156"/>
      <c r="I77" s="1156">
        <f>SUM(E77:H77)</f>
        <v>1.64646081</v>
      </c>
      <c r="J77" s="659"/>
    </row>
    <row r="78" spans="1:11" ht="15" customHeight="1">
      <c r="A78" s="426"/>
      <c r="B78" s="476"/>
      <c r="C78" s="1153" t="str">
        <f>IF(Indice_index!$Z$1=1,"Programa Adaptar","Adaptar Program")</f>
        <v>Programa Adaptar</v>
      </c>
      <c r="D78" s="1154" t="str">
        <f>IF(Indice_index!$Z$1=1,"D.12 - Operações extra-orçamentais","D.12 - Extra-budgetary operations")</f>
        <v>D.12 - Operações extra-orçamentais</v>
      </c>
      <c r="E78" s="1137">
        <v>1.4758591799999998</v>
      </c>
      <c r="F78" s="1137">
        <v>0</v>
      </c>
      <c r="G78" s="1156"/>
      <c r="H78" s="1156"/>
      <c r="I78" s="1156">
        <f>SUM(E78:H78)</f>
        <v>1.4758591799999998</v>
      </c>
      <c r="J78" s="659"/>
    </row>
    <row r="79" spans="1:11" ht="15" customHeight="1">
      <c r="A79" s="426"/>
      <c r="B79" s="476"/>
      <c r="C79" s="1153" t="str">
        <f>IF(Indice_index!$Z$1=1,"Programa Apoiar + Simples","Apoiar + Simplex")</f>
        <v>Programa Apoiar + Simples</v>
      </c>
      <c r="D79" s="1154" t="str">
        <f>IF(Indice_index!$Z$1=1,"D.12 - Operações extra-orçamentais","D.12 - Extra-budgetary operations")</f>
        <v>D.12 - Operações extra-orçamentais</v>
      </c>
      <c r="E79" s="1137">
        <v>0.82755003000000005</v>
      </c>
      <c r="F79" s="1137">
        <v>0</v>
      </c>
      <c r="G79" s="1156"/>
      <c r="H79" s="1156"/>
      <c r="I79" s="1156">
        <f t="shared" si="8"/>
        <v>0.82755003000000005</v>
      </c>
      <c r="J79" s="659"/>
    </row>
    <row r="80" spans="1:11" ht="15" customHeight="1">
      <c r="A80" s="426"/>
      <c r="B80" s="476"/>
      <c r="C80" s="1153" t="str">
        <f>IF(Indice_index!$Z$1=1,"Outros apoios","Other benefits")</f>
        <v>Outros apoios</v>
      </c>
      <c r="D80" s="1154" t="str">
        <f>IF(Indice_index!$Z$1=1,"D.12 - Operações extra-orçamentais","D.12 - Extra-budgetary operations")</f>
        <v>D.12 - Operações extra-orçamentais</v>
      </c>
      <c r="E80" s="1137">
        <v>1.78987495</v>
      </c>
      <c r="F80" s="1137">
        <v>0</v>
      </c>
      <c r="G80" s="1156"/>
      <c r="H80" s="1156"/>
      <c r="I80" s="1156">
        <f t="shared" si="8"/>
        <v>1.78987495</v>
      </c>
      <c r="J80" s="659"/>
    </row>
    <row r="81" spans="1:23" ht="15" customHeight="1">
      <c r="A81" s="426"/>
      <c r="B81" s="476"/>
      <c r="C81" s="1237" t="str">
        <f>IF(Indice_index!$Z$1=1,"Total da Despesa Extra-orçamental","Total Extra-budgetary Expenditure")</f>
        <v>Total da Despesa Extra-orçamental</v>
      </c>
      <c r="D81" s="1237"/>
      <c r="E81" s="1145">
        <f>SUM(E74:E80)</f>
        <v>49.944024669999997</v>
      </c>
      <c r="F81" s="1145">
        <v>0</v>
      </c>
      <c r="G81" s="1145">
        <f>SUM(G74:G80)</f>
        <v>0</v>
      </c>
      <c r="H81" s="1145">
        <f>SUM(H74:H80)</f>
        <v>0</v>
      </c>
      <c r="I81" s="1145">
        <f>SUM(I74:I80)</f>
        <v>49.944024669999997</v>
      </c>
      <c r="J81" s="659"/>
    </row>
    <row r="82" spans="1:23" ht="4.5" customHeight="1">
      <c r="A82" s="426"/>
      <c r="B82" s="426"/>
      <c r="C82" s="1484"/>
      <c r="D82" s="1484"/>
      <c r="E82" s="636"/>
      <c r="F82" s="636"/>
      <c r="G82" s="636"/>
      <c r="H82" s="636"/>
      <c r="I82" s="636"/>
      <c r="J82" s="659"/>
    </row>
    <row r="83" spans="1:23" ht="15" customHeight="1">
      <c r="A83" s="426"/>
      <c r="B83" s="426"/>
      <c r="C83" s="1144" t="str">
        <f>IF(Indice_index!$Z$1=1,"Montante Global de despesa ","Global expenditure amount")</f>
        <v xml:space="preserve">Montante Global de despesa </v>
      </c>
      <c r="D83" s="1237"/>
      <c r="E83" s="1145">
        <f>+E81+E71</f>
        <v>1601.09202323</v>
      </c>
      <c r="F83" s="1145">
        <f>+F81+F71</f>
        <v>453.09103961</v>
      </c>
      <c r="G83" s="1145">
        <f>+G81+G71</f>
        <v>118.73357102999999</v>
      </c>
      <c r="H83" s="1145">
        <f>+H81+H71</f>
        <v>38.525039758000013</v>
      </c>
      <c r="I83" s="1145">
        <f>+I81+I71</f>
        <v>2211.4416736279995</v>
      </c>
      <c r="J83" s="1238"/>
    </row>
    <row r="84" spans="1:23" ht="4.5" customHeight="1">
      <c r="A84" s="426"/>
      <c r="B84" s="426"/>
      <c r="C84" s="1475"/>
      <c r="D84" s="1475"/>
      <c r="E84" s="1485"/>
      <c r="F84" s="1485"/>
      <c r="G84" s="1485"/>
      <c r="H84" s="1485"/>
      <c r="I84" s="1485"/>
      <c r="J84" s="659"/>
    </row>
    <row r="85" spans="1:23" ht="15" customHeight="1">
      <c r="A85" s="426"/>
      <c r="B85" s="426"/>
      <c r="C85" s="1149" t="str">
        <f>IF(Indice_index!$Z$1=1,"Notas:","Notes:")</f>
        <v>Notas:</v>
      </c>
      <c r="D85" s="1487"/>
      <c r="E85" s="1488"/>
      <c r="F85" s="633"/>
      <c r="G85" s="633"/>
      <c r="H85" s="633"/>
      <c r="I85" s="633"/>
      <c r="J85" s="659"/>
    </row>
    <row r="86" spans="1:23" ht="47.25" customHeight="1">
      <c r="C86" s="1682" t="str">
        <f>IF(Indice_index!$Z$1=1,"A execução da despesa decorre dos sistemas de execução e de reporte da execução das entidades (registado nas Medidas 095 - 'Contingência COVID-2019 - prevenção, contenção, mitigação e tratamento' e 096 - 'Contingência COVID 2019 – garantir normalidade'"&amp;C178,C179)</f>
        <v>A execução da despesa decorre dos sistemas de execução e de reporte da execução das entidades (registado nas Medidas 095 - 'Contingência COVID-2019 - prevenção, contenção, mitigação e tratamento' e 096 - 'Contingência COVID 2019 – garantir normalidade', criadas pela Circular Série A n.º 1398 da DGO, as Medidas 097 - 'Programa Ativar' e 098 - 'Incentivo Extraordinário à Normalização', criadas com a Lei n.º 27-A/2020, de 24 de julho, a Medida 099 - 'Universalização da Escola Digital', criada com a Lei nº75-B/2020, de 31 de dezembro) e Medida 102 - "Plano de Recuperação e Resiliência" prevista na Portaria n.º 48/2021, de 4 de março).</v>
      </c>
      <c r="D86" s="1682"/>
      <c r="E86" s="1682"/>
      <c r="F86" s="1682"/>
      <c r="G86" s="1682"/>
      <c r="H86" s="1682"/>
      <c r="I86" s="1682"/>
    </row>
    <row r="87" spans="1:23" ht="15" customHeight="1">
      <c r="C87" s="1683" t="str">
        <f>IF(Indice_index!$Z$1=1,"Os valores apresentados nas colunas dos diversos subsetores encontram-se expurgados dos montantes consolidados no âmbito das Administrações Públicas.","The amounts presented in column (for each of the General Government' sub-sectors exclude the consolidation amounts within the scope of General Government.")</f>
        <v>Os valores apresentados nas colunas dos diversos subsetores encontram-se expurgados dos montantes consolidados no âmbito das Administrações Públicas.</v>
      </c>
      <c r="D87" s="1683" t="str">
        <f>IF(Indice_index!$Z$1=1,"Os valores apresentados nas colunas dos diversos subsetores encontram-se expurgados dos montantes consolidados no âmbito das Administrações Públicas.","The amounts presented in column (for each of the General Government' sub-sectors exclude the consolidation amounts within the scope of General Government.")</f>
        <v>Os valores apresentados nas colunas dos diversos subsetores encontram-se expurgados dos montantes consolidados no âmbito das Administrações Públicas.</v>
      </c>
      <c r="E87" s="1683" t="str">
        <f>IF(Indice_index!$Z$1=1,"Os valores apresentados nas colunas dos diversos subsetores encontram-se expurgados dos montantes consolidados no âmbito das Administrações Públicas.","The amounts presented in column (for each of the General Government' sub-sectors exclude the consolidation amounts within the scope of General Government.")</f>
        <v>Os valores apresentados nas colunas dos diversos subsetores encontram-se expurgados dos montantes consolidados no âmbito das Administrações Públicas.</v>
      </c>
      <c r="F87" s="1683" t="str">
        <f>IF(Indice_index!$Z$1=1,"Os valores apresentados nas colunas dos diversos subsetores encontram-se expurgados dos montantes consolidados no âmbito das Administrações Públicas.","The amounts presented in column (for each of the General Government' sub-sectors exclude the consolidation amounts within the scope of General Government.")</f>
        <v>Os valores apresentados nas colunas dos diversos subsetores encontram-se expurgados dos montantes consolidados no âmbito das Administrações Públicas.</v>
      </c>
      <c r="G87" s="1683" t="str">
        <f>IF(Indice_index!$Z$1=1,"Os valores apresentados nas colunas dos diversos subsetores encontram-se expurgados dos montantes consolidados no âmbito das Administrações Públicas.","The amounts presented in column (for each of the General Government' sub-sectors exclude the consolidation amounts within the scope of General Government.")</f>
        <v>Os valores apresentados nas colunas dos diversos subsetores encontram-se expurgados dos montantes consolidados no âmbito das Administrações Públicas.</v>
      </c>
      <c r="H87" s="1683" t="str">
        <f>IF(Indice_index!$Z$1=1,"Os valores apresentados nas colunas dos diversos subsetores encontram-se expurgados dos montantes consolidados no âmbito das Administrações Públicas.","The amounts presented in column (for each of the General Government' sub-sectors exclude the consolidation amounts within the scope of General Government.")</f>
        <v>Os valores apresentados nas colunas dos diversos subsetores encontram-se expurgados dos montantes consolidados no âmbito das Administrações Públicas.</v>
      </c>
      <c r="I87" s="1683" t="str">
        <f>IF(Indice_index!$Z$1=1,"Os valores apresentados nas colunas dos diversos subsetores encontram-se expurgados dos montantes consolidados no âmbito das Administrações Públicas.","The amounts presented in column (for each of the General Government' sub-sectors exclude the consolidation amounts within the scope of General Government.")</f>
        <v>Os valores apresentados nas colunas dos diversos subsetores encontram-se expurgados dos montantes consolidados no âmbito das Administrações Públicas.</v>
      </c>
    </row>
    <row r="88" spans="1:23" ht="25.35" customHeight="1">
      <c r="C88" s="1682" t="str">
        <f>IF(Indice_index!$Z$1=1,"A informação da Segurança Social compreende a execução associada aos subsistemas de Solidariedade, Proteção Familiar, Previdencial e Ação Social, bem como outras despesas realizadas pelas instituições integradas neste setor.","The Social Security information comprises the execution associated with the Solidarity, Family Protection, Social Security and Social Action subsystems, as well as other expenditure incurred by the institutions belonging to this sector.")</f>
        <v>A informação da Segurança Social compreende a execução associada aos subsistemas de Solidariedade, Proteção Familiar, Previdencial e Ação Social, bem como outras despesas realizadas pelas instituições integradas neste setor.</v>
      </c>
      <c r="D88" s="1682" t="str">
        <f>IF(Indice_index!$Z$1=1,"O valor do impacto orçamental da medida de isenção de pagamento da Taxa Social Única consiste numa estimativa apurada pelo Instituto de Gestão Financeira da Segurança Social, I.P..","The value of the budgetary impact of the measure 'Exemption from payment of the social security contributions' consists of an estimate calculated by the Social Security Financial Management Institute, I.P ..")</f>
        <v>O valor do impacto orçamental da medida de isenção de pagamento da Taxa Social Única consiste numa estimativa apurada pelo Instituto de Gestão Financeira da Segurança Social, I.P..</v>
      </c>
      <c r="E88" s="1682" t="str">
        <f>IF(Indice_index!$Z$1=1,"O valor do impacto orçamental da medida de isenção de pagamento da Taxa Social Única consiste numa estimativa apurada pelo Instituto de Gestão Financeira da Segurança Social, I.P..","The value of the budgetary impact of the measure 'Exemption from payment of the social security contributions' consists of an estimate calculated by the Social Security Financial Management Institute, I.P ..")</f>
        <v>O valor do impacto orçamental da medida de isenção de pagamento da Taxa Social Única consiste numa estimativa apurada pelo Instituto de Gestão Financeira da Segurança Social, I.P..</v>
      </c>
      <c r="F88" s="1682" t="str">
        <f>IF(Indice_index!$Z$1=1,"O valor do impacto orçamental da medida de isenção de pagamento da Taxa Social Única consiste numa estimativa apurada pelo Instituto de Gestão Financeira da Segurança Social, I.P..","The value of the budgetary impact of the measure 'Exemption from payment of the social security contributions' consists of an estimate calculated by the Social Security Financial Management Institute, I.P ..")</f>
        <v>O valor do impacto orçamental da medida de isenção de pagamento da Taxa Social Única consiste numa estimativa apurada pelo Instituto de Gestão Financeira da Segurança Social, I.P..</v>
      </c>
      <c r="G88" s="1682" t="str">
        <f>IF(Indice_index!$Z$1=1,"O valor do impacto orçamental da medida de isenção de pagamento da Taxa Social Única consiste numa estimativa apurada pelo Instituto de Gestão Financeira da Segurança Social, I.P..","The value of the budgetary impact of the measure 'Exemption from payment of the social security contributions' consists of an estimate calculated by the Social Security Financial Management Institute, I.P ..")</f>
        <v>O valor do impacto orçamental da medida de isenção de pagamento da Taxa Social Única consiste numa estimativa apurada pelo Instituto de Gestão Financeira da Segurança Social, I.P..</v>
      </c>
      <c r="H88" s="1682" t="str">
        <f>IF(Indice_index!$Z$1=1,"O valor do impacto orçamental da medida de isenção de pagamento da Taxa Social Única consiste numa estimativa apurada pelo Instituto de Gestão Financeira da Segurança Social, I.P..","The value of the budgetary impact of the measure 'Exemption from payment of the social security contributions' consists of an estimate calculated by the Social Security Financial Management Institute, I.P ..")</f>
        <v>O valor do impacto orçamental da medida de isenção de pagamento da Taxa Social Única consiste numa estimativa apurada pelo Instituto de Gestão Financeira da Segurança Social, I.P..</v>
      </c>
      <c r="I88" s="1682" t="str">
        <f>IF(Indice_index!$Z$1=1,"O valor do impacto orçamental da medida de isenção de pagamento da Taxa Social Única consiste numa estimativa apurada pelo Instituto de Gestão Financeira da Segurança Social, I.P..","The value of the budgetary impact of the measure 'Exemption from payment of the social security contributions' consists of an estimate calculated by the Social Security Financial Management Institute, I.P ..")</f>
        <v>O valor do impacto orçamental da medida de isenção de pagamento da Taxa Social Única consiste numa estimativa apurada pelo Instituto de Gestão Financeira da Segurança Social, I.P..</v>
      </c>
    </row>
    <row r="89" spans="1:23" ht="15" customHeight="1">
      <c r="C89" s="1683" t="str">
        <f>IF(Indice_index!$Z$1=1,"Os dados da Administração Regional e Local são provisórios.","Data from regional and local governments are provisional.")</f>
        <v>Os dados da Administração Regional e Local são provisórios.</v>
      </c>
      <c r="D89" s="1683" t="str">
        <f>IF(Indice_index!$Z$1=1,"Os dados da Administração Regional e Local são provisórios.","Data from regional and local governments are provisional.")</f>
        <v>Os dados da Administração Regional e Local são provisórios.</v>
      </c>
      <c r="E89" s="1683" t="str">
        <f>IF(Indice_index!$Z$1=1,"Os dados da Administração Regional e Local são provisórios.","Data from regional and local governments are provisional.")</f>
        <v>Os dados da Administração Regional e Local são provisórios.</v>
      </c>
      <c r="F89" s="1683" t="str">
        <f>IF(Indice_index!$Z$1=1,"Os dados da Administração Regional e Local são provisórios.","Data from regional and local governments are provisional.")</f>
        <v>Os dados da Administração Regional e Local são provisórios.</v>
      </c>
      <c r="G89" s="1683" t="str">
        <f>IF(Indice_index!$Z$1=1,"Os dados da Administração Regional e Local são provisórios.","Data from regional and local governments are provisional.")</f>
        <v>Os dados da Administração Regional e Local são provisórios.</v>
      </c>
      <c r="H89" s="1683" t="str">
        <f>IF(Indice_index!$Z$1=1,"Os dados da Administração Regional e Local são provisórios.","Data from regional and local governments are provisional.")</f>
        <v>Os dados da Administração Regional e Local são provisórios.</v>
      </c>
      <c r="I89" s="1683" t="str">
        <f>IF(Indice_index!$Z$1=1,"Os dados da Administração Regional e Local são provisórios.","Data from regional and local governments are provisional.")</f>
        <v>Os dados da Administração Regional e Local são provisórios.</v>
      </c>
    </row>
    <row r="90" spans="1:23" ht="31.5" customHeight="1">
      <c r="C90" s="1687" t="str">
        <f>IF(Indice_index!$Z$1=1,"O subsector da Administração Local inclui municípios e freguesias (no caso das freguesias o reporte encontra-se suspenso desde junho de 2022).","The Local Administration subsector includes municipalities and parishes (in the case of parishes, reporting has been suspended since June 2022).")</f>
        <v>O subsector da Administração Local inclui municípios e freguesias (no caso das freguesias o reporte encontra-se suspenso desde junho de 2022).</v>
      </c>
      <c r="D90" s="1687"/>
      <c r="E90" s="1687"/>
      <c r="F90" s="1687"/>
      <c r="G90" s="1687"/>
      <c r="H90" s="1687"/>
      <c r="I90" s="1489"/>
    </row>
    <row r="91" spans="1:23" s="426" customFormat="1" ht="4.5" customHeight="1">
      <c r="C91" s="1151"/>
      <c r="D91" s="1151"/>
      <c r="E91" s="1490"/>
      <c r="F91" s="1490"/>
      <c r="G91" s="1490"/>
      <c r="H91" s="1490"/>
      <c r="I91" s="1490"/>
      <c r="J91" s="659"/>
      <c r="M91" s="459"/>
      <c r="N91" s="459"/>
      <c r="P91" s="442"/>
      <c r="Q91" s="442"/>
      <c r="R91" s="442"/>
      <c r="S91" s="442"/>
      <c r="T91" s="442"/>
      <c r="U91" s="442"/>
      <c r="V91" s="442"/>
      <c r="W91" s="442"/>
    </row>
    <row r="92" spans="1:23" s="426" customFormat="1" ht="15" customHeight="1">
      <c r="C92" s="1152" t="str">
        <f>IF(Indice_index!$Z$1=1,"Fonte:","Source:")</f>
        <v>Fonte:</v>
      </c>
      <c r="D92" s="1151"/>
      <c r="E92" s="1490"/>
      <c r="F92" s="1490"/>
      <c r="G92" s="1490"/>
      <c r="H92" s="1490"/>
      <c r="I92" s="1490"/>
      <c r="J92" s="659"/>
      <c r="M92" s="459"/>
      <c r="N92" s="459"/>
      <c r="Q92" s="442"/>
      <c r="S92" s="442"/>
      <c r="U92" s="442"/>
    </row>
    <row r="93" spans="1:23" ht="12.75" customHeight="1">
      <c r="C93" s="1682" t="s">
        <v>68</v>
      </c>
      <c r="D93" s="1682"/>
      <c r="E93" s="1682"/>
      <c r="F93" s="1682"/>
      <c r="G93" s="1682"/>
      <c r="H93" s="1682"/>
      <c r="I93" s="1682"/>
    </row>
    <row r="94" spans="1:23" ht="22.5" customHeight="1">
      <c r="C94" s="1682"/>
      <c r="D94" s="1682"/>
      <c r="E94" s="1682"/>
      <c r="F94" s="1682"/>
      <c r="G94" s="1682"/>
      <c r="H94" s="1682"/>
      <c r="I94" s="1682"/>
    </row>
    <row r="95" spans="1:23">
      <c r="C95" s="634"/>
      <c r="D95" s="634"/>
      <c r="E95" s="635"/>
      <c r="F95" s="635"/>
      <c r="G95" s="635"/>
      <c r="H95" s="635"/>
      <c r="I95" s="635"/>
    </row>
    <row r="96" spans="1:23">
      <c r="C96" s="634"/>
      <c r="D96" s="634"/>
      <c r="E96" s="635"/>
      <c r="F96" s="635"/>
      <c r="G96" s="635"/>
      <c r="H96" s="635"/>
      <c r="I96" s="635"/>
    </row>
    <row r="97" spans="3:9">
      <c r="C97" s="634"/>
      <c r="D97" s="634"/>
      <c r="E97" s="635"/>
      <c r="F97" s="635"/>
      <c r="G97" s="635"/>
      <c r="H97" s="635"/>
      <c r="I97" s="635"/>
    </row>
    <row r="98" spans="3:9">
      <c r="C98" s="634"/>
      <c r="D98" s="634"/>
      <c r="E98" s="635"/>
      <c r="F98" s="635"/>
      <c r="G98" s="635"/>
      <c r="H98" s="635"/>
      <c r="I98" s="635"/>
    </row>
    <row r="99" spans="3:9">
      <c r="C99" s="1685"/>
      <c r="D99" s="1685"/>
      <c r="E99" s="1685"/>
      <c r="F99" s="1685"/>
      <c r="G99" s="1685"/>
      <c r="H99" s="1685"/>
      <c r="I99" s="1685"/>
    </row>
    <row r="100" spans="3:9">
      <c r="C100" s="634"/>
      <c r="D100" s="634"/>
      <c r="E100" s="635"/>
      <c r="F100" s="635"/>
      <c r="G100" s="635"/>
      <c r="H100" s="635"/>
      <c r="I100" s="635"/>
    </row>
    <row r="112" spans="3:9">
      <c r="C112" s="1686"/>
      <c r="D112" s="1686"/>
      <c r="E112" s="1686"/>
      <c r="F112" s="1686"/>
      <c r="G112" s="1686"/>
      <c r="H112" s="1686"/>
      <c r="I112" s="1686"/>
    </row>
    <row r="113" spans="3:3">
      <c r="C113" s="587"/>
    </row>
    <row r="178" spans="3:3">
      <c r="C178" s="588" t="s">
        <v>69</v>
      </c>
    </row>
    <row r="179" spans="3:3">
      <c r="C179" s="588" t="s">
        <v>70</v>
      </c>
    </row>
  </sheetData>
  <mergeCells count="10">
    <mergeCell ref="C2:I2"/>
    <mergeCell ref="C112:I112"/>
    <mergeCell ref="C93:I94"/>
    <mergeCell ref="C89:I89"/>
    <mergeCell ref="C87:I87"/>
    <mergeCell ref="C86:I86"/>
    <mergeCell ref="C88:I88"/>
    <mergeCell ref="C99:I99"/>
    <mergeCell ref="C4:I4"/>
    <mergeCell ref="C90:H90"/>
  </mergeCells>
  <printOptions horizontalCentered="1"/>
  <pageMargins left="0.70866141732283472" right="0.70866141732283472" top="0.74803149606299213" bottom="0.74803149606299213" header="0.74803149606299213" footer="0.35433070866141736"/>
  <pageSetup paperSize="9" scale="50" orientation="portrait" r:id="rId1"/>
  <headerFooter differentOddEven="1">
    <oddFooter>&amp;R&amp;G</oddFooter>
    <evenFooter>&amp;L&amp;G</evenFooter>
  </headerFooter>
  <drawing r:id="rId2"/>
  <legacyDrawingHF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olha9"/>
  <dimension ref="B1:T97"/>
  <sheetViews>
    <sheetView showGridLines="0" zoomScaleNormal="100" zoomScaleSheetLayoutView="100" workbookViewId="0">
      <selection activeCell="B2" sqref="B2"/>
    </sheetView>
  </sheetViews>
  <sheetFormatPr defaultColWidth="9.140625" defaultRowHeight="11.25"/>
  <cols>
    <col min="1" max="1" width="1.140625" style="22" customWidth="1"/>
    <col min="2" max="2" width="4.42578125" style="22" customWidth="1"/>
    <col min="3" max="3" width="36.42578125" style="22" customWidth="1"/>
    <col min="4" max="10" width="9.42578125" style="22" customWidth="1"/>
    <col min="11" max="11" width="8.5703125" style="22" customWidth="1"/>
    <col min="12" max="12" width="8.5703125" style="23" customWidth="1"/>
    <col min="13" max="16" width="8.5703125" style="22" customWidth="1"/>
    <col min="17" max="17" width="7.5703125" style="22" customWidth="1"/>
    <col min="18" max="18" width="12" style="22" bestFit="1" customWidth="1"/>
    <col min="19" max="19" width="7.5703125" style="24" customWidth="1"/>
    <col min="20" max="20" width="9.140625" style="24"/>
    <col min="21" max="16384" width="9.140625" style="22"/>
  </cols>
  <sheetData>
    <row r="1" spans="2:20" ht="15" customHeight="1"/>
    <row r="2" spans="2:20" ht="24" customHeight="1">
      <c r="B2" s="8"/>
      <c r="C2" s="21" t="str">
        <f>IF(Indice_index!$Z$1=1,"5 - Conta Consolidada da Administração Central e Segurança Social","5 - Central Government and Social Security Consolidated Account")</f>
        <v>5 - Conta Consolidada da Administração Central e Segurança Social</v>
      </c>
      <c r="D2" s="21"/>
      <c r="E2" s="21"/>
      <c r="F2" s="21"/>
      <c r="G2" s="21"/>
      <c r="H2" s="21"/>
      <c r="I2" s="21"/>
      <c r="J2" s="21"/>
    </row>
    <row r="3" spans="2:20" ht="15" customHeight="1"/>
    <row r="4" spans="2:20" ht="15" customHeight="1">
      <c r="C4" s="25"/>
      <c r="D4" s="25"/>
      <c r="E4" s="25"/>
      <c r="F4" s="25"/>
      <c r="G4" s="25"/>
      <c r="H4" s="25"/>
      <c r="I4" s="25"/>
      <c r="J4" s="25"/>
    </row>
    <row r="5" spans="2:20" s="260" customFormat="1" ht="15" customHeight="1">
      <c r="C5" s="703" t="str">
        <f>IF(Indice_index!$Z$1=1,"Período: janeiro a julho","Period: January to July")</f>
        <v>Período: janeiro a julho</v>
      </c>
      <c r="D5" s="703"/>
      <c r="E5" s="703"/>
      <c r="F5" s="1165"/>
      <c r="H5" s="1165"/>
      <c r="I5" s="1165"/>
      <c r="J5" s="1166" t="str">
        <f>IF(Indice_index!$Z$1=1,"€ Milhões","€ Millions")</f>
        <v>€ Milhões</v>
      </c>
      <c r="L5" s="261"/>
      <c r="S5" s="262"/>
      <c r="T5" s="262"/>
    </row>
    <row r="6" spans="2:20" ht="35.25" customHeight="1">
      <c r="C6" s="1160"/>
      <c r="D6" s="709" t="str">
        <f>IF(Indice_index!$Z$1=1,"CGE","Final execution")</f>
        <v>CGE</v>
      </c>
      <c r="E6" s="709" t="str">
        <f>IF(Indice_index!$Z$1=1,"Orçamento Inicial","Budget")</f>
        <v>Orçamento Inicial</v>
      </c>
      <c r="F6" s="1688" t="str">
        <f>IF(Indice_index!$Z$1=1,"Execução Acumulada","Accumulated Execution")</f>
        <v>Execução Acumulada</v>
      </c>
      <c r="G6" s="1688"/>
      <c r="H6" s="1167" t="str">
        <f>IF(Indice_index!$Z$1=1,"Grau de Execução (%)","Execution Degree (%)")</f>
        <v>Grau de Execução (%)</v>
      </c>
      <c r="I6" s="1689" t="str">
        <f>IF(Indice_index!$Z$1=1,"Variação Homóloga Acumulada","YOY Change Rate")</f>
        <v>Variação Homóloga Acumulada</v>
      </c>
      <c r="J6" s="1690"/>
    </row>
    <row r="7" spans="2:20" ht="22.5">
      <c r="C7" s="1164"/>
      <c r="D7" s="712" t="s">
        <v>67</v>
      </c>
      <c r="E7" s="712" t="s">
        <v>74</v>
      </c>
      <c r="F7" s="713" t="s">
        <v>67</v>
      </c>
      <c r="G7" s="713" t="s">
        <v>74</v>
      </c>
      <c r="H7" s="1168" t="s">
        <v>74</v>
      </c>
      <c r="I7" s="713" t="str">
        <f>IF(Indice_index!$Z$1=1,"Relativa (%)","Relative change (%)")</f>
        <v>Relativa (%)</v>
      </c>
      <c r="J7" s="715" t="str">
        <f>IF(Indice_index!$Z$1=1,"Contributo VHA (p.p.)","YOY Change Rate Contrib. (p.p.)")</f>
        <v>Contributo VHA (p.p.)</v>
      </c>
    </row>
    <row r="8" spans="2:20" ht="5.25" customHeight="1">
      <c r="C8" s="1169"/>
      <c r="D8" s="1169"/>
      <c r="E8" s="1169"/>
      <c r="F8" s="1170"/>
      <c r="G8" s="1170"/>
      <c r="H8" s="1170"/>
      <c r="I8" s="1170"/>
      <c r="J8" s="1170"/>
    </row>
    <row r="9" spans="2:20" s="260" customFormat="1" ht="15" customHeight="1">
      <c r="C9" s="1171" t="str">
        <f>IF(Indice_index!$Z$1=1,"Receita corrente","Current revenue")</f>
        <v>Receita corrente</v>
      </c>
      <c r="D9" s="1171">
        <f t="shared" ref="D9:E9" si="0">SUM(D11:D14)+D17+D18</f>
        <v>82956.108804729985</v>
      </c>
      <c r="E9" s="1171">
        <f t="shared" si="0"/>
        <v>89669.727382998812</v>
      </c>
      <c r="F9" s="1171">
        <f t="shared" ref="F9:G9" si="1">SUM(F11:F14)+F17+F18</f>
        <v>43480.77413753001</v>
      </c>
      <c r="G9" s="1171">
        <f t="shared" si="1"/>
        <v>50505.921061929992</v>
      </c>
      <c r="H9" s="1172">
        <f>IFERROR(IF(G9/E9*100&lt;-500,"-",IF(G9/E9*100&gt;500,"-",G9/E9*100)),"-")</f>
        <v>56.324383418952841</v>
      </c>
      <c r="I9" s="1172">
        <f>IF(IFERROR((G9-F9)/F9*100,"")&gt;500,"-",IFERROR((G9-F9)/F9*100,""))</f>
        <v>16.156903973649111</v>
      </c>
      <c r="J9" s="1173">
        <f>IFERROR((G9-F9)/$F$27*100,"")</f>
        <v>15.879464120084668</v>
      </c>
      <c r="K9" s="262"/>
      <c r="L9" s="263"/>
      <c r="M9" s="264"/>
      <c r="N9" s="264"/>
      <c r="O9" s="264"/>
      <c r="P9" s="264"/>
      <c r="Q9" s="264"/>
      <c r="R9" s="264"/>
      <c r="S9" s="264"/>
      <c r="T9" s="262"/>
    </row>
    <row r="10" spans="2:20" ht="15" customHeight="1">
      <c r="C10" s="1174" t="str">
        <f>IF(Indice_index!$Z$1=1,"Receita fiscal","Tax")</f>
        <v>Receita fiscal</v>
      </c>
      <c r="D10" s="1158">
        <f t="shared" ref="D10:E10" si="2">+D11+D12</f>
        <v>46371.175763009996</v>
      </c>
      <c r="E10" s="1158">
        <f t="shared" si="2"/>
        <v>49467.141157999999</v>
      </c>
      <c r="F10" s="1158">
        <f t="shared" ref="F10:G10" si="3">+F11+F12</f>
        <v>23588.831930790002</v>
      </c>
      <c r="G10" s="1158">
        <f t="shared" si="3"/>
        <v>28636.618748859997</v>
      </c>
      <c r="H10" s="1175">
        <f>IFERROR(IF(G10/E10*100&lt;-500,"-",IF(G10/E10*100&gt;500,"-",G10/E10*100)),"-")</f>
        <v>57.890183419724025</v>
      </c>
      <c r="I10" s="1175">
        <f>IF(IFERROR((G10-F10)/F10*100,"")&gt;500,"-",IFERROR((G10-F10)/F10*100,""))</f>
        <v>21.399053725425148</v>
      </c>
      <c r="J10" s="1176">
        <f t="shared" ref="J10:J17" si="4">IFERROR((G10-F10)/$F$27*100,"")</f>
        <v>11.409889433767963</v>
      </c>
      <c r="K10" s="24"/>
      <c r="L10" s="26"/>
      <c r="M10" s="26"/>
      <c r="N10" s="27"/>
      <c r="O10" s="27"/>
      <c r="P10" s="27"/>
      <c r="Q10" s="27"/>
      <c r="R10" s="27"/>
      <c r="S10" s="27"/>
    </row>
    <row r="11" spans="2:20" ht="15" customHeight="1">
      <c r="C11" s="1177" t="str">
        <f>IF(Indice_index!$Z$1=1,"Impostos diretos ","Direct taxes")</f>
        <v xml:space="preserve">Impostos diretos </v>
      </c>
      <c r="D11" s="1158">
        <v>19956.944554760001</v>
      </c>
      <c r="E11" s="1158">
        <v>20904.899710000002</v>
      </c>
      <c r="F11" s="1158">
        <v>9499.6362817300014</v>
      </c>
      <c r="G11" s="1158">
        <v>11970.641093509999</v>
      </c>
      <c r="H11" s="1175">
        <f t="shared" ref="H11:H24" si="5">IFERROR(IF(G11/E11*100&lt;-500,"-",IF(G11/E11*100&gt;500,"-",G11/E11*100)),"-")</f>
        <v>57.262370351309364</v>
      </c>
      <c r="I11" s="1175">
        <f>IF(IFERROR((G11-F11)/F11*100,"")&gt;500,"-",IFERROR((G11-F11)/F11*100,""))</f>
        <v>26.011572848660659</v>
      </c>
      <c r="J11" s="1176">
        <f t="shared" si="4"/>
        <v>5.585396671624542</v>
      </c>
      <c r="K11" s="24"/>
      <c r="L11" s="26"/>
      <c r="M11" s="26"/>
      <c r="N11" s="27"/>
      <c r="O11" s="27"/>
      <c r="P11" s="27"/>
      <c r="Q11" s="27"/>
      <c r="R11" s="27"/>
      <c r="S11" s="27"/>
    </row>
    <row r="12" spans="2:20" ht="15" customHeight="1">
      <c r="C12" s="1177" t="str">
        <f>IF(Indice_index!$Z$1=1,"Impostos indiretos","Indirect taxes")</f>
        <v>Impostos indiretos</v>
      </c>
      <c r="D12" s="1158">
        <v>26414.231208249996</v>
      </c>
      <c r="E12" s="1158">
        <v>28562.241448000001</v>
      </c>
      <c r="F12" s="1158">
        <v>14089.195649060001</v>
      </c>
      <c r="G12" s="1158">
        <v>16665.977655349998</v>
      </c>
      <c r="H12" s="1175">
        <f t="shared" si="5"/>
        <v>58.349684094967948</v>
      </c>
      <c r="I12" s="1175">
        <f t="shared" ref="I12:I23" si="6">IF(IFERROR((G12-F12)/F12*100,"")&gt;500,"-",IFERROR((G12-F12)/F12*100,""))</f>
        <v>18.289063978339421</v>
      </c>
      <c r="J12" s="1176">
        <f t="shared" si="4"/>
        <v>5.8244927621434197</v>
      </c>
      <c r="K12" s="24"/>
      <c r="L12" s="26"/>
      <c r="M12" s="26"/>
      <c r="N12" s="27"/>
      <c r="O12" s="27"/>
      <c r="P12" s="27"/>
      <c r="Q12" s="27"/>
      <c r="R12" s="27"/>
      <c r="S12" s="27"/>
    </row>
    <row r="13" spans="2:20" ht="15" customHeight="1">
      <c r="C13" s="1178" t="str">
        <f>IF(Indice_index!$Z$1=1,"Contribuições para Segurança Social, CGA e ADSE","Social security, CGA and ADSE contributions")</f>
        <v>Contribuições para Segurança Social, CGA e ADSE</v>
      </c>
      <c r="D13" s="1158">
        <v>24205.521009029995</v>
      </c>
      <c r="E13" s="1158">
        <v>25361.125842000001</v>
      </c>
      <c r="F13" s="1158">
        <v>13411.437849900001</v>
      </c>
      <c r="G13" s="1158">
        <v>14703.325678369998</v>
      </c>
      <c r="H13" s="1175">
        <f t="shared" si="5"/>
        <v>57.975839755584289</v>
      </c>
      <c r="I13" s="1175">
        <f>IF(IFERROR((G13-F13)/F13*100,"")&gt;500,"-",IFERROR((G13-F13)/F13*100,""))</f>
        <v>9.63273172443348</v>
      </c>
      <c r="J13" s="1176">
        <f t="shared" si="4"/>
        <v>2.9201505164414132</v>
      </c>
      <c r="K13" s="24"/>
      <c r="L13" s="26"/>
      <c r="M13" s="26"/>
      <c r="N13" s="27"/>
      <c r="O13" s="27"/>
      <c r="P13" s="27"/>
      <c r="Q13" s="27"/>
      <c r="R13" s="27"/>
      <c r="S13" s="27"/>
    </row>
    <row r="14" spans="2:20" ht="15" customHeight="1">
      <c r="C14" s="1178" t="str">
        <f>IF(Indice_index!$Z$1=1,"Transferências Correntes","Current transfers")</f>
        <v>Transferências Correntes</v>
      </c>
      <c r="D14" s="1158">
        <f>+D15+D16</f>
        <v>3030.6102374100001</v>
      </c>
      <c r="E14" s="1158">
        <f>+E15+E16</f>
        <v>4871.3390229988308</v>
      </c>
      <c r="F14" s="1158">
        <f>+F15+F16</f>
        <v>1862.6364756300002</v>
      </c>
      <c r="G14" s="1158">
        <f>+G15+G16</f>
        <v>1380.3115931500001</v>
      </c>
      <c r="H14" s="1175">
        <f t="shared" si="5"/>
        <v>28.335362959408037</v>
      </c>
      <c r="I14" s="1175">
        <f>IF(IFERROR((G14-F14)/F14*100,"")&gt;500,"-",IFERROR((G14-F14)/F14*100,""))</f>
        <v>-25.894740535286854</v>
      </c>
      <c r="J14" s="1176">
        <f t="shared" si="4"/>
        <v>-1.0902349442633723</v>
      </c>
      <c r="K14" s="24"/>
      <c r="L14" s="26"/>
      <c r="M14" s="27"/>
      <c r="N14" s="27"/>
      <c r="O14" s="27"/>
      <c r="P14" s="27"/>
      <c r="Q14" s="27"/>
      <c r="R14" s="27"/>
      <c r="S14" s="27"/>
    </row>
    <row r="15" spans="2:20" ht="15" customHeight="1">
      <c r="C15" s="1179" t="str">
        <f>IF(Indice_index!$Z$1=1,"Administrações Públicas","General Government subsectors")</f>
        <v>Administrações Públicas</v>
      </c>
      <c r="D15" s="1158">
        <v>189.88059364999935</v>
      </c>
      <c r="E15" s="1158">
        <v>166.40293599999859</v>
      </c>
      <c r="F15" s="1158">
        <v>93.55114995000001</v>
      </c>
      <c r="G15" s="1158">
        <v>110.57634886</v>
      </c>
      <c r="H15" s="1175">
        <f t="shared" si="5"/>
        <v>66.450960252288411</v>
      </c>
      <c r="I15" s="1175">
        <f>IF(IFERROR((G15-F15)/F15*100,"")&gt;500,"-",IFERROR((G15-F15)/F15*100,""))</f>
        <v>18.198813076161429</v>
      </c>
      <c r="J15" s="1176">
        <f t="shared" si="4"/>
        <v>3.848332826885896E-2</v>
      </c>
      <c r="K15" s="24"/>
      <c r="L15" s="26"/>
      <c r="M15" s="27"/>
      <c r="N15" s="27"/>
      <c r="O15" s="27"/>
      <c r="P15" s="27"/>
      <c r="Q15" s="27"/>
      <c r="R15" s="27"/>
      <c r="S15" s="27"/>
    </row>
    <row r="16" spans="2:20" ht="15" customHeight="1">
      <c r="C16" s="1179" t="str">
        <f>IF(Indice_index!$Z$1=1,"Outras","Others")</f>
        <v>Outras</v>
      </c>
      <c r="D16" s="1158">
        <v>2840.7296437600007</v>
      </c>
      <c r="E16" s="1158">
        <v>4704.9360869988323</v>
      </c>
      <c r="F16" s="1158">
        <v>1769.0853256800001</v>
      </c>
      <c r="G16" s="1158">
        <v>1269.7352442900001</v>
      </c>
      <c r="H16" s="1175">
        <f t="shared" si="5"/>
        <v>26.987300588389807</v>
      </c>
      <c r="I16" s="1175">
        <f>IF(IFERROR((G16-F16)/F16*100,"")&gt;500,"-",IFERROR((G16-F16)/F16*100,""))</f>
        <v>-28.226455453642981</v>
      </c>
      <c r="J16" s="1176">
        <f t="shared" si="4"/>
        <v>-1.1287182725322313</v>
      </c>
      <c r="K16" s="24"/>
      <c r="L16" s="26"/>
      <c r="M16" s="27"/>
      <c r="N16" s="27"/>
      <c r="O16" s="27"/>
      <c r="P16" s="27"/>
      <c r="Q16" s="27"/>
      <c r="R16" s="27"/>
      <c r="S16" s="27"/>
    </row>
    <row r="17" spans="3:20" ht="15" customHeight="1">
      <c r="C17" s="1178" t="str">
        <f>IF(Indice_index!$Z$1=1,"Outras receitas correntes","Other current revenue")</f>
        <v>Outras receitas correntes</v>
      </c>
      <c r="D17" s="1158">
        <v>9308.8380039000003</v>
      </c>
      <c r="E17" s="1158">
        <v>9953.5537159999985</v>
      </c>
      <c r="F17" s="1158">
        <v>4598.9515028299984</v>
      </c>
      <c r="G17" s="1158">
        <v>5682.6546130599991</v>
      </c>
      <c r="H17" s="1175">
        <f t="shared" si="5"/>
        <v>57.091715935840334</v>
      </c>
      <c r="I17" s="1175">
        <f t="shared" si="6"/>
        <v>23.564134337210039</v>
      </c>
      <c r="J17" s="1176">
        <f t="shared" si="4"/>
        <v>2.4495750538614174</v>
      </c>
      <c r="K17" s="24"/>
      <c r="L17" s="26"/>
      <c r="M17" s="27"/>
      <c r="N17" s="27"/>
      <c r="O17" s="27"/>
      <c r="P17" s="27"/>
      <c r="Q17" s="27"/>
      <c r="R17" s="27"/>
      <c r="S17" s="27"/>
    </row>
    <row r="18" spans="3:20" ht="15" customHeight="1">
      <c r="C18" s="1178" t="str">
        <f>IF(Indice_index!$Z$1=1,"Diferenças de consolidação","Consolidation differences")</f>
        <v>Diferenças de consolidação</v>
      </c>
      <c r="D18" s="1158">
        <v>39.963791379997609</v>
      </c>
      <c r="E18" s="1158">
        <v>16.567643999995955</v>
      </c>
      <c r="F18" s="1158">
        <v>18.916378380001198</v>
      </c>
      <c r="G18" s="1158">
        <v>103.01042849000369</v>
      </c>
      <c r="H18" s="1175"/>
      <c r="I18" s="1176"/>
      <c r="J18" s="1176"/>
      <c r="K18" s="24"/>
      <c r="L18" s="26"/>
      <c r="M18" s="27"/>
      <c r="N18" s="27"/>
      <c r="O18" s="27"/>
      <c r="P18" s="27"/>
      <c r="Q18" s="27"/>
      <c r="R18" s="27"/>
      <c r="S18" s="27"/>
    </row>
    <row r="19" spans="3:20" s="265" customFormat="1" ht="15" customHeight="1">
      <c r="C19" s="1171" t="str">
        <f>IF(Indice_index!$Z$1=1,"Receita de capital","Capital revenue")</f>
        <v>Receita de capital</v>
      </c>
      <c r="D19" s="1171">
        <f t="shared" ref="D19:E19" si="7">+D20+D21+D24+D25</f>
        <v>1215.0691603200003</v>
      </c>
      <c r="E19" s="1171">
        <f t="shared" si="7"/>
        <v>3672.4989230000001</v>
      </c>
      <c r="F19" s="1171">
        <f t="shared" ref="F19:G19" si="8">+F20+F21+F24+F25</f>
        <v>759.67926363000004</v>
      </c>
      <c r="G19" s="1171">
        <f t="shared" si="8"/>
        <v>1117.4954667100001</v>
      </c>
      <c r="H19" s="1172">
        <f t="shared" si="5"/>
        <v>30.428748656980886</v>
      </c>
      <c r="I19" s="1172">
        <f>IF(IFERROR((G19-F19)/F19*100,"")&gt;500,"-",IFERROR((G19-F19)/F19*100,""))</f>
        <v>47.100956971003164</v>
      </c>
      <c r="J19" s="1173">
        <f t="shared" ref="J19:J24" si="9">IFERROR((G19-F19)/$F$27*100,"")</f>
        <v>0.80879867987658971</v>
      </c>
      <c r="K19" s="262"/>
      <c r="L19" s="263"/>
      <c r="M19" s="264"/>
      <c r="N19" s="264"/>
      <c r="O19" s="264"/>
      <c r="P19" s="264"/>
      <c r="Q19" s="264"/>
      <c r="R19" s="264"/>
      <c r="S19" s="264"/>
      <c r="T19" s="262"/>
    </row>
    <row r="20" spans="3:20" ht="15" customHeight="1">
      <c r="C20" s="1178" t="str">
        <f>IF(Indice_index!$Z$1=1,"Venda de bens de investimento","Sale of investment goods")</f>
        <v>Venda de bens de investimento</v>
      </c>
      <c r="D20" s="1158">
        <v>155.06244905999998</v>
      </c>
      <c r="E20" s="1158">
        <v>187.87176300000002</v>
      </c>
      <c r="F20" s="1158">
        <v>84.513061280000002</v>
      </c>
      <c r="G20" s="1158">
        <v>84.34784243</v>
      </c>
      <c r="H20" s="1175">
        <f t="shared" si="5"/>
        <v>44.89649805968979</v>
      </c>
      <c r="I20" s="1175">
        <f>IF(IFERROR((G20-F20)/F20*100,"")&gt;500,"-",IFERROR((G20-F20)/F20*100,""))</f>
        <v>-0.19549504833651227</v>
      </c>
      <c r="J20" s="1176">
        <f t="shared" si="9"/>
        <v>-3.7345650258564057E-4</v>
      </c>
      <c r="K20" s="24"/>
      <c r="L20" s="26"/>
      <c r="M20" s="26"/>
      <c r="N20" s="27"/>
      <c r="O20" s="27"/>
      <c r="P20" s="27"/>
      <c r="Q20" s="27"/>
      <c r="R20" s="27"/>
      <c r="S20" s="27"/>
    </row>
    <row r="21" spans="3:20" ht="15" customHeight="1">
      <c r="C21" s="1178" t="str">
        <f>IF(Indice_index!$Z$1=1,"Transferências de Capital","Capital transfers")</f>
        <v>Transferências de Capital</v>
      </c>
      <c r="D21" s="1158">
        <f t="shared" ref="D21:E21" si="10">+D22+D23</f>
        <v>1018.6108192299999</v>
      </c>
      <c r="E21" s="1158">
        <f t="shared" si="10"/>
        <v>3431.2003119999999</v>
      </c>
      <c r="F21" s="1158">
        <f t="shared" ref="F21:G21" si="11">+F22+F23</f>
        <v>659.62457012999994</v>
      </c>
      <c r="G21" s="1158">
        <f t="shared" si="11"/>
        <v>1012.1337357199999</v>
      </c>
      <c r="H21" s="1175">
        <f t="shared" si="5"/>
        <v>29.497949512893374</v>
      </c>
      <c r="I21" s="1175">
        <f>IF(IFERROR((G21-F21)/F21*100,"")&gt;500,"-",IFERROR((G21-F21)/F21*100,""))</f>
        <v>53.440878577419703</v>
      </c>
      <c r="J21" s="1176">
        <f t="shared" si="9"/>
        <v>0.79680278679231842</v>
      </c>
      <c r="K21" s="24"/>
      <c r="L21" s="26"/>
      <c r="M21" s="27"/>
      <c r="N21" s="27"/>
      <c r="O21" s="27"/>
      <c r="P21" s="27"/>
      <c r="Q21" s="27"/>
      <c r="R21" s="27"/>
      <c r="S21" s="27"/>
    </row>
    <row r="22" spans="3:20" ht="15" customHeight="1">
      <c r="C22" s="1179" t="str">
        <f>IF(Indice_index!$Z$1=1,"Administrações Públicas","General Government subsectors")</f>
        <v>Administrações Públicas</v>
      </c>
      <c r="D22" s="1158">
        <v>8.1522407000000001</v>
      </c>
      <c r="E22" s="1158">
        <v>32.726060000000004</v>
      </c>
      <c r="F22" s="1158">
        <v>4.7578759900000005</v>
      </c>
      <c r="G22" s="1158">
        <v>6.9520689500000001</v>
      </c>
      <c r="H22" s="1175">
        <f t="shared" si="5"/>
        <v>21.243220082099707</v>
      </c>
      <c r="I22" s="1175">
        <f>IF(IFERROR((G22-F22)/F22*100,"")&gt;500,"-",IFERROR((G22-F22)/F22*100,""))</f>
        <v>46.11706914202275</v>
      </c>
      <c r="J22" s="1176">
        <f t="shared" si="9"/>
        <v>4.9596981751151466E-3</v>
      </c>
      <c r="K22" s="24"/>
      <c r="L22" s="26"/>
      <c r="M22" s="27"/>
      <c r="N22" s="27"/>
      <c r="O22" s="27"/>
      <c r="P22" s="27"/>
      <c r="Q22" s="27"/>
      <c r="R22" s="27"/>
      <c r="S22" s="27"/>
    </row>
    <row r="23" spans="3:20" ht="15" customHeight="1">
      <c r="C23" s="1179" t="str">
        <f>IF(Indice_index!$Z$1=1,"Outras","Others")</f>
        <v>Outras</v>
      </c>
      <c r="D23" s="1158">
        <v>1010.45857853</v>
      </c>
      <c r="E23" s="1158">
        <v>3398.474252</v>
      </c>
      <c r="F23" s="1158">
        <v>654.86669413999994</v>
      </c>
      <c r="G23" s="1158">
        <v>1005.1816667699999</v>
      </c>
      <c r="H23" s="1175">
        <f t="shared" si="5"/>
        <v>29.577439528295706</v>
      </c>
      <c r="I23" s="1175">
        <f t="shared" si="6"/>
        <v>53.494089066485373</v>
      </c>
      <c r="J23" s="1176">
        <f t="shared" si="9"/>
        <v>0.79184308861720321</v>
      </c>
      <c r="K23" s="24"/>
      <c r="L23" s="26"/>
      <c r="M23" s="27"/>
      <c r="N23" s="27"/>
      <c r="O23" s="27"/>
      <c r="P23" s="27"/>
      <c r="Q23" s="27"/>
      <c r="R23" s="27"/>
      <c r="S23" s="27"/>
    </row>
    <row r="24" spans="3:20" ht="15" customHeight="1">
      <c r="C24" s="1178" t="str">
        <f>IF(Indice_index!$Z$1=1,"Outras receitas de capital","Other capital revenue")</f>
        <v>Outras receitas de capital</v>
      </c>
      <c r="D24" s="1158">
        <v>26.772300769999998</v>
      </c>
      <c r="E24" s="1158">
        <v>44.065900000000006</v>
      </c>
      <c r="F24" s="1158">
        <v>12.893362550000001</v>
      </c>
      <c r="G24" s="1158">
        <v>20.790267579999998</v>
      </c>
      <c r="H24" s="1175">
        <f t="shared" si="5"/>
        <v>47.179945445344352</v>
      </c>
      <c r="I24" s="1175">
        <f>IF(IFERROR((G24-F24)/F24*100,"")&gt;500,"-",IFERROR((G24-F24)/F24*100,""))</f>
        <v>61.247831970721997</v>
      </c>
      <c r="J24" s="1176">
        <f t="shared" si="9"/>
        <v>1.7849964055280082E-2</v>
      </c>
      <c r="K24" s="24"/>
      <c r="L24" s="26"/>
      <c r="M24" s="26"/>
      <c r="N24" s="27"/>
      <c r="O24" s="27"/>
      <c r="P24" s="27"/>
      <c r="Q24" s="27"/>
      <c r="R24" s="27"/>
      <c r="S24" s="27"/>
    </row>
    <row r="25" spans="3:20" ht="15" customHeight="1">
      <c r="C25" s="1178" t="str">
        <f>IF(Indice_index!$Z$1=1,"Diferenças de consolidação","Consolidation differences")</f>
        <v>Diferenças de consolidação</v>
      </c>
      <c r="D25" s="1158">
        <v>14.623591260000369</v>
      </c>
      <c r="E25" s="1158">
        <v>9.3609479999999721</v>
      </c>
      <c r="F25" s="1158">
        <v>2.6482696700000989</v>
      </c>
      <c r="G25" s="1158">
        <v>0.22362098</v>
      </c>
      <c r="H25" s="1176"/>
      <c r="I25" s="1176"/>
      <c r="J25" s="1176"/>
      <c r="K25" s="24"/>
      <c r="L25" s="26"/>
      <c r="M25" s="27"/>
      <c r="N25" s="27"/>
      <c r="O25" s="27"/>
      <c r="P25" s="27"/>
      <c r="Q25" s="27"/>
      <c r="R25" s="27"/>
      <c r="S25" s="27"/>
    </row>
    <row r="26" spans="3:20" ht="5.0999999999999996" customHeight="1">
      <c r="C26" s="1180"/>
      <c r="D26" s="1180"/>
      <c r="E26" s="1180"/>
      <c r="F26" s="1180"/>
      <c r="G26" s="1158"/>
      <c r="H26" s="1176"/>
      <c r="I26" s="1176"/>
      <c r="J26" s="1176"/>
      <c r="K26" s="24"/>
      <c r="L26" s="26"/>
      <c r="M26" s="27"/>
      <c r="N26" s="27"/>
      <c r="O26" s="27"/>
      <c r="P26" s="27"/>
      <c r="Q26" s="27"/>
      <c r="R26" s="27"/>
      <c r="S26" s="27"/>
    </row>
    <row r="27" spans="3:20" s="260" customFormat="1" ht="15" customHeight="1">
      <c r="C27" s="1224" t="str">
        <f>IF(Indice_index!$Z$1=1,"Receita efetiva","Effective revenue")</f>
        <v>Receita efetiva</v>
      </c>
      <c r="D27" s="1224">
        <f>+D9+D19</f>
        <v>84171.177965049981</v>
      </c>
      <c r="E27" s="1224">
        <f>+E9+E19</f>
        <v>93342.226305998818</v>
      </c>
      <c r="F27" s="1224">
        <f>+F9+F19</f>
        <v>44240.453401160012</v>
      </c>
      <c r="G27" s="1224">
        <f>+G9+G19</f>
        <v>51623.416528639995</v>
      </c>
      <c r="H27" s="1225">
        <f>IFERROR(IF(G27/E27*100&lt;-500,"-",IF(G27/E27*100&gt;500,"-",G27/E27*100)),"-")</f>
        <v>55.305533809966903</v>
      </c>
      <c r="I27" s="1225">
        <f>IF(IFERROR((G27-F27)/F27*100,"")&gt;500,"-",IFERROR((G27-F27)/F27*100,""))</f>
        <v>16.688262799961262</v>
      </c>
      <c r="J27" s="1226"/>
      <c r="K27" s="262"/>
      <c r="L27" s="263"/>
      <c r="M27" s="264"/>
      <c r="N27" s="264"/>
      <c r="O27" s="264"/>
      <c r="P27" s="264"/>
      <c r="Q27" s="264"/>
      <c r="R27" s="264"/>
      <c r="S27" s="264"/>
      <c r="T27" s="262"/>
    </row>
    <row r="28" spans="3:20" ht="4.3499999999999996" customHeight="1">
      <c r="C28" s="1180"/>
      <c r="D28" s="1180"/>
      <c r="E28" s="1180"/>
      <c r="F28" s="33"/>
      <c r="G28" s="1158"/>
      <c r="H28" s="1176"/>
      <c r="I28" s="1176"/>
      <c r="J28" s="1176"/>
      <c r="K28" s="24"/>
      <c r="L28" s="26"/>
      <c r="M28" s="27"/>
      <c r="N28" s="27"/>
      <c r="O28" s="27"/>
      <c r="P28" s="27"/>
      <c r="Q28" s="27"/>
      <c r="R28" s="27"/>
      <c r="S28" s="27"/>
    </row>
    <row r="29" spans="3:20" s="260" customFormat="1" ht="15" customHeight="1">
      <c r="C29" s="1171" t="str">
        <f>IF(Indice_index!$Z$1=1,"Despesa corrente","Current expenditure")</f>
        <v>Despesa corrente</v>
      </c>
      <c r="D29" s="1171">
        <f t="shared" ref="D29:E29" si="12">+D30+D34+D35+D36+D39+D40+D41</f>
        <v>86897.400296310036</v>
      </c>
      <c r="E29" s="1171">
        <f t="shared" si="12"/>
        <v>90194.621481000009</v>
      </c>
      <c r="F29" s="1171">
        <f t="shared" ref="F29:G29" si="13">+F30+F34+F35+F36+F39+F40+F41</f>
        <v>48372.074562370006</v>
      </c>
      <c r="G29" s="1171">
        <f t="shared" si="13"/>
        <v>48725.028696740002</v>
      </c>
      <c r="H29" s="1172">
        <f t="shared" ref="H29:H47" si="14">IFERROR(IF(G29/E29*100&lt;-500,"-",IF(G29/E29*100&gt;500,"-",G29/E29*100)),"-")</f>
        <v>54.022100094964308</v>
      </c>
      <c r="I29" s="1172">
        <f>IF(IFERROR((G29-F29)/F29*100,"")&gt;500,"-",IFERROR((G29-F29)/F29*100,""))</f>
        <v>0.72966507548669324</v>
      </c>
      <c r="J29" s="1173">
        <f>IFERROR((G29-F29)/$F$50*100,"")</f>
        <v>0.68667041461712752</v>
      </c>
      <c r="K29" s="262"/>
      <c r="L29" s="263"/>
      <c r="M29" s="264"/>
      <c r="N29" s="264"/>
      <c r="O29" s="264"/>
      <c r="P29" s="264"/>
      <c r="Q29" s="264"/>
      <c r="R29" s="264"/>
      <c r="S29" s="264"/>
      <c r="T29" s="262"/>
    </row>
    <row r="30" spans="3:20" ht="15" customHeight="1">
      <c r="C30" s="1178" t="str">
        <f>IF(Indice_index!$Z$1=1,"Despesas com o pessoal","Employees")</f>
        <v>Despesas com o pessoal</v>
      </c>
      <c r="D30" s="1158">
        <f t="shared" ref="D30:E30" si="15">+D31+D32+D33</f>
        <v>19006.993351709996</v>
      </c>
      <c r="E30" s="1158">
        <f t="shared" si="15"/>
        <v>19280.685428000001</v>
      </c>
      <c r="F30" s="1158">
        <f t="shared" ref="F30:G30" si="16">+F31+F32+F33</f>
        <v>10819.058741789999</v>
      </c>
      <c r="G30" s="1158">
        <f t="shared" si="16"/>
        <v>10912.181948679998</v>
      </c>
      <c r="H30" s="1175">
        <f t="shared" si="14"/>
        <v>56.596442016698191</v>
      </c>
      <c r="I30" s="1175">
        <f>IF(IFERROR((G30-F30)/F30*100,"")&gt;500,"-",IFERROR((G30-F30)/F30*100,""))</f>
        <v>0.86073298160678868</v>
      </c>
      <c r="J30" s="1176">
        <f t="shared" ref="J30:J40" si="17">IFERROR((G30-F30)/$F$50*100,"")</f>
        <v>0.18117070989909301</v>
      </c>
      <c r="K30" s="24"/>
      <c r="L30" s="26"/>
      <c r="M30" s="26"/>
      <c r="N30" s="27"/>
      <c r="O30" s="27"/>
      <c r="P30" s="27"/>
      <c r="Q30" s="27"/>
      <c r="R30" s="27"/>
      <c r="S30" s="27"/>
    </row>
    <row r="31" spans="3:20" ht="15" customHeight="1">
      <c r="C31" s="1179" t="str">
        <f>IF(Indice_index!$Z$1=1,"Remunerações Certas e Permanentes","Certain and permanent wages")</f>
        <v>Remunerações Certas e Permanentes</v>
      </c>
      <c r="D31" s="1158">
        <v>13533.620271419999</v>
      </c>
      <c r="E31" s="1158">
        <v>14143.222876</v>
      </c>
      <c r="F31" s="1158">
        <v>7693.8274915900001</v>
      </c>
      <c r="G31" s="1158">
        <v>7802.5166083799977</v>
      </c>
      <c r="H31" s="1175">
        <f t="shared" si="14"/>
        <v>55.167882715192796</v>
      </c>
      <c r="I31" s="1175">
        <f>IF(IFERROR((G31-F31)/F31*100,"")&gt;500,"-",IFERROR((G31-F31)/F31*100,""))</f>
        <v>1.4126794096800832</v>
      </c>
      <c r="J31" s="1176">
        <f t="shared" si="17"/>
        <v>0.21145410585365099</v>
      </c>
      <c r="K31" s="24"/>
      <c r="L31" s="26"/>
      <c r="M31" s="26"/>
      <c r="N31" s="27"/>
      <c r="O31" s="27"/>
      <c r="P31" s="27"/>
      <c r="Q31" s="27"/>
      <c r="R31" s="27"/>
      <c r="S31" s="27"/>
    </row>
    <row r="32" spans="3:20" ht="15" customHeight="1">
      <c r="C32" s="1179" t="str">
        <f>IF(Indice_index!$Z$1=1,"Abonos Variáveis ou Eventuais","Variable or contingent bonuses")</f>
        <v>Abonos Variáveis ou Eventuais</v>
      </c>
      <c r="D32" s="1158">
        <v>1337.0660552600004</v>
      </c>
      <c r="E32" s="1158">
        <v>1294.5149609999999</v>
      </c>
      <c r="F32" s="1158">
        <v>745.52095606000034</v>
      </c>
      <c r="G32" s="1158">
        <v>747.91998210000008</v>
      </c>
      <c r="H32" s="1175">
        <f t="shared" si="14"/>
        <v>57.776078657464055</v>
      </c>
      <c r="I32" s="1175">
        <f>IF(IFERROR((G32-F32)/F32*100,"")&gt;500,"-",IFERROR((G32-F32)/F32*100,""))</f>
        <v>0.32179189873861352</v>
      </c>
      <c r="J32" s="1176">
        <f t="shared" si="17"/>
        <v>4.667292560559793E-3</v>
      </c>
      <c r="K32" s="24"/>
      <c r="L32" s="26"/>
      <c r="M32" s="26"/>
      <c r="N32" s="27"/>
      <c r="O32" s="27"/>
      <c r="P32" s="27"/>
      <c r="Q32" s="27"/>
      <c r="R32" s="27"/>
      <c r="S32" s="27"/>
    </row>
    <row r="33" spans="3:20" ht="15" customHeight="1">
      <c r="C33" s="1179" t="str">
        <f>IF(Indice_index!$Z$1=1,"Segurança social","Social security")</f>
        <v>Segurança social</v>
      </c>
      <c r="D33" s="1158">
        <v>4136.307025029997</v>
      </c>
      <c r="E33" s="1158">
        <v>3842.9475910000001</v>
      </c>
      <c r="F33" s="1158">
        <v>2379.7102941399999</v>
      </c>
      <c r="G33" s="1158">
        <v>2361.7453581999998</v>
      </c>
      <c r="H33" s="1175">
        <f t="shared" si="14"/>
        <v>61.45661116303264</v>
      </c>
      <c r="I33" s="1175">
        <f>IF(IFERROR((G33-F33)/F33*100,"")&gt;500,"-",IFERROR((G33-F33)/F33*100,""))</f>
        <v>-0.75492113406570593</v>
      </c>
      <c r="J33" s="1176">
        <f t="shared" si="17"/>
        <v>-3.495068851512112E-2</v>
      </c>
      <c r="K33" s="24"/>
      <c r="L33" s="26"/>
      <c r="M33" s="26"/>
      <c r="N33" s="27"/>
      <c r="O33" s="27"/>
      <c r="P33" s="27"/>
      <c r="Q33" s="27"/>
      <c r="R33" s="27"/>
      <c r="S33" s="27"/>
    </row>
    <row r="34" spans="3:20" ht="15" customHeight="1">
      <c r="C34" s="1178" t="str">
        <f>IF(Indice_index!$Z$1=1,"Aquisição de bens e serviços","Purchase of goods and services")</f>
        <v>Aquisição de bens e serviços</v>
      </c>
      <c r="D34" s="1158">
        <v>11472.973301580041</v>
      </c>
      <c r="E34" s="1158">
        <v>12512.920374999998</v>
      </c>
      <c r="F34" s="1158">
        <v>5218.6453933500006</v>
      </c>
      <c r="G34" s="1158">
        <v>5837.5501227400018</v>
      </c>
      <c r="H34" s="1175">
        <f t="shared" si="14"/>
        <v>46.652179889221131</v>
      </c>
      <c r="I34" s="1175">
        <f t="shared" ref="I34:I40" si="18">IF(IFERROR((G34-F34)/F34*100,"")&gt;500,"-",IFERROR((G34-F34)/F34*100,""))</f>
        <v>11.859490015908289</v>
      </c>
      <c r="J34" s="1176">
        <f t="shared" si="17"/>
        <v>1.204075900392285</v>
      </c>
      <c r="K34" s="24"/>
      <c r="L34" s="26"/>
      <c r="M34" s="27"/>
      <c r="N34" s="27"/>
      <c r="O34" s="27"/>
      <c r="P34" s="27"/>
      <c r="Q34" s="27"/>
      <c r="R34" s="27"/>
      <c r="S34" s="27"/>
    </row>
    <row r="35" spans="3:20" ht="15" customHeight="1">
      <c r="C35" s="1178" t="str">
        <f>IF(Indice_index!$Z$1=1,"Juros e outros encargos","Interests and other charges")</f>
        <v>Juros e outros encargos</v>
      </c>
      <c r="D35" s="1158">
        <v>6799.7249258299998</v>
      </c>
      <c r="E35" s="1158">
        <v>6637.2324419999995</v>
      </c>
      <c r="F35" s="1158">
        <v>4136.7425624400003</v>
      </c>
      <c r="G35" s="1158">
        <v>3878.6359140300001</v>
      </c>
      <c r="H35" s="1175">
        <f t="shared" si="14"/>
        <v>58.437548299291585</v>
      </c>
      <c r="I35" s="1175">
        <f>IF(IFERROR((G35-F35)/F35*100,"")&gt;500,"-",IFERROR((G35-F35)/F35*100,""))</f>
        <v>-6.2393693712900404</v>
      </c>
      <c r="J35" s="1176">
        <f t="shared" si="17"/>
        <v>-0.50214512884368134</v>
      </c>
      <c r="K35" s="24"/>
      <c r="L35" s="26"/>
      <c r="M35" s="27"/>
      <c r="N35" s="27"/>
      <c r="O35" s="27"/>
      <c r="P35" s="27"/>
      <c r="Q35" s="27"/>
      <c r="R35" s="27"/>
      <c r="S35" s="27"/>
    </row>
    <row r="36" spans="3:20" ht="15" customHeight="1">
      <c r="C36" s="1178" t="str">
        <f>IF(Indice_index!$Z$1=1,"Transferências correntes","Current transfers")</f>
        <v>Transferências correntes</v>
      </c>
      <c r="D36" s="1158">
        <f t="shared" ref="D36:E36" si="19">+D37+D38</f>
        <v>47104.764315169996</v>
      </c>
      <c r="E36" s="1158">
        <f t="shared" si="19"/>
        <v>47484.979677999996</v>
      </c>
      <c r="F36" s="1158">
        <f t="shared" ref="F36:G36" si="20">+F37+F38</f>
        <v>26919.702177380001</v>
      </c>
      <c r="G36" s="1158">
        <f t="shared" si="20"/>
        <v>26736.28654796</v>
      </c>
      <c r="H36" s="1175">
        <f t="shared" si="14"/>
        <v>56.304723576299729</v>
      </c>
      <c r="I36" s="1175">
        <f>IF(IFERROR((G36-F36)/F36*100,"")&gt;500,"-",IFERROR((G36-F36)/F36*100,""))</f>
        <v>-0.68134345696484</v>
      </c>
      <c r="J36" s="1176">
        <f t="shared" si="17"/>
        <v>-0.3568341436937682</v>
      </c>
      <c r="K36" s="24"/>
      <c r="L36" s="26"/>
      <c r="M36" s="27"/>
      <c r="N36" s="27"/>
      <c r="O36" s="27"/>
      <c r="P36" s="27"/>
      <c r="Q36" s="27"/>
      <c r="R36" s="27"/>
      <c r="S36" s="27"/>
    </row>
    <row r="37" spans="3:20" ht="15" customHeight="1">
      <c r="C37" s="1179" t="str">
        <f>IF(Indice_index!$Z$1=1,"Administrações Públicas","General Government subsectors")</f>
        <v>Administrações Públicas</v>
      </c>
      <c r="D37" s="1158">
        <v>4286.362799350004</v>
      </c>
      <c r="E37" s="1158">
        <v>4733.3789689999994</v>
      </c>
      <c r="F37" s="1158">
        <v>2566.9993615799995</v>
      </c>
      <c r="G37" s="1158">
        <v>2731.6596220900001</v>
      </c>
      <c r="H37" s="1175">
        <f t="shared" si="14"/>
        <v>57.710562369509702</v>
      </c>
      <c r="I37" s="1175">
        <f>IF(IFERROR((G37-F37)/F37*100,"")&gt;500,"-",IFERROR((G37-F37)/F37*100,""))</f>
        <v>6.4145033681913937</v>
      </c>
      <c r="J37" s="1176">
        <f t="shared" si="17"/>
        <v>0.32034567198705638</v>
      </c>
      <c r="K37" s="24"/>
      <c r="L37" s="26"/>
      <c r="M37" s="27"/>
      <c r="N37" s="27"/>
      <c r="O37" s="27"/>
      <c r="P37" s="27"/>
      <c r="Q37" s="27"/>
      <c r="R37" s="27"/>
      <c r="S37" s="27"/>
    </row>
    <row r="38" spans="3:20" ht="15" customHeight="1">
      <c r="C38" s="1179" t="str">
        <f>IF(Indice_index!$Z$1=1,"Outras","Others")</f>
        <v>Outras</v>
      </c>
      <c r="D38" s="1158">
        <v>42818.401515819991</v>
      </c>
      <c r="E38" s="1158">
        <v>42751.600708999998</v>
      </c>
      <c r="F38" s="1158">
        <v>24352.702815800003</v>
      </c>
      <c r="G38" s="1158">
        <v>24004.626925870001</v>
      </c>
      <c r="H38" s="1175">
        <f t="shared" si="14"/>
        <v>56.149071678657833</v>
      </c>
      <c r="I38" s="1175">
        <f>IF(IFERROR((G38-F38)/F38*100,"")&gt;500,"-",IFERROR((G38-F38)/F38*100,""))</f>
        <v>-1.4293111223127584</v>
      </c>
      <c r="J38" s="1176">
        <f t="shared" si="17"/>
        <v>-0.6771798156808263</v>
      </c>
      <c r="K38" s="24"/>
      <c r="L38" s="26"/>
      <c r="M38" s="27"/>
      <c r="N38" s="27"/>
      <c r="O38" s="27"/>
      <c r="P38" s="27"/>
      <c r="Q38" s="27"/>
      <c r="R38" s="27"/>
      <c r="S38" s="27"/>
    </row>
    <row r="39" spans="3:20" ht="15" customHeight="1">
      <c r="C39" s="1178" t="str">
        <f>IF(Indice_index!$Z$1=1,"Subsídios","Subsidies")</f>
        <v>Subsídios</v>
      </c>
      <c r="D39" s="1158">
        <v>1651.8126438400002</v>
      </c>
      <c r="E39" s="1158">
        <v>1825.428872</v>
      </c>
      <c r="F39" s="1158">
        <v>894.55034383000009</v>
      </c>
      <c r="G39" s="1158">
        <v>924.19031309000002</v>
      </c>
      <c r="H39" s="1175">
        <f t="shared" si="14"/>
        <v>50.628667447197039</v>
      </c>
      <c r="I39" s="1175">
        <f>IF(IFERROR((G39-F39)/F39*100,"")&gt;500,"-",IFERROR((G39-F39)/F39*100,""))</f>
        <v>3.3133930878721669</v>
      </c>
      <c r="J39" s="1176">
        <f t="shared" si="17"/>
        <v>5.7664404519107947E-2</v>
      </c>
      <c r="K39" s="24"/>
      <c r="L39" s="26"/>
      <c r="M39" s="26"/>
      <c r="N39" s="27"/>
      <c r="O39" s="27"/>
      <c r="P39" s="27"/>
      <c r="Q39" s="27"/>
      <c r="R39" s="27"/>
      <c r="S39" s="27"/>
    </row>
    <row r="40" spans="3:20" ht="15" customHeight="1">
      <c r="C40" s="1178" t="str">
        <f>IF(Indice_index!$Z$1=1,"Outras despesas correntes","Other current expenditure")</f>
        <v>Outras despesas correntes</v>
      </c>
      <c r="D40" s="1158">
        <v>647.6559153999998</v>
      </c>
      <c r="E40" s="1158">
        <v>2306.5234060000003</v>
      </c>
      <c r="F40" s="1158">
        <v>313.69845637999993</v>
      </c>
      <c r="G40" s="1158">
        <v>367.06291555000001</v>
      </c>
      <c r="H40" s="1175">
        <f t="shared" si="14"/>
        <v>15.914120558896247</v>
      </c>
      <c r="I40" s="1175">
        <f t="shared" si="18"/>
        <v>17.011387236587748</v>
      </c>
      <c r="J40" s="1176">
        <f t="shared" si="17"/>
        <v>0.10382027503230656</v>
      </c>
      <c r="K40" s="24"/>
      <c r="L40" s="26"/>
      <c r="M40" s="27"/>
      <c r="N40" s="27"/>
      <c r="O40" s="27"/>
      <c r="P40" s="27"/>
      <c r="Q40" s="27"/>
      <c r="R40" s="27"/>
      <c r="S40" s="27"/>
    </row>
    <row r="41" spans="3:20" ht="15" customHeight="1">
      <c r="C41" s="1178" t="str">
        <f>IF(Indice_index!$Z$1=1,"Diferenças de consolidação","Consolidation differences")</f>
        <v>Diferenças de consolidação</v>
      </c>
      <c r="D41" s="1158">
        <v>213.47584277999948</v>
      </c>
      <c r="E41" s="1158">
        <v>146.85127999999906</v>
      </c>
      <c r="F41" s="1158">
        <v>69.676887200002255</v>
      </c>
      <c r="G41" s="1158">
        <v>69.120934690003196</v>
      </c>
      <c r="H41" s="1175"/>
      <c r="I41" s="1176"/>
      <c r="J41" s="1176"/>
      <c r="K41" s="24"/>
      <c r="L41" s="26"/>
      <c r="M41" s="27"/>
      <c r="N41" s="27"/>
      <c r="O41" s="27"/>
      <c r="P41" s="27"/>
      <c r="Q41" s="27"/>
      <c r="R41" s="27"/>
      <c r="S41" s="27"/>
    </row>
    <row r="42" spans="3:20" s="260" customFormat="1" ht="15" customHeight="1">
      <c r="C42" s="1171" t="str">
        <f>IF(Indice_index!$Z$1=1,"Despesa de capital","Capital expenditure")</f>
        <v>Despesa de capital</v>
      </c>
      <c r="D42" s="1171">
        <f t="shared" ref="D42:E42" si="21">+D43+D44+D47+D48</f>
        <v>5568.2323646999976</v>
      </c>
      <c r="E42" s="1171">
        <f t="shared" si="21"/>
        <v>8321.1764980000007</v>
      </c>
      <c r="F42" s="1171">
        <f t="shared" ref="F42:G42" si="22">+F43+F44+F47+F48</f>
        <v>3028.73241237</v>
      </c>
      <c r="G42" s="1171">
        <f t="shared" si="22"/>
        <v>2703.2988896400002</v>
      </c>
      <c r="H42" s="1172">
        <f t="shared" si="14"/>
        <v>32.486979338675717</v>
      </c>
      <c r="I42" s="1172">
        <f>IF(IFERROR((G42-F42)/F42*100,"")&gt;500,"-",IFERROR((G42-F42)/F42*100,""))</f>
        <v>-10.744875361086994</v>
      </c>
      <c r="J42" s="1173">
        <f t="shared" ref="J42:J47" si="23">IFERROR((G42-F42)/$F$50*100,"")</f>
        <v>-0.63312920921636162</v>
      </c>
      <c r="K42" s="262"/>
      <c r="L42" s="263"/>
      <c r="M42" s="264"/>
      <c r="N42" s="264"/>
      <c r="O42" s="264"/>
      <c r="P42" s="264"/>
      <c r="Q42" s="264"/>
      <c r="R42" s="264"/>
      <c r="S42" s="264"/>
      <c r="T42" s="262"/>
    </row>
    <row r="43" spans="3:20" ht="15" customHeight="1">
      <c r="C43" s="1178" t="str">
        <f>IF(Indice_index!$Z$1=1,"Investimento","Investments")</f>
        <v>Investimento</v>
      </c>
      <c r="D43" s="1158">
        <v>3462.5933778499971</v>
      </c>
      <c r="E43" s="1158">
        <v>5891.1099839999997</v>
      </c>
      <c r="F43" s="1158">
        <v>1787.2383527500003</v>
      </c>
      <c r="G43" s="1158">
        <v>1845.8341018000003</v>
      </c>
      <c r="H43" s="1175">
        <f t="shared" si="14"/>
        <v>31.332535070864509</v>
      </c>
      <c r="I43" s="1175">
        <f>IF(IFERROR((G43-F43)/F43*100,"")&gt;500,"-",IFERROR((G43-F43)/F43*100,""))</f>
        <v>3.2785637662620366</v>
      </c>
      <c r="J43" s="1176">
        <f t="shared" si="23"/>
        <v>0.11399772201785824</v>
      </c>
      <c r="K43" s="24"/>
      <c r="L43" s="26"/>
      <c r="M43" s="26"/>
      <c r="N43" s="27"/>
      <c r="O43" s="27"/>
      <c r="P43" s="27"/>
      <c r="Q43" s="27"/>
      <c r="R43" s="27"/>
      <c r="S43" s="27"/>
    </row>
    <row r="44" spans="3:20" s="28" customFormat="1" ht="15" customHeight="1">
      <c r="C44" s="1178" t="str">
        <f>IF(Indice_index!$Z$1=1,"Transferências de capital","Capital transfers")</f>
        <v>Transferências de capital</v>
      </c>
      <c r="D44" s="1158">
        <f t="shared" ref="D44:E44" si="24">+D45+D46</f>
        <v>1904.0961641900003</v>
      </c>
      <c r="E44" s="1158">
        <f t="shared" si="24"/>
        <v>2191.1810970000001</v>
      </c>
      <c r="F44" s="1158">
        <f t="shared" ref="F44:G44" si="25">+F45+F46</f>
        <v>1213.6149442999997</v>
      </c>
      <c r="G44" s="1158">
        <f t="shared" si="25"/>
        <v>812.27292043999989</v>
      </c>
      <c r="H44" s="1175">
        <f t="shared" si="14"/>
        <v>37.070095281129554</v>
      </c>
      <c r="I44" s="1175">
        <f>IF(IFERROR((G44-F44)/F44*100,"")&gt;500,"-",IFERROR((G44-F44)/F44*100,""))</f>
        <v>-33.069963891346909</v>
      </c>
      <c r="J44" s="1176">
        <f t="shared" si="23"/>
        <v>-0.78080879947513671</v>
      </c>
      <c r="K44" s="24"/>
      <c r="L44" s="26"/>
      <c r="M44" s="27"/>
      <c r="N44" s="27"/>
      <c r="O44" s="27"/>
      <c r="P44" s="27"/>
      <c r="Q44" s="27"/>
      <c r="R44" s="27"/>
      <c r="S44" s="27"/>
      <c r="T44" s="24"/>
    </row>
    <row r="45" spans="3:20" ht="15" customHeight="1">
      <c r="C45" s="1179" t="str">
        <f>IF(Indice_index!$Z$1=1,"Administrações Públicas","General Government subsectors")</f>
        <v>Administrações Públicas</v>
      </c>
      <c r="D45" s="1158">
        <v>607.42973998000014</v>
      </c>
      <c r="E45" s="1158">
        <v>638.36872000000005</v>
      </c>
      <c r="F45" s="1158">
        <v>356.42050721999999</v>
      </c>
      <c r="G45" s="1158">
        <v>348.90229385999993</v>
      </c>
      <c r="H45" s="1175">
        <f t="shared" si="14"/>
        <v>54.655292925380159</v>
      </c>
      <c r="I45" s="1175">
        <f>IF(IFERROR((G45-F45)/F45*100,"")&gt;500,"-",IFERROR((G45-F45)/F45*100,""))</f>
        <v>-2.109366102035048</v>
      </c>
      <c r="J45" s="1176">
        <f t="shared" si="23"/>
        <v>-1.4626644604421778E-2</v>
      </c>
      <c r="K45" s="24"/>
      <c r="L45" s="26"/>
      <c r="M45" s="27"/>
      <c r="N45" s="27"/>
      <c r="O45" s="27"/>
      <c r="P45" s="27"/>
      <c r="Q45" s="27"/>
      <c r="R45" s="27"/>
      <c r="S45" s="27"/>
    </row>
    <row r="46" spans="3:20" ht="15" customHeight="1">
      <c r="C46" s="1179" t="str">
        <f>IF(Indice_index!$Z$1=1,"Outras","Others")</f>
        <v>Outras</v>
      </c>
      <c r="D46" s="1158">
        <v>1296.6664242100001</v>
      </c>
      <c r="E46" s="1158">
        <v>1552.8123770000002</v>
      </c>
      <c r="F46" s="1158">
        <v>857.19443707999972</v>
      </c>
      <c r="G46" s="1158">
        <v>463.37062657999996</v>
      </c>
      <c r="H46" s="1175">
        <f t="shared" si="14"/>
        <v>29.840735007227465</v>
      </c>
      <c r="I46" s="1175">
        <f t="shared" ref="I46" si="26">IF(IFERROR((G46-F46)/F46*100,"")&gt;500,"-",IFERROR((G46-F46)/F46*100,""))</f>
        <v>-45.943346510920627</v>
      </c>
      <c r="J46" s="1176">
        <f t="shared" si="23"/>
        <v>-0.76618215487071506</v>
      </c>
      <c r="K46" s="24"/>
      <c r="L46" s="26"/>
      <c r="M46" s="27"/>
      <c r="N46" s="27"/>
      <c r="O46" s="27"/>
      <c r="P46" s="27"/>
      <c r="Q46" s="27"/>
      <c r="R46" s="27"/>
      <c r="S46" s="27"/>
    </row>
    <row r="47" spans="3:20" ht="15" customHeight="1">
      <c r="C47" s="1178" t="str">
        <f>IF(Indice_index!$Z$1=1,"Outras despesas de capital","Other capital expenditure")</f>
        <v>Outras despesas de capital</v>
      </c>
      <c r="D47" s="1158">
        <v>149.79872605000003</v>
      </c>
      <c r="E47" s="1158">
        <v>236.364294</v>
      </c>
      <c r="F47" s="1158">
        <v>20.10764288</v>
      </c>
      <c r="G47" s="1158">
        <v>20.080728269999998</v>
      </c>
      <c r="H47" s="1175">
        <f t="shared" si="14"/>
        <v>8.4956690920499174</v>
      </c>
      <c r="I47" s="1175">
        <f>IF(IFERROR((G47-F47)/F47*100,"")&gt;500,"-",IFERROR((G47-F47)/F47*100,""))</f>
        <v>-0.133852635839145</v>
      </c>
      <c r="J47" s="1176">
        <f t="shared" si="23"/>
        <v>-5.2362232393022284E-5</v>
      </c>
      <c r="K47" s="24"/>
      <c r="L47" s="26"/>
      <c r="M47" s="26"/>
      <c r="N47" s="27"/>
      <c r="O47" s="27"/>
      <c r="P47" s="27"/>
      <c r="Q47" s="27"/>
      <c r="R47" s="27"/>
      <c r="S47" s="27"/>
    </row>
    <row r="48" spans="3:20" ht="15" customHeight="1">
      <c r="C48" s="1178" t="str">
        <f>IF(Indice_index!$Z$1=1,"Diferenças de consolidação","Consolidation differences")</f>
        <v>Diferenças de consolidação</v>
      </c>
      <c r="D48" s="1158">
        <v>51.744096609999815</v>
      </c>
      <c r="E48" s="1158">
        <v>2.5211229999999887</v>
      </c>
      <c r="F48" s="1158">
        <v>7.7714724399999966</v>
      </c>
      <c r="G48" s="1158">
        <v>25.111139129999884</v>
      </c>
      <c r="H48" s="1176"/>
      <c r="I48" s="1176"/>
      <c r="J48" s="1176"/>
      <c r="K48" s="24"/>
      <c r="L48" s="26"/>
      <c r="M48" s="27"/>
      <c r="N48" s="27"/>
      <c r="O48" s="27"/>
      <c r="P48" s="27"/>
      <c r="Q48" s="27"/>
      <c r="R48" s="27"/>
      <c r="S48" s="27"/>
    </row>
    <row r="49" spans="3:20" ht="2.4500000000000002" customHeight="1">
      <c r="C49" s="1158"/>
      <c r="D49" s="1158"/>
      <c r="E49" s="1158"/>
      <c r="F49" s="1158"/>
      <c r="G49" s="1158"/>
      <c r="H49" s="1176"/>
      <c r="I49" s="1176"/>
      <c r="J49" s="1176"/>
      <c r="K49" s="24"/>
      <c r="L49" s="26"/>
      <c r="M49" s="27"/>
      <c r="N49" s="27"/>
      <c r="O49" s="27"/>
      <c r="P49" s="27"/>
      <c r="Q49" s="27"/>
      <c r="R49" s="27"/>
      <c r="S49" s="27"/>
    </row>
    <row r="50" spans="3:20" s="260" customFormat="1" ht="15" customHeight="1">
      <c r="C50" s="1227" t="str">
        <f>IF(Indice_index!$Z$1=1,"Despesa efetiva","Effective Expenditure")</f>
        <v>Despesa efetiva</v>
      </c>
      <c r="D50" s="1227">
        <f t="shared" ref="D50:E50" si="27">+D29+D42</f>
        <v>92465.632661010037</v>
      </c>
      <c r="E50" s="1227">
        <f t="shared" si="27"/>
        <v>98515.79797900001</v>
      </c>
      <c r="F50" s="1227">
        <f t="shared" ref="F50:G50" si="28">+F29+F42</f>
        <v>51400.806974740008</v>
      </c>
      <c r="G50" s="1227">
        <f t="shared" si="28"/>
        <v>51428.327586380001</v>
      </c>
      <c r="H50" s="1228">
        <f>IFERROR(IF(G50/E50*100&lt;-500,"-",IF(G50/E50*100&gt;500,"-",G50/E50*100)),"-")</f>
        <v>52.203127459153961</v>
      </c>
      <c r="I50" s="1228">
        <f t="shared" ref="I50" si="29">IF(IFERROR((G50-F50)/F50*100,"")&gt;500,"-",IFERROR((G50-F50)/F50*100,""))</f>
        <v>5.3541205400758886E-2</v>
      </c>
      <c r="J50" s="1229"/>
      <c r="K50" s="262"/>
      <c r="L50" s="263"/>
      <c r="M50" s="264"/>
      <c r="N50" s="264"/>
      <c r="O50" s="264"/>
      <c r="P50" s="264"/>
      <c r="Q50" s="264"/>
      <c r="R50" s="264"/>
      <c r="S50" s="264"/>
      <c r="T50" s="262"/>
    </row>
    <row r="51" spans="3:20" ht="8.25" customHeight="1">
      <c r="C51" s="1169"/>
      <c r="D51" s="1169"/>
      <c r="E51" s="1169"/>
      <c r="F51" s="33"/>
      <c r="G51" s="1169"/>
      <c r="H51" s="1183"/>
      <c r="I51" s="1183"/>
      <c r="J51" s="1184"/>
      <c r="K51" s="29"/>
      <c r="L51" s="26"/>
      <c r="M51" s="27"/>
      <c r="N51" s="27"/>
      <c r="O51" s="27"/>
      <c r="P51" s="27"/>
      <c r="Q51" s="27"/>
      <c r="R51" s="27"/>
      <c r="S51" s="27"/>
    </row>
    <row r="52" spans="3:20" s="260" customFormat="1" ht="15" customHeight="1">
      <c r="C52" s="1181" t="str">
        <f>IF(Indice_index!$Z$1=1,"Saldo global","Overall balance")</f>
        <v>Saldo global</v>
      </c>
      <c r="D52" s="1181">
        <f t="shared" ref="D52:E52" si="30">+D27-D50</f>
        <v>-8294.4546959600557</v>
      </c>
      <c r="E52" s="1181">
        <f t="shared" si="30"/>
        <v>-5173.5716730011918</v>
      </c>
      <c r="F52" s="1181">
        <f t="shared" ref="F52:G52" si="31">+F27-F50</f>
        <v>-7160.353573579996</v>
      </c>
      <c r="G52" s="1181">
        <f t="shared" si="31"/>
        <v>195.08894225999393</v>
      </c>
      <c r="H52" s="1182"/>
      <c r="I52" s="1182"/>
      <c r="J52" s="1182"/>
      <c r="L52" s="266"/>
      <c r="M52" s="266"/>
      <c r="N52" s="264"/>
      <c r="O52" s="264"/>
      <c r="P52" s="264"/>
      <c r="Q52" s="264"/>
      <c r="R52" s="264"/>
      <c r="S52" s="264"/>
      <c r="T52" s="262"/>
    </row>
    <row r="53" spans="3:20" ht="5.0999999999999996" customHeight="1">
      <c r="C53" s="1185"/>
      <c r="D53" s="1185"/>
      <c r="E53" s="1185"/>
      <c r="F53" s="1170"/>
      <c r="G53" s="1158"/>
      <c r="H53" s="1184"/>
      <c r="I53" s="1184"/>
      <c r="J53" s="1184"/>
      <c r="L53" s="26"/>
      <c r="M53" s="27"/>
      <c r="N53" s="27"/>
      <c r="O53" s="27"/>
      <c r="P53" s="27"/>
      <c r="Q53" s="27"/>
      <c r="R53" s="27"/>
      <c r="S53" s="27"/>
    </row>
    <row r="54" spans="3:20" ht="15" customHeight="1">
      <c r="C54" s="1178" t="str">
        <f>IF(Indice_index!$Z$1=1,"Despesa primária","Primary expenditure")</f>
        <v>Despesa primária</v>
      </c>
      <c r="D54" s="1162">
        <f>+D50-D35</f>
        <v>85665.907735180037</v>
      </c>
      <c r="E54" s="1162">
        <f>+E50-E35</f>
        <v>91878.565537000017</v>
      </c>
      <c r="F54" s="1162">
        <f t="shared" ref="F54" si="32">+F50-F35</f>
        <v>47264.064412300009</v>
      </c>
      <c r="G54" s="1162">
        <f>+G50-G35</f>
        <v>47549.691672350004</v>
      </c>
      <c r="H54" s="1175">
        <f>IFERROR(IF(G54/E54*100&lt;-500,"-",IF(G54/E54*100&gt;500,"-",G54/E54*100)),"-")</f>
        <v>51.752757995771582</v>
      </c>
      <c r="I54" s="1175">
        <f t="shared" ref="I54" si="33">IF(IFERROR((G54-F54)/F54*100,"")&gt;500,"-",IFERROR((G54-F54)/F54*100,""))</f>
        <v>0.6043222553997335</v>
      </c>
      <c r="J54" s="1175">
        <f t="shared" ref="J54" si="34">IFERROR((G54-F54)/$F$50*100,"")</f>
        <v>0.55568633424444203</v>
      </c>
      <c r="K54" s="30"/>
      <c r="L54" s="30"/>
      <c r="M54" s="30"/>
      <c r="N54" s="27"/>
      <c r="O54" s="27"/>
      <c r="P54" s="27"/>
      <c r="Q54" s="27"/>
      <c r="R54" s="27"/>
      <c r="S54" s="27"/>
    </row>
    <row r="55" spans="3:20" ht="15" customHeight="1">
      <c r="C55" s="1178" t="str">
        <f>IF(Indice_index!$Z$1=1,"Saldo corrente","Current balance")</f>
        <v>Saldo corrente</v>
      </c>
      <c r="D55" s="1162">
        <f>+D9-D29</f>
        <v>-3941.2914915800502</v>
      </c>
      <c r="E55" s="1162">
        <f>+E9-E29</f>
        <v>-524.89409800119756</v>
      </c>
      <c r="F55" s="1162">
        <f>+F9-F29</f>
        <v>-4891.3004248399957</v>
      </c>
      <c r="G55" s="1162">
        <f>+G9-G29</f>
        <v>1780.8923651899895</v>
      </c>
      <c r="H55" s="1162"/>
      <c r="I55" s="1162"/>
      <c r="J55" s="1162"/>
      <c r="L55" s="30"/>
      <c r="M55" s="27"/>
      <c r="N55" s="27"/>
      <c r="O55" s="27"/>
      <c r="P55" s="27"/>
      <c r="Q55" s="27"/>
      <c r="R55" s="24"/>
    </row>
    <row r="56" spans="3:20" ht="15" customHeight="1">
      <c r="C56" s="1178" t="str">
        <f>IF(Indice_index!$Z$1=1,"Saldo de capital","Capital balance")</f>
        <v>Saldo de capital</v>
      </c>
      <c r="D56" s="1162">
        <f t="shared" ref="D56:E56" si="35">+D19-D42</f>
        <v>-4353.1632043799973</v>
      </c>
      <c r="E56" s="1162">
        <f t="shared" si="35"/>
        <v>-4648.6775750000006</v>
      </c>
      <c r="F56" s="1162">
        <f t="shared" ref="F56:G56" si="36">+F19-F42</f>
        <v>-2269.0531487399999</v>
      </c>
      <c r="G56" s="1162">
        <f t="shared" si="36"/>
        <v>-1585.8034229300001</v>
      </c>
      <c r="H56" s="1162"/>
      <c r="I56" s="1162"/>
      <c r="J56" s="1162"/>
      <c r="L56" s="30"/>
      <c r="M56" s="27"/>
      <c r="N56" s="27"/>
      <c r="O56" s="27"/>
      <c r="P56" s="27"/>
      <c r="Q56" s="27"/>
      <c r="R56" s="24"/>
    </row>
    <row r="57" spans="3:20" ht="15" customHeight="1">
      <c r="C57" s="1186" t="str">
        <f>IF(Indice_index!$Z$1=1,"Saldo primário","Primary balance")</f>
        <v>Saldo primário</v>
      </c>
      <c r="D57" s="1163">
        <f t="shared" ref="D57:E57" si="37">+D52+D35</f>
        <v>-1494.7297701300558</v>
      </c>
      <c r="E57" s="1163">
        <f t="shared" si="37"/>
        <v>1463.6607689988077</v>
      </c>
      <c r="F57" s="1163">
        <f t="shared" ref="F57:G57" si="38">+F52+F35</f>
        <v>-3023.6110111399958</v>
      </c>
      <c r="G57" s="1163">
        <f t="shared" si="38"/>
        <v>4073.724856289994</v>
      </c>
      <c r="H57" s="1163"/>
      <c r="I57" s="1163"/>
      <c r="J57" s="1163"/>
      <c r="L57" s="30"/>
      <c r="M57" s="27"/>
      <c r="N57" s="27"/>
      <c r="O57" s="27"/>
      <c r="P57" s="27"/>
      <c r="Q57" s="27"/>
      <c r="R57" s="24"/>
    </row>
    <row r="58" spans="3:20" ht="15" customHeight="1">
      <c r="C58" s="1187" t="str">
        <f>IF(Indice_index!$Z$1=1,"Ativos financeiros líquidos de reembolsos","Financial assets net of reimbursements")</f>
        <v>Ativos financeiros líquidos de reembolsos</v>
      </c>
      <c r="D58" s="1159">
        <v>872.45677738999893</v>
      </c>
      <c r="E58" s="1159">
        <v>3912.9654800000026</v>
      </c>
      <c r="F58" s="1159">
        <v>-3016.8871594999982</v>
      </c>
      <c r="G58" s="1160">
        <v>-267.72108383999966</v>
      </c>
      <c r="H58" s="1159"/>
      <c r="I58" s="1159"/>
      <c r="J58" s="1159"/>
      <c r="L58" s="22"/>
      <c r="M58" s="26"/>
      <c r="N58" s="27"/>
      <c r="O58" s="26"/>
      <c r="P58" s="27"/>
      <c r="Q58" s="27"/>
      <c r="R58" s="24"/>
    </row>
    <row r="59" spans="3:20" ht="15" customHeight="1">
      <c r="C59" s="1161" t="str">
        <f>IF(Indice_index!$Z$1=1,"dos quais Receitas de:","of which revenue from:")</f>
        <v>dos quais Receitas de:</v>
      </c>
      <c r="D59" s="1161"/>
      <c r="E59" s="1161"/>
      <c r="F59" s="1162"/>
      <c r="G59" s="1158"/>
      <c r="H59" s="1162"/>
      <c r="I59" s="1162"/>
      <c r="J59" s="1162"/>
      <c r="L59" s="22"/>
      <c r="M59" s="26"/>
      <c r="N59" s="27"/>
      <c r="O59" s="26"/>
      <c r="P59" s="27"/>
      <c r="Q59" s="27"/>
      <c r="R59" s="24"/>
    </row>
    <row r="60" spans="3:20" ht="15" customHeight="1">
      <c r="C60" s="1179" t="str">
        <f>IF(Indice_index!$Z$1=1,"Alienação de partes de Capital","Disposal of Capital Shares")</f>
        <v>Alienação de partes de Capital</v>
      </c>
      <c r="D60" s="1162">
        <v>1.3794E-4</v>
      </c>
      <c r="E60" s="1162">
        <v>0</v>
      </c>
      <c r="F60" s="1162">
        <v>0</v>
      </c>
      <c r="G60" s="1162">
        <v>0</v>
      </c>
      <c r="H60" s="1162"/>
      <c r="I60" s="1162"/>
      <c r="J60" s="1162"/>
      <c r="L60" s="22"/>
      <c r="M60" s="26"/>
      <c r="N60" s="27"/>
      <c r="O60" s="27"/>
      <c r="P60" s="27"/>
      <c r="Q60" s="27"/>
      <c r="R60" s="24"/>
    </row>
    <row r="61" spans="3:20" ht="15" customHeight="1">
      <c r="C61" s="1186" t="str">
        <f>IF(Indice_index!$Z$1=1,"Passivos financeiros líquidos de amortizações","Financial liabilities net of amortizations")</f>
        <v>Passivos financeiros líquidos de amortizações</v>
      </c>
      <c r="D61" s="1163">
        <v>4116.4405282400039</v>
      </c>
      <c r="E61" s="1163">
        <v>10946.541616999981</v>
      </c>
      <c r="F61" s="1163">
        <v>1783.3246500900059</v>
      </c>
      <c r="G61" s="1164">
        <v>4679.3887001999974</v>
      </c>
      <c r="H61" s="1163"/>
      <c r="I61" s="1163"/>
      <c r="J61" s="1163"/>
      <c r="L61" s="22"/>
      <c r="M61" s="26"/>
      <c r="N61" s="27"/>
      <c r="O61" s="27"/>
      <c r="P61" s="27"/>
      <c r="Q61" s="27"/>
      <c r="R61" s="24"/>
    </row>
    <row r="62" spans="3:20" ht="4.5" customHeight="1">
      <c r="L62" s="30"/>
      <c r="M62" s="26"/>
      <c r="N62" s="27"/>
      <c r="O62" s="27"/>
      <c r="P62" s="27"/>
    </row>
    <row r="63" spans="3:20" ht="15" customHeight="1">
      <c r="C63" s="736" t="str">
        <f>IF(Indice_index!$Z$1=1,"Nota:","Note:")</f>
        <v>Nota:</v>
      </c>
      <c r="D63" s="63"/>
      <c r="E63" s="63"/>
      <c r="F63" s="53"/>
      <c r="G63" s="53"/>
      <c r="H63" s="53"/>
      <c r="I63" s="53"/>
      <c r="J63" s="53"/>
      <c r="L63" s="30"/>
      <c r="M63" s="26"/>
      <c r="N63" s="27"/>
      <c r="O63" s="27"/>
      <c r="P63" s="27"/>
    </row>
    <row r="64" spans="3:20" ht="15" customHeight="1">
      <c r="C64" s="1691" t="str">
        <f>IF(Indice_index!$Z$1=1,"Os dados de 2021 são mensalmente revistos e atualizados face ao publicado nas Sínteses de Execução Orçamental de 2021.","2021 cumulative execution is monthly reviewed and updated and therefore may differ from data published in 2021.")</f>
        <v>Os dados de 2021 são mensalmente revistos e atualizados face ao publicado nas Sínteses de Execução Orçamental de 2021.</v>
      </c>
      <c r="D64" s="1691"/>
      <c r="E64" s="1691"/>
      <c r="F64" s="1691"/>
      <c r="G64" s="1691"/>
      <c r="H64" s="1691"/>
      <c r="I64" s="1691"/>
      <c r="J64" s="1691"/>
      <c r="K64" s="63"/>
      <c r="L64" s="22"/>
      <c r="R64" s="24"/>
      <c r="T64" s="22"/>
    </row>
    <row r="65" spans="3:16" ht="24.75" customHeight="1">
      <c r="C65" s="1692" t="s">
        <v>597</v>
      </c>
      <c r="D65" s="1692"/>
      <c r="E65" s="1692"/>
      <c r="F65" s="1692"/>
      <c r="G65" s="1692"/>
      <c r="H65" s="1692"/>
      <c r="I65" s="1692"/>
      <c r="J65" s="1692"/>
      <c r="L65" s="30"/>
      <c r="M65" s="26"/>
      <c r="N65" s="27"/>
      <c r="O65" s="27"/>
      <c r="P65" s="27"/>
    </row>
    <row r="66" spans="3:16" ht="15" customHeight="1">
      <c r="C66" s="1188" t="str">
        <f>IF(Indice_index!$Z$1=1,"Fonte: Direção-Geral do Orçamento","Source: Budget General Directorate")</f>
        <v>Fonte: Direção-Geral do Orçamento</v>
      </c>
      <c r="D66" s="1188"/>
      <c r="E66" s="1188"/>
      <c r="F66" s="24"/>
      <c r="G66" s="536"/>
      <c r="J66" s="1169"/>
    </row>
    <row r="67" spans="3:16">
      <c r="F67" s="537"/>
      <c r="G67" s="536"/>
      <c r="J67" s="24"/>
    </row>
    <row r="68" spans="3:16" ht="12.75">
      <c r="C68" s="331"/>
      <c r="D68" s="331"/>
      <c r="E68" s="331"/>
      <c r="F68" s="31"/>
      <c r="G68" s="31"/>
      <c r="J68" s="24"/>
      <c r="K68" s="32"/>
    </row>
    <row r="69" spans="3:16" ht="12.75">
      <c r="C69" s="33"/>
      <c r="D69" s="33"/>
      <c r="E69" s="33"/>
      <c r="F69" s="34"/>
      <c r="G69" s="34"/>
      <c r="I69" s="32"/>
      <c r="J69" s="24"/>
      <c r="K69" s="32"/>
    </row>
    <row r="70" spans="3:16" ht="12.75">
      <c r="C70" s="33"/>
      <c r="D70" s="33"/>
      <c r="E70" s="33"/>
      <c r="F70" s="27"/>
      <c r="G70" s="27"/>
      <c r="H70" s="32"/>
      <c r="I70" s="32"/>
      <c r="J70" s="27"/>
    </row>
    <row r="71" spans="3:16" ht="12.75">
      <c r="C71" s="33"/>
      <c r="D71" s="33"/>
      <c r="E71" s="33"/>
      <c r="F71" s="29"/>
      <c r="G71" s="35"/>
      <c r="H71" s="32"/>
      <c r="I71" s="32"/>
      <c r="J71" s="27"/>
    </row>
    <row r="72" spans="3:16" ht="12.75">
      <c r="C72" s="33"/>
      <c r="D72" s="33"/>
      <c r="E72" s="33"/>
      <c r="F72" s="27"/>
      <c r="G72" s="27"/>
      <c r="H72" s="32"/>
      <c r="I72" s="32"/>
      <c r="J72" s="27"/>
    </row>
    <row r="73" spans="3:16" ht="12.75">
      <c r="C73" s="33"/>
      <c r="D73" s="33"/>
      <c r="E73" s="33"/>
      <c r="F73" s="27"/>
      <c r="G73" s="36"/>
      <c r="H73" s="32"/>
      <c r="I73" s="37"/>
      <c r="J73" s="27"/>
    </row>
    <row r="74" spans="3:16" ht="12.75">
      <c r="C74" s="33"/>
      <c r="D74" s="33"/>
      <c r="E74" s="33"/>
      <c r="F74" s="38"/>
      <c r="G74" s="38"/>
      <c r="H74" s="37"/>
      <c r="I74" s="38"/>
      <c r="J74" s="39"/>
    </row>
    <row r="75" spans="3:16" ht="12.75">
      <c r="C75" s="33"/>
      <c r="D75" s="33"/>
      <c r="E75" s="33"/>
      <c r="F75" s="38"/>
      <c r="G75" s="26"/>
      <c r="H75" s="37"/>
      <c r="I75" s="33"/>
      <c r="J75" s="26"/>
    </row>
    <row r="76" spans="3:16" ht="12.75">
      <c r="F76" s="40"/>
      <c r="G76" s="40"/>
      <c r="H76" s="38"/>
    </row>
    <row r="77" spans="3:16" ht="12.75">
      <c r="F77" s="40"/>
      <c r="H77" s="38"/>
    </row>
    <row r="78" spans="3:16" ht="12.75">
      <c r="F78" s="40"/>
      <c r="H78" s="33"/>
    </row>
    <row r="82" spans="3:5" ht="11.25" customHeight="1"/>
    <row r="85" spans="3:5">
      <c r="C85" s="41"/>
      <c r="D85" s="41"/>
      <c r="E85" s="41"/>
    </row>
    <row r="86" spans="3:5">
      <c r="C86" s="41"/>
      <c r="D86" s="41"/>
      <c r="E86" s="41"/>
    </row>
    <row r="89" spans="3:5" ht="11.25" customHeight="1"/>
    <row r="97" spans="3:5">
      <c r="C97" s="41"/>
      <c r="D97" s="41"/>
      <c r="E97" s="41"/>
    </row>
  </sheetData>
  <mergeCells count="4">
    <mergeCell ref="F6:G6"/>
    <mergeCell ref="I6:J6"/>
    <mergeCell ref="C64:J64"/>
    <mergeCell ref="C65:J65"/>
  </mergeCells>
  <printOptions horizontalCentered="1"/>
  <pageMargins left="0.70866141732283472" right="0.70866141732283472" top="0.74803149606299213" bottom="0.74803149606299213" header="0.74803149606299213" footer="0.35433070866141736"/>
  <pageSetup paperSize="9" scale="62" orientation="portrait" r:id="rId1"/>
  <headerFooter differentOddEven="1">
    <oddFooter>&amp;R&amp;G</oddFooter>
    <evenFooter>&amp;L&amp;G</evenFooter>
  </headerFooter>
  <ignoredErrors>
    <ignoredError sqref="A6:B7 A62:D62 A68:B68 D68 D63 K6:XFD7 A63:B64 D64 F64:G64 A69:D84 I64:XFD64 I66:XFD1048576 A66:D67 A1:D4 A87:D96 A85:B86 D85:D86 A98:D1048576 A97:B97 D97 I8:XFD63 D9:D10 C7 J6 G6 I1:XFD5 F6 I6 I7:J7 A9:C61 A8:D8 C6:E6 F1:G5 E8:G10 F66:G1048576 D49:G57 D44:G44 D42:G42 D36:G36 D26:G30 D21:G21 D19:G19 D14:G14 F62:G63 H50 A5:C5 D5 A65:B65 K65:XFD65" unlockedFormula="1"/>
    <ignoredError sqref="E7:G7 D7" numberStoredAsText="1" unlockedFormula="1"/>
    <ignoredError sqref="H7" numberStoredAsText="1"/>
  </ignoredErrors>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ED200C6C5585014EA355E4441A780B35" ma:contentTypeVersion="3" ma:contentTypeDescription="Criar um novo documento." ma:contentTypeScope="" ma:versionID="39ce4b9ecf3c5625da182453b2dd6f5e">
  <xsd:schema xmlns:xsd="http://www.w3.org/2001/XMLSchema" xmlns:xs="http://www.w3.org/2001/XMLSchema" xmlns:p="http://schemas.microsoft.com/office/2006/metadata/properties" xmlns:ns2="23bc334f-0e17-402a-872b-0123af4c73a8" xmlns:ns3="0765058e-95b3-4ff3-80c4-5ff3bc59ec36" targetNamespace="http://schemas.microsoft.com/office/2006/metadata/properties" ma:root="true" ma:fieldsID="0abda25f79b054e559cdec95c2419faf" ns2:_="" ns3:_="">
    <xsd:import namespace="23bc334f-0e17-402a-872b-0123af4c73a8"/>
    <xsd:import namespace="0765058e-95b3-4ff3-80c4-5ff3bc59ec36"/>
    <xsd:element name="properties">
      <xsd:complexType>
        <xsd:sequence>
          <xsd:element name="documentManagement">
            <xsd:complexType>
              <xsd:all>
                <xsd:element ref="ns2:Ano"/>
                <xsd:element ref="ns2:Mes"/>
                <xsd:element ref="ns3:Ordem"/>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bc334f-0e17-402a-872b-0123af4c73a8" elementFormDefault="qualified">
    <xsd:import namespace="http://schemas.microsoft.com/office/2006/documentManagement/types"/>
    <xsd:import namespace="http://schemas.microsoft.com/office/infopath/2007/PartnerControls"/>
    <xsd:element name="Ano" ma:index="8" ma:displayName="Ano" ma:list="{966f2760-667a-45cb-8ed1-c972f4e2f9db}" ma:internalName="Ano" ma:showField="Title" ma:web="23bc334f-0e17-402a-872b-0123af4c73a8">
      <xsd:simpleType>
        <xsd:restriction base="dms:Lookup"/>
      </xsd:simpleType>
    </xsd:element>
    <xsd:element name="Mes" ma:index="9" ma:displayName="Mes" ma:list="{eace2fa2-25a5-411e-924e-acb9b055deb3}" ma:internalName="Mes" ma:showField="Title" ma:web="23bc334f-0e17-402a-872b-0123af4c73a8">
      <xsd:simpleType>
        <xsd:restriction base="dms:Lookup"/>
      </xsd:simpleType>
    </xsd:element>
    <xsd:element name="_dlc_DocId" ma:index="11" nillable="true" ma:displayName="Valor do ID do Documento" ma:description="O valor do ID do documento atribuído a este item." ma:internalName="_dlc_DocId" ma:readOnly="true">
      <xsd:simpleType>
        <xsd:restriction base="dms:Text"/>
      </xsd:simpleType>
    </xsd:element>
    <xsd:element name="_dlc_DocIdUrl" ma:index="12" nillable="true" ma:displayName="ID do Documento" ma:description="Ligação permanente a este documento."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0765058e-95b3-4ff3-80c4-5ff3bc59ec36" elementFormDefault="qualified">
    <xsd:import namespace="http://schemas.microsoft.com/office/2006/documentManagement/types"/>
    <xsd:import namespace="http://schemas.microsoft.com/office/infopath/2007/PartnerControls"/>
    <xsd:element name="Ordem" ma:index="10" ma:displayName="Ordem" ma:internalName="Ordem">
      <xsd:simpleType>
        <xsd:restriction base="dms:Number"/>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Ano xmlns="23bc334f-0e17-402a-872b-0123af4c73a8">65</Ano>
    <Ordem xmlns="0765058e-95b3-4ff3-80c4-5ff3bc59ec36">3</Ordem>
    <Mes xmlns="23bc334f-0e17-402a-872b-0123af4c73a8">8</Mes>
    <_dlc_DocId xmlns="23bc334f-0e17-402a-872b-0123af4c73a8">X4XX2SRTQWXX-37-1711</_dlc_DocId>
    <_dlc_DocIdUrl xmlns="23bc334f-0e17-402a-872b-0123af4c73a8">
      <Url>https://www.dgo.gov.pt/execucaoorcamental/_layouts/15/DocIdRedir.aspx?ID=X4XX2SRTQWXX-37-1711</Url>
      <Description>X4XX2SRTQWXX-37-1711</Description>
    </_dlc_DocIdUrl>
  </documentManagement>
</p:properties>
</file>

<file path=customXml/itemProps1.xml><?xml version="1.0" encoding="utf-8"?>
<ds:datastoreItem xmlns:ds="http://schemas.openxmlformats.org/officeDocument/2006/customXml" ds:itemID="{3DB9834B-29F5-4A0F-8B34-C971931DC4F9}"/>
</file>

<file path=customXml/itemProps2.xml><?xml version="1.0" encoding="utf-8"?>
<ds:datastoreItem xmlns:ds="http://schemas.openxmlformats.org/officeDocument/2006/customXml" ds:itemID="{B386CE63-2689-470C-BCFC-17C94B5EE948}"/>
</file>

<file path=customXml/itemProps3.xml><?xml version="1.0" encoding="utf-8"?>
<ds:datastoreItem xmlns:ds="http://schemas.openxmlformats.org/officeDocument/2006/customXml" ds:itemID="{035B96B1-AF70-4E37-AAC6-2C11584D6893}"/>
</file>

<file path=customXml/itemProps4.xml><?xml version="1.0" encoding="utf-8"?>
<ds:datastoreItem xmlns:ds="http://schemas.openxmlformats.org/officeDocument/2006/customXml" ds:itemID="{90B7ADC8-7374-4FC3-9490-1401EC7DE3A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28</vt:i4>
      </vt:variant>
      <vt:variant>
        <vt:lpstr>Intervalos com Nome</vt:lpstr>
      </vt:variant>
      <vt:variant>
        <vt:i4>86</vt:i4>
      </vt:variant>
    </vt:vector>
  </HeadingPairs>
  <TitlesOfParts>
    <vt:vector size="114" baseType="lpstr">
      <vt:lpstr>Capa PT</vt:lpstr>
      <vt:lpstr>Indice_index</vt:lpstr>
      <vt:lpstr>1 - Saldo Global Rec Desp</vt:lpstr>
      <vt:lpstr>2 - Conta Consol AP</vt:lpstr>
      <vt:lpstr>2.A Conta Consol AP - texto</vt:lpstr>
      <vt:lpstr>Síntese Global</vt:lpstr>
      <vt:lpstr>3 - Medidas COVID-19 AP</vt:lpstr>
      <vt:lpstr>4 - Medidas COVID-19 Subsetores</vt:lpstr>
      <vt:lpstr>5 - Conta AC + SS</vt:lpstr>
      <vt:lpstr>6 - Conta AC</vt:lpstr>
      <vt:lpstr>7 - Estado</vt:lpstr>
      <vt:lpstr>8 - R_Est</vt:lpstr>
      <vt:lpstr>9 - SFA</vt:lpstr>
      <vt:lpstr>10 - EPR</vt:lpstr>
      <vt:lpstr>11 - CGA</vt:lpstr>
      <vt:lpstr>12 - SS</vt:lpstr>
      <vt:lpstr>13 - SS Eco</vt:lpstr>
      <vt:lpstr>14 - Adm R</vt:lpstr>
      <vt:lpstr>15 - Adm Loc</vt:lpstr>
      <vt:lpstr>16 - Despesa Ativos </vt:lpstr>
      <vt:lpstr>17 - SNS exec fin</vt:lpstr>
      <vt:lpstr>18 - Dív não Fin</vt:lpstr>
      <vt:lpstr>19 - CGA Ind</vt:lpstr>
      <vt:lpstr>20 - Ef Temp AC+SS</vt:lpstr>
      <vt:lpstr>21 - Estimativas</vt:lpstr>
      <vt:lpstr>22 - Util. Cond. Dot. Orç</vt:lpstr>
      <vt:lpstr>23 - Util. Cond. Dot. Orç</vt:lpstr>
      <vt:lpstr>24 - Lista Entidades AC 2022</vt:lpstr>
      <vt:lpstr>'1 - Saldo Global Rec Desp'!Área_de_Impressão</vt:lpstr>
      <vt:lpstr>'10 - EPR'!Área_de_Impressão</vt:lpstr>
      <vt:lpstr>'11 - CGA'!Área_de_Impressão</vt:lpstr>
      <vt:lpstr>'12 - SS'!Área_de_Impressão</vt:lpstr>
      <vt:lpstr>'13 - SS Eco'!Área_de_Impressão</vt:lpstr>
      <vt:lpstr>'14 - Adm R'!Área_de_Impressão</vt:lpstr>
      <vt:lpstr>'15 - Adm Loc'!Área_de_Impressão</vt:lpstr>
      <vt:lpstr>'16 - Despesa Ativos '!Área_de_Impressão</vt:lpstr>
      <vt:lpstr>'17 - SNS exec fin'!Área_de_Impressão</vt:lpstr>
      <vt:lpstr>'18 - Dív não Fin'!Área_de_Impressão</vt:lpstr>
      <vt:lpstr>'19 - CGA Ind'!Área_de_Impressão</vt:lpstr>
      <vt:lpstr>'2 - Conta Consol AP'!Área_de_Impressão</vt:lpstr>
      <vt:lpstr>'2.A Conta Consol AP - texto'!Área_de_Impressão</vt:lpstr>
      <vt:lpstr>'20 - Ef Temp AC+SS'!Área_de_Impressão</vt:lpstr>
      <vt:lpstr>'21 - Estimativas'!Área_de_Impressão</vt:lpstr>
      <vt:lpstr>'22 - Util. Cond. Dot. Orç'!Área_de_Impressão</vt:lpstr>
      <vt:lpstr>'23 - Util. Cond. Dot. Orç'!Área_de_Impressão</vt:lpstr>
      <vt:lpstr>'24 - Lista Entidades AC 2022'!Área_de_Impressão</vt:lpstr>
      <vt:lpstr>'3 - Medidas COVID-19 AP'!Área_de_Impressão</vt:lpstr>
      <vt:lpstr>'4 - Medidas COVID-19 Subsetores'!Área_de_Impressão</vt:lpstr>
      <vt:lpstr>'5 - Conta AC + SS'!Área_de_Impressão</vt:lpstr>
      <vt:lpstr>'6 - Conta AC'!Área_de_Impressão</vt:lpstr>
      <vt:lpstr>'7 - Estado'!Área_de_Impressão</vt:lpstr>
      <vt:lpstr>'8 - R_Est'!Área_de_Impressão</vt:lpstr>
      <vt:lpstr>'9 - SFA'!Área_de_Impressão</vt:lpstr>
      <vt:lpstr>Indice_index!Área_de_Impressão</vt:lpstr>
      <vt:lpstr>'Síntese Global'!Área_de_Impressão</vt:lpstr>
      <vt:lpstr>'1 - Saldo Global Rec Desp'!Print_Area</vt:lpstr>
      <vt:lpstr>'10 - EPR'!Print_Area</vt:lpstr>
      <vt:lpstr>'11 - CGA'!Print_Area</vt:lpstr>
      <vt:lpstr>'12 - SS'!Print_Area</vt:lpstr>
      <vt:lpstr>'13 - SS Eco'!Print_Area</vt:lpstr>
      <vt:lpstr>'14 - Adm R'!Print_Area</vt:lpstr>
      <vt:lpstr>'15 - Adm Loc'!Print_Area</vt:lpstr>
      <vt:lpstr>'16 - Despesa Ativos '!Print_Area</vt:lpstr>
      <vt:lpstr>'17 - SNS exec fin'!Print_Area</vt:lpstr>
      <vt:lpstr>'18 - Dív não Fin'!Print_Area</vt:lpstr>
      <vt:lpstr>'19 - CGA Ind'!Print_Area</vt:lpstr>
      <vt:lpstr>'2 - Conta Consol AP'!Print_Area</vt:lpstr>
      <vt:lpstr>'2.A Conta Consol AP - texto'!Print_Area</vt:lpstr>
      <vt:lpstr>'20 - Ef Temp AC+SS'!Print_Area</vt:lpstr>
      <vt:lpstr>'21 - Estimativas'!Print_Area</vt:lpstr>
      <vt:lpstr>'22 - Util. Cond. Dot. Orç'!Print_Area</vt:lpstr>
      <vt:lpstr>'24 - Lista Entidades AC 2022'!Print_Area</vt:lpstr>
      <vt:lpstr>'3 - Medidas COVID-19 AP'!Print_Area</vt:lpstr>
      <vt:lpstr>'4 - Medidas COVID-19 Subsetores'!Print_Area</vt:lpstr>
      <vt:lpstr>'5 - Conta AC + SS'!Print_Area</vt:lpstr>
      <vt:lpstr>'6 - Conta AC'!Print_Area</vt:lpstr>
      <vt:lpstr>'7 - Estado'!Print_Area</vt:lpstr>
      <vt:lpstr>'8 - R_Est'!Print_Area</vt:lpstr>
      <vt:lpstr>'9 - SFA'!Print_Area</vt:lpstr>
      <vt:lpstr>'Capa PT'!Print_Area</vt:lpstr>
      <vt:lpstr>Indice_index!Print_Area</vt:lpstr>
      <vt:lpstr>'Síntese Global'!Print_Area</vt:lpstr>
      <vt:lpstr>'11 - CGA'!Print_Titles</vt:lpstr>
      <vt:lpstr>'19 - CGA Ind'!Print_Titles</vt:lpstr>
      <vt:lpstr>'2 - Conta Consol AP'!Print_Titles</vt:lpstr>
      <vt:lpstr>'20 - Ef Temp AC+SS'!Print_Titles</vt:lpstr>
      <vt:lpstr>'21 - Estimativas'!Print_Titles</vt:lpstr>
      <vt:lpstr>'22 - Util. Cond. Dot. Orç'!Print_Titles</vt:lpstr>
      <vt:lpstr>'24 - Lista Entidades AC 2022'!Print_Titles</vt:lpstr>
      <vt:lpstr>'6 - Conta AC'!Print_Titles</vt:lpstr>
      <vt:lpstr>'1 - Saldo Global Rec Desp'!Títulos_de_Impressão</vt:lpstr>
      <vt:lpstr>'10 - EPR'!Títulos_de_Impressão</vt:lpstr>
      <vt:lpstr>'11 - CGA'!Títulos_de_Impressão</vt:lpstr>
      <vt:lpstr>'12 - SS'!Títulos_de_Impressão</vt:lpstr>
      <vt:lpstr>'13 - SS Eco'!Títulos_de_Impressão</vt:lpstr>
      <vt:lpstr>'14 - Adm R'!Títulos_de_Impressão</vt:lpstr>
      <vt:lpstr>'15 - Adm Loc'!Títulos_de_Impressão</vt:lpstr>
      <vt:lpstr>'16 - Despesa Ativos '!Títulos_de_Impressão</vt:lpstr>
      <vt:lpstr>'17 - SNS exec fin'!Títulos_de_Impressão</vt:lpstr>
      <vt:lpstr>'18 - Dív não Fin'!Títulos_de_Impressão</vt:lpstr>
      <vt:lpstr>'19 - CGA Ind'!Títulos_de_Impressão</vt:lpstr>
      <vt:lpstr>'2 - Conta Consol AP'!Títulos_de_Impressão</vt:lpstr>
      <vt:lpstr>'20 - Ef Temp AC+SS'!Títulos_de_Impressão</vt:lpstr>
      <vt:lpstr>'21 - Estimativas'!Títulos_de_Impressão</vt:lpstr>
      <vt:lpstr>'22 - Util. Cond. Dot. Orç'!Títulos_de_Impressão</vt:lpstr>
      <vt:lpstr>'23 - Util. Cond. Dot. Orç'!Títulos_de_Impressão</vt:lpstr>
      <vt:lpstr>'24 - Lista Entidades AC 2022'!Títulos_de_Impressão</vt:lpstr>
      <vt:lpstr>'3 - Medidas COVID-19 AP'!Títulos_de_Impressão</vt:lpstr>
      <vt:lpstr>'4 - Medidas COVID-19 Subsetores'!Títulos_de_Impressão</vt:lpstr>
      <vt:lpstr>'5 - Conta AC + SS'!Títulos_de_Impressão</vt:lpstr>
      <vt:lpstr>'6 - Conta AC'!Títulos_de_Impressão</vt:lpstr>
      <vt:lpstr>'7 - Estado'!Títulos_de_Impressão</vt:lpstr>
      <vt:lpstr>'8 - R_Est'!Títulos_de_Impressão</vt:lpstr>
      <vt:lpstr>'9 - SFA'!Títulos_de_Impressão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Anexo Estatístico</dc:title>
  <dc:creator>Paulo Almeida</dc:creator>
  <cp:lastModifiedBy>DGO</cp:lastModifiedBy>
  <cp:lastPrinted>2022-08-26T16:33:13Z</cp:lastPrinted>
  <dcterms:created xsi:type="dcterms:W3CDTF">2018-09-13T17:26:24Z</dcterms:created>
  <dcterms:modified xsi:type="dcterms:W3CDTF">2022-08-26T19:40:58Z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0x010100ED200C6C5585014EA355E4441A780B35</vt:lpwstr>
  </property>
  <property fmtid="{D5CDD505-2E9C-101B-9397-08002B2CF9AE}" pid="3" name="_dlc_DocIdItemGuid">
    <vt:lpwstr>b88dbc0f-e23b-4ad6-bb63-3c1ae8784bde</vt:lpwstr>
  </property>
</Properties>
</file>