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rookhavenlab-my.sharepoint.com/personal/ksmith_bnl_gov/Documents/_eRHIC_Update_Toward_CDR_CD1/RF_Systems_Params/eRHIC_Ring_Ring_Params/"/>
    </mc:Choice>
  </mc:AlternateContent>
  <xr:revisionPtr revIDLastSave="0" documentId="8_{27483D53-2653-486B-91EF-DB80EE7B4D70}" xr6:coauthVersionLast="45" xr6:coauthVersionMax="45" xr10:uidLastSave="{00000000-0000-0000-0000-000000000000}"/>
  <bookViews>
    <workbookView xWindow="28680" yWindow="-5415" windowWidth="38640" windowHeight="21840" activeTab="1" xr2:uid="{00000000-000D-0000-FFFF-FFFF00000000}"/>
  </bookViews>
  <sheets>
    <sheet name="Notes" sheetId="20" r:id="rId1"/>
    <sheet name="Cavities" sheetId="13" r:id="rId2"/>
    <sheet name="LEP_ETC" sheetId="14" r:id="rId3"/>
    <sheet name="Formulae" sheetId="15" r:id="rId4"/>
    <sheet name="bbrat" sheetId="21" r:id="rId5"/>
    <sheet name="Couplers" sheetId="22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3" l="1"/>
  <c r="L46" i="13"/>
  <c r="K46" i="13"/>
  <c r="J46" i="13"/>
  <c r="F46" i="13"/>
  <c r="E46" i="13"/>
  <c r="D46" i="13"/>
  <c r="C46" i="13"/>
  <c r="K36" i="13" l="1"/>
  <c r="D36" i="13"/>
  <c r="K33" i="13"/>
  <c r="K32" i="13"/>
  <c r="K31" i="13"/>
  <c r="D33" i="13"/>
  <c r="D32" i="13"/>
  <c r="D31" i="13"/>
  <c r="M51" i="13"/>
  <c r="L51" i="13"/>
  <c r="K51" i="13"/>
  <c r="F51" i="13"/>
  <c r="E51" i="13"/>
  <c r="D51" i="13"/>
  <c r="I152" i="13"/>
  <c r="J81" i="13" l="1"/>
  <c r="L81" i="13"/>
  <c r="D81" i="13" l="1"/>
  <c r="M48" i="13" l="1"/>
  <c r="L48" i="13"/>
  <c r="K48" i="13"/>
  <c r="J48" i="13"/>
  <c r="M59" i="13"/>
  <c r="M61" i="13" s="1"/>
  <c r="L59" i="13"/>
  <c r="L61" i="13" s="1"/>
  <c r="K59" i="13"/>
  <c r="K61" i="13" s="1"/>
  <c r="J59" i="13"/>
  <c r="J61" i="13" s="1"/>
  <c r="K81" i="13"/>
  <c r="M52" i="13"/>
  <c r="L52" i="13"/>
  <c r="K52" i="13"/>
  <c r="J52" i="13"/>
  <c r="M40" i="13"/>
  <c r="L40" i="13"/>
  <c r="K40" i="13"/>
  <c r="J40" i="13"/>
  <c r="M37" i="13"/>
  <c r="L37" i="13"/>
  <c r="K37" i="13"/>
  <c r="J37" i="13"/>
  <c r="M34" i="13"/>
  <c r="L34" i="13"/>
  <c r="K34" i="13"/>
  <c r="J34" i="13"/>
  <c r="M27" i="13"/>
  <c r="M28" i="13" s="1"/>
  <c r="M29" i="13" s="1"/>
  <c r="L27" i="13"/>
  <c r="L28" i="13" s="1"/>
  <c r="L29" i="13" s="1"/>
  <c r="K27" i="13"/>
  <c r="K28" i="13" s="1"/>
  <c r="K29" i="13" s="1"/>
  <c r="J27" i="13"/>
  <c r="J28" i="13" s="1"/>
  <c r="J29" i="13" s="1"/>
  <c r="F52" i="13"/>
  <c r="E52" i="13"/>
  <c r="D52" i="13"/>
  <c r="F59" i="13"/>
  <c r="E59" i="13"/>
  <c r="E61" i="13" s="1"/>
  <c r="D59" i="13"/>
  <c r="F48" i="13"/>
  <c r="E48" i="13"/>
  <c r="D48" i="13"/>
  <c r="L35" i="13" l="1"/>
  <c r="L53" i="13"/>
  <c r="J35" i="13"/>
  <c r="J53" i="13"/>
  <c r="K23" i="13" s="1"/>
  <c r="K35" i="13"/>
  <c r="K53" i="13"/>
  <c r="M35" i="13"/>
  <c r="M53" i="13"/>
  <c r="F61" i="13"/>
  <c r="D61" i="13"/>
  <c r="L64" i="13" l="1"/>
  <c r="K64" i="13"/>
  <c r="M64" i="13"/>
  <c r="L42" i="13"/>
  <c r="L62" i="13" s="1"/>
  <c r="J64" i="13"/>
  <c r="L54" i="13"/>
  <c r="M42" i="13"/>
  <c r="J42" i="13"/>
  <c r="K54" i="13"/>
  <c r="K42" i="13"/>
  <c r="M54" i="13"/>
  <c r="J54" i="13"/>
  <c r="L66" i="13" l="1"/>
  <c r="L67" i="13" s="1"/>
  <c r="L72" i="13" s="1"/>
  <c r="L77" i="13"/>
  <c r="L65" i="13"/>
  <c r="J62" i="13"/>
  <c r="M62" i="13"/>
  <c r="K62" i="13"/>
  <c r="J66" i="13"/>
  <c r="J67" i="13" s="1"/>
  <c r="J72" i="13" s="1"/>
  <c r="J65" i="13"/>
  <c r="J77" i="13"/>
  <c r="M66" i="13"/>
  <c r="M67" i="13" s="1"/>
  <c r="M72" i="13" s="1"/>
  <c r="M65" i="13"/>
  <c r="K77" i="13"/>
  <c r="M77" i="13"/>
  <c r="K66" i="13"/>
  <c r="K67" i="13" s="1"/>
  <c r="K72" i="13" s="1"/>
  <c r="K65" i="13"/>
  <c r="K69" i="13" s="1"/>
  <c r="K70" i="13" s="1"/>
  <c r="L110" i="13" l="1"/>
  <c r="L117" i="13" s="1"/>
  <c r="L82" i="13"/>
  <c r="M82" i="13"/>
  <c r="M110" i="13"/>
  <c r="M117" i="13" s="1"/>
  <c r="K82" i="13"/>
  <c r="K110" i="13"/>
  <c r="M111" i="13"/>
  <c r="M112" i="13" s="1"/>
  <c r="L182" i="13"/>
  <c r="L149" i="13"/>
  <c r="L154" i="13" s="1"/>
  <c r="M90" i="13"/>
  <c r="L90" i="13"/>
  <c r="K90" i="13"/>
  <c r="K91" i="13" s="1"/>
  <c r="K92" i="13" s="1"/>
  <c r="J82" i="13"/>
  <c r="J90" i="13"/>
  <c r="J91" i="13" s="1"/>
  <c r="J92" i="13" s="1"/>
  <c r="J110" i="13"/>
  <c r="K182" i="13"/>
  <c r="K149" i="13"/>
  <c r="K154" i="13" s="1"/>
  <c r="M182" i="13"/>
  <c r="M149" i="13"/>
  <c r="M154" i="13" s="1"/>
  <c r="M91" i="13"/>
  <c r="M92" i="13" s="1"/>
  <c r="J182" i="13"/>
  <c r="J149" i="13"/>
  <c r="J154" i="13" s="1"/>
  <c r="J69" i="13"/>
  <c r="M69" i="13"/>
  <c r="L69" i="13"/>
  <c r="K127" i="13" l="1"/>
  <c r="K123" i="13"/>
  <c r="K124" i="13" s="1"/>
  <c r="K111" i="13"/>
  <c r="K117" i="13"/>
  <c r="K113" i="13"/>
  <c r="K115" i="13" s="1"/>
  <c r="K116" i="13" s="1"/>
  <c r="M118" i="13"/>
  <c r="M122" i="13"/>
  <c r="M119" i="13"/>
  <c r="M114" i="13"/>
  <c r="L119" i="13"/>
  <c r="L122" i="13"/>
  <c r="L118" i="13"/>
  <c r="M127" i="13"/>
  <c r="M113" i="13"/>
  <c r="M115" i="13" s="1"/>
  <c r="M116" i="13" s="1"/>
  <c r="L111" i="13"/>
  <c r="J127" i="13"/>
  <c r="J123" i="13"/>
  <c r="J117" i="13"/>
  <c r="J116" i="13"/>
  <c r="J111" i="13"/>
  <c r="J112" i="13" s="1"/>
  <c r="J155" i="13"/>
  <c r="K183" i="13"/>
  <c r="K184" i="13" s="1"/>
  <c r="K152" i="13"/>
  <c r="M97" i="13"/>
  <c r="M107" i="13" s="1"/>
  <c r="M93" i="13"/>
  <c r="M94" i="13"/>
  <c r="J156" i="13"/>
  <c r="J162" i="13"/>
  <c r="J157" i="13"/>
  <c r="J176" i="13" s="1"/>
  <c r="J150" i="13" s="1"/>
  <c r="L97" i="13"/>
  <c r="L157" i="13"/>
  <c r="L176" i="13" s="1"/>
  <c r="L155" i="13"/>
  <c r="J183" i="13"/>
  <c r="J184" i="13" s="1"/>
  <c r="J152" i="13"/>
  <c r="K162" i="13"/>
  <c r="K156" i="13"/>
  <c r="K157" i="13"/>
  <c r="K176" i="13" s="1"/>
  <c r="M156" i="13"/>
  <c r="M162" i="13"/>
  <c r="M173" i="13" s="1"/>
  <c r="M157" i="13"/>
  <c r="M176" i="13" s="1"/>
  <c r="J93" i="13"/>
  <c r="J97" i="13"/>
  <c r="J107" i="13" s="1"/>
  <c r="J94" i="13"/>
  <c r="L91" i="13"/>
  <c r="L92" i="13" s="1"/>
  <c r="M183" i="13"/>
  <c r="M184" i="13" s="1"/>
  <c r="M152" i="13"/>
  <c r="L162" i="13"/>
  <c r="L156" i="13"/>
  <c r="K155" i="13"/>
  <c r="M155" i="13"/>
  <c r="K93" i="13"/>
  <c r="K97" i="13"/>
  <c r="K94" i="13"/>
  <c r="L183" i="13"/>
  <c r="L184" i="13" s="1"/>
  <c r="L152" i="13"/>
  <c r="J70" i="13"/>
  <c r="M70" i="13"/>
  <c r="L70" i="13"/>
  <c r="M120" i="13" l="1"/>
  <c r="M121" i="13"/>
  <c r="L120" i="13"/>
  <c r="L121" i="13"/>
  <c r="K122" i="13"/>
  <c r="K118" i="13"/>
  <c r="K119" i="13"/>
  <c r="L112" i="13"/>
  <c r="L114" i="13"/>
  <c r="L127" i="13"/>
  <c r="L113" i="13"/>
  <c r="L115" i="13" s="1"/>
  <c r="L116" i="13" s="1"/>
  <c r="L123" i="13" s="1"/>
  <c r="L124" i="13" s="1"/>
  <c r="K114" i="13"/>
  <c r="K130" i="13" s="1"/>
  <c r="K112" i="13"/>
  <c r="M123" i="13"/>
  <c r="M124" i="13" s="1"/>
  <c r="K126" i="13"/>
  <c r="K125" i="13"/>
  <c r="J113" i="13"/>
  <c r="J115" i="13" s="1"/>
  <c r="J114" i="13"/>
  <c r="J130" i="13"/>
  <c r="J137" i="13" s="1"/>
  <c r="M130" i="13"/>
  <c r="L163" i="13"/>
  <c r="L168" i="13"/>
  <c r="L165" i="13"/>
  <c r="K150" i="13"/>
  <c r="K177" i="13"/>
  <c r="K178" i="13"/>
  <c r="K180" i="13"/>
  <c r="K181" i="13" s="1"/>
  <c r="J122" i="13"/>
  <c r="J124" i="13" s="1"/>
  <c r="J118" i="13"/>
  <c r="J119" i="13"/>
  <c r="M102" i="13"/>
  <c r="M99" i="13"/>
  <c r="M98" i="13"/>
  <c r="K164" i="13"/>
  <c r="K159" i="13"/>
  <c r="K160" i="13" s="1"/>
  <c r="L107" i="13"/>
  <c r="K163" i="13"/>
  <c r="K165" i="13"/>
  <c r="K168" i="13"/>
  <c r="L94" i="13"/>
  <c r="K102" i="13"/>
  <c r="K99" i="13"/>
  <c r="K98" i="13"/>
  <c r="L93" i="13"/>
  <c r="K129" i="13"/>
  <c r="K95" i="13"/>
  <c r="L102" i="13"/>
  <c r="L98" i="13"/>
  <c r="L99" i="13"/>
  <c r="M95" i="13"/>
  <c r="M129" i="13"/>
  <c r="J102" i="13"/>
  <c r="J98" i="13"/>
  <c r="J99" i="13"/>
  <c r="L173" i="13"/>
  <c r="J177" i="13"/>
  <c r="J178" i="13"/>
  <c r="J180" i="13"/>
  <c r="J181" i="13" s="1"/>
  <c r="K173" i="13"/>
  <c r="J95" i="13"/>
  <c r="J163" i="13"/>
  <c r="J165" i="13"/>
  <c r="J168" i="13"/>
  <c r="M150" i="13"/>
  <c r="M177" i="13"/>
  <c r="M178" i="13"/>
  <c r="M180" i="13"/>
  <c r="M181" i="13" s="1"/>
  <c r="J164" i="13"/>
  <c r="J159" i="13"/>
  <c r="J160" i="13" s="1"/>
  <c r="M163" i="13"/>
  <c r="M165" i="13"/>
  <c r="M168" i="13"/>
  <c r="L150" i="13"/>
  <c r="L177" i="13"/>
  <c r="L178" i="13"/>
  <c r="L180" i="13"/>
  <c r="L181" i="13" s="1"/>
  <c r="J173" i="13"/>
  <c r="L164" i="13"/>
  <c r="L159" i="13"/>
  <c r="L160" i="13" s="1"/>
  <c r="M164" i="13"/>
  <c r="M159" i="13"/>
  <c r="M160" i="13" s="1"/>
  <c r="K107" i="13"/>
  <c r="L126" i="13" l="1"/>
  <c r="L125" i="13"/>
  <c r="K120" i="13"/>
  <c r="K121" i="13"/>
  <c r="L130" i="13"/>
  <c r="M125" i="13"/>
  <c r="M126" i="13"/>
  <c r="J129" i="13"/>
  <c r="J131" i="13" s="1"/>
  <c r="J132" i="13" s="1"/>
  <c r="M133" i="13"/>
  <c r="M134" i="13" s="1"/>
  <c r="M131" i="13"/>
  <c r="M132" i="13" s="1"/>
  <c r="M137" i="13"/>
  <c r="M138" i="13" s="1"/>
  <c r="M161" i="13"/>
  <c r="M169" i="13"/>
  <c r="M170" i="13" s="1"/>
  <c r="M87" i="13"/>
  <c r="M96" i="13"/>
  <c r="M103" i="13" s="1"/>
  <c r="M104" i="13" s="1"/>
  <c r="J169" i="13"/>
  <c r="J170" i="13" s="1"/>
  <c r="J161" i="13"/>
  <c r="J101" i="13"/>
  <c r="J100" i="13"/>
  <c r="J151" i="13"/>
  <c r="J179" i="13"/>
  <c r="M166" i="13"/>
  <c r="M167" i="13"/>
  <c r="L137" i="13"/>
  <c r="L179" i="13"/>
  <c r="L151" i="13"/>
  <c r="M101" i="13"/>
  <c r="M100" i="13"/>
  <c r="L167" i="13"/>
  <c r="L166" i="13"/>
  <c r="K96" i="13"/>
  <c r="K103" i="13" s="1"/>
  <c r="K104" i="13" s="1"/>
  <c r="K87" i="13"/>
  <c r="M151" i="13"/>
  <c r="M179" i="13"/>
  <c r="J167" i="13"/>
  <c r="J166" i="13"/>
  <c r="K166" i="13"/>
  <c r="K167" i="13"/>
  <c r="J125" i="13"/>
  <c r="J126" i="13"/>
  <c r="L161" i="13"/>
  <c r="L169" i="13"/>
  <c r="L170" i="13" s="1"/>
  <c r="L100" i="13"/>
  <c r="L101" i="13"/>
  <c r="L95" i="13"/>
  <c r="L129" i="13"/>
  <c r="L131" i="13" s="1"/>
  <c r="L132" i="13" s="1"/>
  <c r="K161" i="13"/>
  <c r="K169" i="13"/>
  <c r="K170" i="13" s="1"/>
  <c r="J120" i="13"/>
  <c r="J121" i="13"/>
  <c r="K179" i="13"/>
  <c r="K151" i="13"/>
  <c r="K131" i="13"/>
  <c r="K132" i="13" s="1"/>
  <c r="K137" i="13"/>
  <c r="K133" i="13"/>
  <c r="J96" i="13"/>
  <c r="J103" i="13" s="1"/>
  <c r="J104" i="13" s="1"/>
  <c r="J87" i="13"/>
  <c r="J83" i="13"/>
  <c r="J138" i="13"/>
  <c r="J139" i="13"/>
  <c r="J141" i="13"/>
  <c r="K101" i="13"/>
  <c r="K100" i="13"/>
  <c r="J133" i="13" l="1"/>
  <c r="J134" i="13" s="1"/>
  <c r="M139" i="13"/>
  <c r="M84" i="13" s="1"/>
  <c r="M83" i="13"/>
  <c r="M141" i="13"/>
  <c r="M142" i="13" s="1"/>
  <c r="M85" i="13" s="1"/>
  <c r="M171" i="13"/>
  <c r="M172" i="13"/>
  <c r="K171" i="13"/>
  <c r="K172" i="13"/>
  <c r="J84" i="13"/>
  <c r="J140" i="13"/>
  <c r="J105" i="13"/>
  <c r="J106" i="13"/>
  <c r="K134" i="13"/>
  <c r="L87" i="13"/>
  <c r="L96" i="13"/>
  <c r="L103" i="13" s="1"/>
  <c r="L104" i="13" s="1"/>
  <c r="K138" i="13"/>
  <c r="K83" i="13"/>
  <c r="K139" i="13"/>
  <c r="K141" i="13"/>
  <c r="K142" i="13" s="1"/>
  <c r="L133" i="13"/>
  <c r="L171" i="13"/>
  <c r="L172" i="13"/>
  <c r="L83" i="13"/>
  <c r="L138" i="13"/>
  <c r="L139" i="13"/>
  <c r="L141" i="13"/>
  <c r="M105" i="13"/>
  <c r="M106" i="13"/>
  <c r="K105" i="13"/>
  <c r="K106" i="13"/>
  <c r="J171" i="13"/>
  <c r="J172" i="13"/>
  <c r="J142" i="13" l="1"/>
  <c r="J85" i="13" s="1"/>
  <c r="M140" i="13"/>
  <c r="M143" i="13"/>
  <c r="M144" i="13" s="1"/>
  <c r="L84" i="13"/>
  <c r="L140" i="13"/>
  <c r="K84" i="13"/>
  <c r="K140" i="13"/>
  <c r="L142" i="13"/>
  <c r="L134" i="13"/>
  <c r="L105" i="13"/>
  <c r="L106" i="13"/>
  <c r="K143" i="13"/>
  <c r="K144" i="13" s="1"/>
  <c r="K85" i="13"/>
  <c r="J143" i="13" l="1"/>
  <c r="J144" i="13" s="1"/>
  <c r="L85" i="13"/>
  <c r="L143" i="13"/>
  <c r="L144" i="13" s="1"/>
  <c r="C48" i="13"/>
  <c r="C59" i="13" l="1"/>
  <c r="C61" i="13" s="1"/>
  <c r="F81" i="13"/>
  <c r="E81" i="13"/>
  <c r="C81" i="13"/>
  <c r="B21" i="13"/>
  <c r="C52" i="13" l="1"/>
  <c r="F34" i="13"/>
  <c r="E34" i="13"/>
  <c r="D34" i="13"/>
  <c r="F40" i="13"/>
  <c r="B152" i="13" l="1"/>
  <c r="E40" i="13" l="1"/>
  <c r="D40" i="13"/>
  <c r="C40" i="13"/>
  <c r="F37" i="13"/>
  <c r="E37" i="13"/>
  <c r="D37" i="13"/>
  <c r="C37" i="13"/>
  <c r="C34" i="13"/>
  <c r="F27" i="13"/>
  <c r="E27" i="13"/>
  <c r="D27" i="13"/>
  <c r="C27" i="13"/>
  <c r="C28" i="13" l="1"/>
  <c r="C29" i="13" s="1"/>
  <c r="C35" i="13" s="1"/>
  <c r="D28" i="13"/>
  <c r="D29" i="13" s="1"/>
  <c r="D53" i="13" s="1"/>
  <c r="E28" i="13"/>
  <c r="E29" i="13" s="1"/>
  <c r="E53" i="13" s="1"/>
  <c r="F28" i="13"/>
  <c r="F29" i="13" s="1"/>
  <c r="F53" i="13" s="1"/>
  <c r="D64" i="13" l="1"/>
  <c r="D65" i="13" s="1"/>
  <c r="E64" i="13"/>
  <c r="F64" i="13"/>
  <c r="E54" i="13"/>
  <c r="F54" i="13"/>
  <c r="D54" i="13"/>
  <c r="C42" i="13"/>
  <c r="F35" i="13"/>
  <c r="E35" i="13"/>
  <c r="D35" i="13"/>
  <c r="C53" i="13"/>
  <c r="D23" i="13" s="1"/>
  <c r="C64" i="13" l="1"/>
  <c r="C62" i="13"/>
  <c r="D66" i="13"/>
  <c r="D67" i="13" s="1"/>
  <c r="D72" i="13" s="1"/>
  <c r="D42" i="13"/>
  <c r="E65" i="13"/>
  <c r="E66" i="13"/>
  <c r="E67" i="13" s="1"/>
  <c r="E72" i="13" s="1"/>
  <c r="F66" i="13"/>
  <c r="F67" i="13" s="1"/>
  <c r="F72" i="13" s="1"/>
  <c r="F65" i="13"/>
  <c r="E42" i="13"/>
  <c r="F42" i="13"/>
  <c r="C54" i="13"/>
  <c r="D149" i="13" l="1"/>
  <c r="D182" i="13"/>
  <c r="F149" i="13"/>
  <c r="F154" i="13" s="1"/>
  <c r="F182" i="13"/>
  <c r="E182" i="13"/>
  <c r="E149" i="13"/>
  <c r="E154" i="13" s="1"/>
  <c r="F62" i="13"/>
  <c r="F69" i="13"/>
  <c r="E62" i="13"/>
  <c r="E69" i="13"/>
  <c r="D62" i="13"/>
  <c r="D69" i="13"/>
  <c r="D70" i="13" s="1"/>
  <c r="C66" i="13"/>
  <c r="C67" i="13" s="1"/>
  <c r="C72" i="13" s="1"/>
  <c r="F77" i="13"/>
  <c r="D77" i="13"/>
  <c r="E77" i="13"/>
  <c r="C77" i="13"/>
  <c r="C110" i="13" s="1"/>
  <c r="C117" i="13" s="1"/>
  <c r="C65" i="13"/>
  <c r="C111" i="13" l="1"/>
  <c r="C112" i="13" s="1"/>
  <c r="F82" i="13"/>
  <c r="F110" i="13"/>
  <c r="C122" i="13"/>
  <c r="C119" i="13"/>
  <c r="C118" i="13"/>
  <c r="E82" i="13"/>
  <c r="E110" i="13"/>
  <c r="D110" i="13"/>
  <c r="D82" i="13"/>
  <c r="C182" i="13"/>
  <c r="F90" i="13"/>
  <c r="E183" i="13"/>
  <c r="E184" i="13" s="1"/>
  <c r="E152" i="13"/>
  <c r="D90" i="13"/>
  <c r="F155" i="13"/>
  <c r="E155" i="13"/>
  <c r="E162" i="13"/>
  <c r="E156" i="13"/>
  <c r="E157" i="13"/>
  <c r="E176" i="13" s="1"/>
  <c r="F183" i="13"/>
  <c r="F184" i="13" s="1"/>
  <c r="F152" i="13"/>
  <c r="F162" i="13"/>
  <c r="F173" i="13" s="1"/>
  <c r="F156" i="13"/>
  <c r="F157" i="13"/>
  <c r="F176" i="13" s="1"/>
  <c r="D152" i="13"/>
  <c r="D183" i="13"/>
  <c r="D184" i="13" s="1"/>
  <c r="E90" i="13"/>
  <c r="D154" i="13"/>
  <c r="D155" i="13" s="1"/>
  <c r="D162" i="13"/>
  <c r="C82" i="13"/>
  <c r="C90" i="13"/>
  <c r="C91" i="13" s="1"/>
  <c r="C92" i="13" s="1"/>
  <c r="F70" i="13"/>
  <c r="E70" i="13"/>
  <c r="C69" i="13"/>
  <c r="C149" i="13"/>
  <c r="C113" i="13" l="1"/>
  <c r="C115" i="13" s="1"/>
  <c r="C116" i="13" s="1"/>
  <c r="C123" i="13" s="1"/>
  <c r="C124" i="13" s="1"/>
  <c r="C125" i="13" s="1"/>
  <c r="C127" i="13"/>
  <c r="C114" i="13"/>
  <c r="D111" i="13"/>
  <c r="D112" i="13" s="1"/>
  <c r="D117" i="13"/>
  <c r="E117" i="13"/>
  <c r="E111" i="13"/>
  <c r="E112" i="13" s="1"/>
  <c r="C120" i="13"/>
  <c r="C121" i="13"/>
  <c r="F117" i="13"/>
  <c r="F111" i="13"/>
  <c r="F112" i="13" s="1"/>
  <c r="E164" i="13"/>
  <c r="E159" i="13"/>
  <c r="E160" i="13" s="1"/>
  <c r="F164" i="13"/>
  <c r="F159" i="13"/>
  <c r="F160" i="13" s="1"/>
  <c r="D97" i="13"/>
  <c r="D91" i="13"/>
  <c r="D92" i="13" s="1"/>
  <c r="E97" i="13"/>
  <c r="E91" i="13"/>
  <c r="E92" i="13" s="1"/>
  <c r="E168" i="13"/>
  <c r="E165" i="13"/>
  <c r="E163" i="13"/>
  <c r="D173" i="13"/>
  <c r="D163" i="13"/>
  <c r="D165" i="13"/>
  <c r="D168" i="13"/>
  <c r="F91" i="13"/>
  <c r="F92" i="13" s="1"/>
  <c r="F97" i="13"/>
  <c r="E173" i="13"/>
  <c r="F150" i="13"/>
  <c r="F177" i="13"/>
  <c r="F178" i="13"/>
  <c r="F180" i="13"/>
  <c r="F181" i="13" s="1"/>
  <c r="F165" i="13"/>
  <c r="F168" i="13"/>
  <c r="F163" i="13"/>
  <c r="D156" i="13"/>
  <c r="D157" i="13"/>
  <c r="D176" i="13" s="1"/>
  <c r="E150" i="13"/>
  <c r="E177" i="13"/>
  <c r="E178" i="13"/>
  <c r="E180" i="13"/>
  <c r="E181" i="13" s="1"/>
  <c r="C97" i="13"/>
  <c r="C70" i="13"/>
  <c r="C162" i="13"/>
  <c r="C183" i="13"/>
  <c r="C184" i="13" s="1"/>
  <c r="C152" i="13"/>
  <c r="C154" i="13"/>
  <c r="C126" i="13" l="1"/>
  <c r="E113" i="13"/>
  <c r="E115" i="13" s="1"/>
  <c r="E116" i="13" s="1"/>
  <c r="E127" i="13"/>
  <c r="F113" i="13"/>
  <c r="F115" i="13" s="1"/>
  <c r="F116" i="13" s="1"/>
  <c r="F127" i="13"/>
  <c r="F114" i="13"/>
  <c r="D113" i="13"/>
  <c r="D115" i="13" s="1"/>
  <c r="D116" i="13" s="1"/>
  <c r="D114" i="13"/>
  <c r="D127" i="13"/>
  <c r="E114" i="13"/>
  <c r="E122" i="13"/>
  <c r="E123" i="13" s="1"/>
  <c r="E124" i="13" s="1"/>
  <c r="E119" i="13"/>
  <c r="E118" i="13"/>
  <c r="F122" i="13"/>
  <c r="F119" i="13"/>
  <c r="F118" i="13"/>
  <c r="D122" i="13"/>
  <c r="D119" i="13"/>
  <c r="D118" i="13"/>
  <c r="E107" i="13"/>
  <c r="E102" i="13"/>
  <c r="E99" i="13"/>
  <c r="E98" i="13"/>
  <c r="F167" i="13"/>
  <c r="F166" i="13"/>
  <c r="D107" i="13"/>
  <c r="D94" i="13"/>
  <c r="E94" i="13"/>
  <c r="E93" i="13"/>
  <c r="D93" i="13"/>
  <c r="E179" i="13"/>
  <c r="E151" i="13"/>
  <c r="F93" i="13"/>
  <c r="E166" i="13"/>
  <c r="E167" i="13"/>
  <c r="D102" i="13"/>
  <c r="D98" i="13"/>
  <c r="D99" i="13"/>
  <c r="F94" i="13"/>
  <c r="F169" i="13"/>
  <c r="F170" i="13" s="1"/>
  <c r="F161" i="13"/>
  <c r="D177" i="13"/>
  <c r="D150" i="13"/>
  <c r="D178" i="13"/>
  <c r="D180" i="13"/>
  <c r="D181" i="13" s="1"/>
  <c r="F107" i="13"/>
  <c r="F98" i="13"/>
  <c r="F99" i="13"/>
  <c r="F102" i="13"/>
  <c r="E169" i="13"/>
  <c r="E170" i="13" s="1"/>
  <c r="E161" i="13"/>
  <c r="D167" i="13"/>
  <c r="D166" i="13"/>
  <c r="F151" i="13"/>
  <c r="F179" i="13"/>
  <c r="D164" i="13"/>
  <c r="D159" i="13"/>
  <c r="D160" i="13" s="1"/>
  <c r="C157" i="13"/>
  <c r="C176" i="13" s="1"/>
  <c r="C173" i="13"/>
  <c r="C168" i="13"/>
  <c r="C163" i="13"/>
  <c r="C102" i="13"/>
  <c r="C98" i="13"/>
  <c r="C107" i="13"/>
  <c r="C94" i="13"/>
  <c r="C93" i="13"/>
  <c r="C95" i="13" s="1"/>
  <c r="C99" i="13"/>
  <c r="C165" i="13"/>
  <c r="C156" i="13"/>
  <c r="C155" i="13"/>
  <c r="F123" i="13" l="1"/>
  <c r="F124" i="13" s="1"/>
  <c r="F125" i="13" s="1"/>
  <c r="D123" i="13"/>
  <c r="D124" i="13" s="1"/>
  <c r="D125" i="13"/>
  <c r="D126" i="13"/>
  <c r="F120" i="13"/>
  <c r="F121" i="13"/>
  <c r="E125" i="13"/>
  <c r="E126" i="13"/>
  <c r="D121" i="13"/>
  <c r="D120" i="13"/>
  <c r="E120" i="13"/>
  <c r="E121" i="13"/>
  <c r="E130" i="13"/>
  <c r="E137" i="13" s="1"/>
  <c r="C130" i="13"/>
  <c r="C137" i="13" s="1"/>
  <c r="C83" i="13" s="1"/>
  <c r="C150" i="13"/>
  <c r="C180" i="13"/>
  <c r="C181" i="13" s="1"/>
  <c r="D130" i="13"/>
  <c r="D137" i="13" s="1"/>
  <c r="F171" i="13"/>
  <c r="F172" i="13"/>
  <c r="D169" i="13"/>
  <c r="D170" i="13" s="1"/>
  <c r="D161" i="13"/>
  <c r="F100" i="13"/>
  <c r="F101" i="13"/>
  <c r="D100" i="13"/>
  <c r="D101" i="13"/>
  <c r="D95" i="13"/>
  <c r="D129" i="13"/>
  <c r="E95" i="13"/>
  <c r="E129" i="13"/>
  <c r="E100" i="13"/>
  <c r="E101" i="13"/>
  <c r="E171" i="13"/>
  <c r="E172" i="13"/>
  <c r="F129" i="13"/>
  <c r="F95" i="13"/>
  <c r="F130" i="13"/>
  <c r="D179" i="13"/>
  <c r="D151" i="13"/>
  <c r="C101" i="13"/>
  <c r="C100" i="13"/>
  <c r="C96" i="13"/>
  <c r="C103" i="13" s="1"/>
  <c r="C104" i="13" s="1"/>
  <c r="C87" i="13"/>
  <c r="C129" i="13"/>
  <c r="C159" i="13"/>
  <c r="C160" i="13" s="1"/>
  <c r="C161" i="13" s="1"/>
  <c r="C164" i="13"/>
  <c r="C177" i="13"/>
  <c r="C178" i="13"/>
  <c r="C166" i="13"/>
  <c r="C167" i="13"/>
  <c r="F126" i="13" l="1"/>
  <c r="E131" i="13"/>
  <c r="E132" i="13" s="1"/>
  <c r="D131" i="13"/>
  <c r="D132" i="13" s="1"/>
  <c r="C139" i="13"/>
  <c r="C140" i="13" s="1"/>
  <c r="C138" i="13"/>
  <c r="C131" i="13"/>
  <c r="C132" i="13" s="1"/>
  <c r="C141" i="13"/>
  <c r="D133" i="13"/>
  <c r="D134" i="13" s="1"/>
  <c r="E133" i="13"/>
  <c r="E138" i="13"/>
  <c r="E139" i="13"/>
  <c r="E140" i="13" s="1"/>
  <c r="E141" i="13"/>
  <c r="D138" i="13"/>
  <c r="D139" i="13"/>
  <c r="D140" i="13" s="1"/>
  <c r="D141" i="13"/>
  <c r="D171" i="13"/>
  <c r="D172" i="13"/>
  <c r="F87" i="13"/>
  <c r="F96" i="13"/>
  <c r="F103" i="13" s="1"/>
  <c r="F104" i="13" s="1"/>
  <c r="F137" i="13"/>
  <c r="F133" i="13"/>
  <c r="F134" i="13" s="1"/>
  <c r="E83" i="13"/>
  <c r="D87" i="13"/>
  <c r="D96" i="13"/>
  <c r="D103" i="13" s="1"/>
  <c r="D104" i="13" s="1"/>
  <c r="E96" i="13"/>
  <c r="E103" i="13" s="1"/>
  <c r="E104" i="13" s="1"/>
  <c r="E87" i="13"/>
  <c r="F131" i="13"/>
  <c r="F132" i="13" s="1"/>
  <c r="D83" i="13"/>
  <c r="C105" i="13"/>
  <c r="C106" i="13"/>
  <c r="C133" i="13"/>
  <c r="C179" i="13"/>
  <c r="C151" i="13"/>
  <c r="C169" i="13"/>
  <c r="C170" i="13" s="1"/>
  <c r="C142" i="13" l="1"/>
  <c r="E142" i="13"/>
  <c r="E143" i="13" s="1"/>
  <c r="E144" i="13" s="1"/>
  <c r="D142" i="13"/>
  <c r="D143" i="13" s="1"/>
  <c r="D144" i="13" s="1"/>
  <c r="C84" i="13"/>
  <c r="E134" i="13"/>
  <c r="F105" i="13"/>
  <c r="F106" i="13"/>
  <c r="E105" i="13"/>
  <c r="E106" i="13"/>
  <c r="D105" i="13"/>
  <c r="D106" i="13"/>
  <c r="F138" i="13"/>
  <c r="F139" i="13"/>
  <c r="F140" i="13" s="1"/>
  <c r="F141" i="13"/>
  <c r="F142" i="13" s="1"/>
  <c r="F143" i="13" s="1"/>
  <c r="F144" i="13" s="1"/>
  <c r="F83" i="13"/>
  <c r="C171" i="13"/>
  <c r="C134" i="13"/>
  <c r="E84" i="13"/>
  <c r="D84" i="13"/>
  <c r="C172" i="13"/>
  <c r="E85" i="13" l="1"/>
  <c r="D85" i="13"/>
  <c r="F84" i="13"/>
  <c r="F85" i="13"/>
  <c r="C143" i="13"/>
  <c r="C144" i="13" s="1"/>
  <c r="C85" i="13"/>
</calcChain>
</file>

<file path=xl/sharedStrings.xml><?xml version="1.0" encoding="utf-8"?>
<sst xmlns="http://schemas.openxmlformats.org/spreadsheetml/2006/main" count="535" uniqueCount="203">
  <si>
    <t>Unit</t>
  </si>
  <si>
    <t># Bunches</t>
  </si>
  <si>
    <t>Bunch Length</t>
  </si>
  <si>
    <t>MW</t>
  </si>
  <si>
    <t>10^10</t>
  </si>
  <si>
    <t>A</t>
  </si>
  <si>
    <t>Frev</t>
  </si>
  <si>
    <t>Gamma</t>
  </si>
  <si>
    <t>Beta</t>
  </si>
  <si>
    <t>Bunch Charge</t>
  </si>
  <si>
    <t>nC</t>
  </si>
  <si>
    <t>Hz</t>
  </si>
  <si>
    <t>m</t>
  </si>
  <si>
    <t>MV</t>
  </si>
  <si>
    <t>Frf</t>
  </si>
  <si>
    <t>MHz</t>
  </si>
  <si>
    <t>e- Energy (GeV)</t>
  </si>
  <si>
    <t>cm (rms)</t>
  </si>
  <si>
    <t>ps (rms)</t>
  </si>
  <si>
    <t>Average Beam Current</t>
  </si>
  <si>
    <t>Total Voltage</t>
  </si>
  <si>
    <t>deg</t>
  </si>
  <si>
    <t>Cgamma (Sand's Constant)</t>
  </si>
  <si>
    <t>m GeV^-3</t>
  </si>
  <si>
    <t>RHIC Circumference</t>
  </si>
  <si>
    <t>Bend Radius Scale Factor</t>
  </si>
  <si>
    <t>gammaT</t>
  </si>
  <si>
    <t>Overvoltage Factor</t>
  </si>
  <si>
    <t>Cq</t>
  </si>
  <si>
    <t>mm (rms)</t>
  </si>
  <si>
    <t>Cavity Number Cells</t>
  </si>
  <si>
    <t>W (rms)</t>
  </si>
  <si>
    <t>kW</t>
  </si>
  <si>
    <t>dE/E (Bunch) (Equilibrium)</t>
  </si>
  <si>
    <t>Notes:</t>
  </si>
  <si>
    <t>Right most column has RHIC, e-, 5 GeV, GammaT = 31, Vt = 12.7MV, PhiS = 11.5 deg (off stationary 180 deg)</t>
  </si>
  <si>
    <t>PhiS achieved by tweaking Bdot.</t>
  </si>
  <si>
    <t>Tuckmantel</t>
  </si>
  <si>
    <t>(4) thru (28) from "Accelerator Physics at LEP", CERN-SL-2000-037 DI</t>
  </si>
  <si>
    <t>RHIC Dip Bend Rad</t>
  </si>
  <si>
    <t>MV/m</t>
  </si>
  <si>
    <t>MeV</t>
  </si>
  <si>
    <t>s / eV</t>
  </si>
  <si>
    <t>eta</t>
  </si>
  <si>
    <t>Dugan, USPAS, Jan 2002</t>
  </si>
  <si>
    <t>https://www.classe.cornell.edu/~dugan/USPAS/</t>
  </si>
  <si>
    <t>rad</t>
  </si>
  <si>
    <t>dE Bucket</t>
  </si>
  <si>
    <t>dGamma Bucket</t>
  </si>
  <si>
    <t>Lambda</t>
  </si>
  <si>
    <t>H1 System</t>
  </si>
  <si>
    <t>PhiS</t>
  </si>
  <si>
    <t>mT</t>
  </si>
  <si>
    <t>dE per Turn (Calc)</t>
  </si>
  <si>
    <t>Jlong (Longitudinal Damping Part #)</t>
  </si>
  <si>
    <t>RCS Parameter</t>
  </si>
  <si>
    <t>Base harmonic</t>
  </si>
  <si>
    <t>System Harmonic</t>
  </si>
  <si>
    <t>J</t>
  </si>
  <si>
    <t>W</t>
  </si>
  <si>
    <t>harmonic Number</t>
  </si>
  <si>
    <t>By: KSS</t>
  </si>
  <si>
    <t>eSR Dip Bend Rad</t>
  </si>
  <si>
    <t>Particles per Bunch (VP6.0)</t>
  </si>
  <si>
    <t>Bunch Length (VP6.0)</t>
  </si>
  <si>
    <t>dE per Turn (VP6.0)</t>
  </si>
  <si>
    <t>Number of Bunches</t>
  </si>
  <si>
    <t>Bunch Frequency</t>
  </si>
  <si>
    <t>Energy</t>
  </si>
  <si>
    <t>Particles per Bunch</t>
  </si>
  <si>
    <t>GeV</t>
  </si>
  <si>
    <t>HOM Power:</t>
  </si>
  <si>
    <t>Phom = khom*Qb*Iav</t>
  </si>
  <si>
    <t>khom scales as:</t>
  </si>
  <si>
    <t>~ Ncells</t>
  </si>
  <si>
    <t>~1/ sqrt(sig_z)</t>
  </si>
  <si>
    <t>cm</t>
  </si>
  <si>
    <t>Bunch Harmonic Number</t>
  </si>
  <si>
    <t>~sqrt(f)</t>
  </si>
  <si>
    <t>kV</t>
  </si>
  <si>
    <t>eSR HOM Power Reference</t>
  </si>
  <si>
    <t>H1 HOM Power per Cavity</t>
  </si>
  <si>
    <t>H1 Cavity Frequency</t>
  </si>
  <si>
    <t>H3 HOM Power per Cavity</t>
  </si>
  <si>
    <t>H3 Cavity Frequency</t>
  </si>
  <si>
    <t>Maximum Cavity Operating Voltage</t>
  </si>
  <si>
    <t>Maximum Cavity Operating Eacc</t>
  </si>
  <si>
    <t>%</t>
  </si>
  <si>
    <t>Bpk/Eacc</t>
  </si>
  <si>
    <t>Epk/Eacc</t>
  </si>
  <si>
    <t>Ohm (ckt)</t>
  </si>
  <si>
    <t>Gohm (ckt)</t>
  </si>
  <si>
    <t>m/GeV^2</t>
  </si>
  <si>
    <t>Equilibrium Bunch Length (RF FD)</t>
  </si>
  <si>
    <t>Longitudinal Beta (RF FD)</t>
  </si>
  <si>
    <t>dE/E Bucket (RF FD)</t>
  </si>
  <si>
    <t>Number H1 Focusing (F) Cavities</t>
  </si>
  <si>
    <t>Number H1 Defocusing (D) Cavities</t>
  </si>
  <si>
    <t>Params for RF all F</t>
  </si>
  <si>
    <t>Params for RF FD</t>
  </si>
  <si>
    <t>dE/E (Bucket)</t>
  </si>
  <si>
    <t>Qsync (RF FD)</t>
  </si>
  <si>
    <t>Fsync (RF FD)</t>
  </si>
  <si>
    <t>Qsync (RF F)</t>
  </si>
  <si>
    <t>Fsync (RF F)</t>
  </si>
  <si>
    <t>Equilibrium Bunch Length (RF F)</t>
  </si>
  <si>
    <t>Longitudinal Beta (RF F)</t>
  </si>
  <si>
    <t>dE/E Bucket (RF F)</t>
  </si>
  <si>
    <t>Half, (1E-3)</t>
  </si>
  <si>
    <t>Half, 1E-3</t>
  </si>
  <si>
    <t>Half, MeV</t>
  </si>
  <si>
    <t>Half, Gamma</t>
  </si>
  <si>
    <t>Synchrotron Radiation Power Load per Cavity</t>
  </si>
  <si>
    <t>Synchrotron Radiation Power Load</t>
  </si>
  <si>
    <t>Total Beam Power</t>
  </si>
  <si>
    <t>Total Beam Power per Cavity</t>
  </si>
  <si>
    <t>Cavity Operating Voltage</t>
  </si>
  <si>
    <t>Cavity Stored Energy</t>
  </si>
  <si>
    <t>Bunch Harmonic</t>
  </si>
  <si>
    <t>RF Focus Only Configuration</t>
  </si>
  <si>
    <t>Percent of Maximum Operating Point (F)</t>
  </si>
  <si>
    <t>Percent of Maximum Operating Point (D)</t>
  </si>
  <si>
    <t>Vector Sum Voltage (Focusing)</t>
  </si>
  <si>
    <t>Vector Sum Voltage (Defocusing)</t>
  </si>
  <si>
    <t>Vector Sum If All (Focusing)</t>
  </si>
  <si>
    <t>phiS (Focusing)</t>
  </si>
  <si>
    <t>phiS (Defocusing)</t>
  </si>
  <si>
    <t>Synchronous Voltage (Total)</t>
  </si>
  <si>
    <t>Power to Beam (Focusing)</t>
  </si>
  <si>
    <t>Power to Beam (Defocusing)</t>
  </si>
  <si>
    <t>Power to Beam (Defocusing, per Cavity)</t>
  </si>
  <si>
    <t>Power to Beam (Focusing, per Cavity)</t>
  </si>
  <si>
    <t>Total Power to Beam</t>
  </si>
  <si>
    <t>Focusing Voltage (Total)</t>
  </si>
  <si>
    <t>Equivalent Total Voltage (All Focusing)</t>
  </si>
  <si>
    <t>Equivalent phiS (All Focusing)</t>
  </si>
  <si>
    <t>Equivalent Overvoltage Factor (All Focusing)</t>
  </si>
  <si>
    <t>Cavity Operating Voltage (Focusing)</t>
  </si>
  <si>
    <t>Cavity Stored energy (Focusing)</t>
  </si>
  <si>
    <t>Cavity Eacc (Focusing)</t>
  </si>
  <si>
    <t>Cavity Epk (Focusing)</t>
  </si>
  <si>
    <t>Cavity Bpk (Focusing)</t>
  </si>
  <si>
    <t>Cavity Power Dissipation (Focusing)</t>
  </si>
  <si>
    <t>Cavity Qext (Focusing)</t>
  </si>
  <si>
    <t>FPC Qext (Focusing)</t>
  </si>
  <si>
    <t>Cavity Half Bandwidth (Focusing, No Beam)</t>
  </si>
  <si>
    <t>Cavity Optimal Detuning (Focusing)</t>
  </si>
  <si>
    <t>Cavity Operating Voltage (Defocusing)</t>
  </si>
  <si>
    <t>Cavity Stored Energy (Defocusing)</t>
  </si>
  <si>
    <t>Cavity Eacc (Defocusing)</t>
  </si>
  <si>
    <t>Cavity Bpk (Defocusing)</t>
  </si>
  <si>
    <t>Cavity Epk (Defocusing)</t>
  </si>
  <si>
    <t>Lattice Params</t>
  </si>
  <si>
    <t>Cavity Number of FPCs</t>
  </si>
  <si>
    <t>Cell R/Q</t>
  </si>
  <si>
    <t>Cavity R/Q</t>
  </si>
  <si>
    <t>Cavity Q0 (2K)</t>
  </si>
  <si>
    <t>Cavity Rs</t>
  </si>
  <si>
    <t>Number Cavities</t>
  </si>
  <si>
    <t>HOM Power per Cavity (scaled)</t>
  </si>
  <si>
    <t>HOM Power Total</t>
  </si>
  <si>
    <t>HOM dVsync per Cavity (scaled)</t>
  </si>
  <si>
    <t>HOM dVsync Total</t>
  </si>
  <si>
    <t>dE per Turn (SyncRad + HOM)</t>
  </si>
  <si>
    <t>RF FODO Configuration</t>
  </si>
  <si>
    <t>Focusing Family</t>
  </si>
  <si>
    <t>Defocusing Family</t>
  </si>
  <si>
    <t>Beam and Bucket Params</t>
  </si>
  <si>
    <t>RF Power per FPC</t>
  </si>
  <si>
    <t>Cavity Sync Voltage</t>
  </si>
  <si>
    <t>Cell Eacc</t>
  </si>
  <si>
    <t>Cell Bpk</t>
  </si>
  <si>
    <t>Cell Epk</t>
  </si>
  <si>
    <t>Cavity Power Dissipation to LHe</t>
  </si>
  <si>
    <t>Matched Beta</t>
  </si>
  <si>
    <t>Matched Qext</t>
  </si>
  <si>
    <t>FPC Qext</t>
  </si>
  <si>
    <t>Optimal Detuning</t>
  </si>
  <si>
    <t>Bunch and Bucket Params</t>
  </si>
  <si>
    <t>Parameter</t>
  </si>
  <si>
    <t>BNL EIC eSR RF Parameters</t>
  </si>
  <si>
    <t>Last Update: 2020-03-26</t>
  </si>
  <si>
    <t>Bunch Length (pCDR Spec)</t>
  </si>
  <si>
    <t>dE per Turn (pCDR Spec)</t>
  </si>
  <si>
    <t>Cavity Power Dissipation (Defocusing)</t>
  </si>
  <si>
    <t>Cavity Qext (Defocusing)</t>
  </si>
  <si>
    <t>FPC Qext (Defocusing)</t>
  </si>
  <si>
    <t>Cavity Half Bandwidth (Defocusing, No Beam)</t>
  </si>
  <si>
    <t>Cavity Optimal Detuning (Defocusing)</t>
  </si>
  <si>
    <t>Power to Beam (per Cavity)</t>
  </si>
  <si>
    <t>Power to Beam (Total)</t>
  </si>
  <si>
    <t>Power per FPC</t>
  </si>
  <si>
    <t>Power to Beam per Cavity</t>
  </si>
  <si>
    <t>Power to Beam Total</t>
  </si>
  <si>
    <t>Cavity Half Bandwidth (No Beam)</t>
  </si>
  <si>
    <t>Imaginary Part of Voltage (Focusing)</t>
  </si>
  <si>
    <t>Real Part of Voltage (Focusing)</t>
  </si>
  <si>
    <t>Real Part of Voltage (Defocusing)</t>
  </si>
  <si>
    <t>Imaginary Part of Voltage (Defocusing)</t>
  </si>
  <si>
    <t>591 2-Cell Pk Field Ratios</t>
  </si>
  <si>
    <t>Cavity Coupling Beta (Focusing)</t>
  </si>
  <si>
    <t>Cavity Coupling Beta (Defocusing)</t>
  </si>
  <si>
    <t>alpha (momentum compaction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</si>
</sst>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00000000"/>
    <numFmt numFmtId="167" formatCode="0.000000"/>
    <numFmt numFmtId="168" formatCode="0.000E+00"/>
    <numFmt numFmtId="169" formatCode="0.0E+00"/>
    <numFmt numFmtId="170" formatCode="0.00000"/>
    <numFmt numFmtId="171" formatCode="0.0000"/>
    <numFmt numFmtId="172" formatCode="0.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0" fillId="0" borderId="4" xfId="0" applyNumberFormat="1" applyFill="1" applyBorder="1"/>
    <xf numFmtId="0" fontId="0" fillId="0" borderId="5" xfId="0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168" fontId="0" fillId="0" borderId="4" xfId="0" applyNumberFormat="1" applyFill="1" applyBorder="1"/>
    <xf numFmtId="169" fontId="0" fillId="0" borderId="4" xfId="0" applyNumberFormat="1" applyFill="1" applyBorder="1" applyAlignment="1">
      <alignment horizontal="center"/>
    </xf>
    <xf numFmtId="166" fontId="0" fillId="0" borderId="4" xfId="0" applyNumberFormat="1" applyFill="1" applyBorder="1"/>
    <xf numFmtId="167" fontId="0" fillId="0" borderId="4" xfId="0" applyNumberForma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70" fontId="0" fillId="0" borderId="4" xfId="0" applyNumberFormat="1" applyFill="1" applyBorder="1"/>
    <xf numFmtId="2" fontId="0" fillId="0" borderId="7" xfId="0" applyNumberFormat="1" applyFill="1" applyBorder="1"/>
    <xf numFmtId="165" fontId="0" fillId="0" borderId="7" xfId="0" applyNumberFormat="1" applyFill="1" applyBorder="1"/>
    <xf numFmtId="11" fontId="0" fillId="0" borderId="7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/>
    <xf numFmtId="1" fontId="0" fillId="0" borderId="4" xfId="0" applyNumberFormat="1" applyFill="1" applyBorder="1"/>
    <xf numFmtId="0" fontId="0" fillId="0" borderId="0" xfId="0" applyFill="1"/>
    <xf numFmtId="165" fontId="0" fillId="0" borderId="4" xfId="0" applyNumberFormat="1" applyFill="1" applyBorder="1"/>
    <xf numFmtId="169" fontId="0" fillId="0" borderId="4" xfId="0" applyNumberFormat="1" applyFill="1" applyBorder="1"/>
    <xf numFmtId="11" fontId="0" fillId="0" borderId="4" xfId="0" applyNumberFormat="1" applyFill="1" applyBorder="1"/>
    <xf numFmtId="0" fontId="1" fillId="0" borderId="0" xfId="0" applyFont="1" applyAlignment="1">
      <alignment horizontal="center"/>
    </xf>
    <xf numFmtId="172" fontId="0" fillId="0" borderId="4" xfId="0" applyNumberFormat="1" applyFill="1" applyBorder="1"/>
    <xf numFmtId="0" fontId="1" fillId="0" borderId="0" xfId="0" applyFont="1" applyFill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/>
    <xf numFmtId="0" fontId="1" fillId="0" borderId="4" xfId="0" applyFont="1" applyFill="1" applyBorder="1"/>
    <xf numFmtId="164" fontId="0" fillId="0" borderId="7" xfId="0" applyNumberFormat="1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/>
    <xf numFmtId="1" fontId="0" fillId="3" borderId="4" xfId="0" applyNumberForma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164" fontId="0" fillId="5" borderId="4" xfId="0" applyNumberFormat="1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165" fontId="0" fillId="6" borderId="4" xfId="0" applyNumberFormat="1" applyFill="1" applyBorder="1"/>
    <xf numFmtId="164" fontId="0" fillId="6" borderId="4" xfId="0" applyNumberFormat="1" applyFill="1" applyBorder="1"/>
    <xf numFmtId="171" fontId="0" fillId="0" borderId="0" xfId="0" applyNumberFormat="1"/>
    <xf numFmtId="11" fontId="0" fillId="0" borderId="0" xfId="0" applyNumberFormat="1"/>
    <xf numFmtId="165" fontId="0" fillId="0" borderId="0" xfId="0" applyNumberFormat="1" applyFill="1"/>
    <xf numFmtId="1" fontId="0" fillId="0" borderId="0" xfId="0" applyNumberFormat="1" applyFill="1"/>
    <xf numFmtId="11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" fontId="0" fillId="0" borderId="4" xfId="0" applyNumberFormat="1" applyFont="1" applyFill="1" applyBorder="1"/>
    <xf numFmtId="1" fontId="0" fillId="2" borderId="4" xfId="0" applyNumberFormat="1" applyFill="1" applyBorder="1"/>
    <xf numFmtId="165" fontId="0" fillId="2" borderId="4" xfId="0" applyNumberFormat="1" applyFill="1" applyBorder="1"/>
    <xf numFmtId="0" fontId="1" fillId="8" borderId="0" xfId="0" applyFont="1" applyFill="1" applyAlignment="1">
      <alignment horizontal="right"/>
    </xf>
    <xf numFmtId="165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left"/>
    </xf>
    <xf numFmtId="165" fontId="0" fillId="8" borderId="0" xfId="0" applyNumberFormat="1" applyFill="1"/>
    <xf numFmtId="0" fontId="0" fillId="8" borderId="0" xfId="0" applyFill="1"/>
    <xf numFmtId="165" fontId="0" fillId="5" borderId="4" xfId="0" applyNumberFormat="1" applyFill="1" applyBorder="1"/>
    <xf numFmtId="11" fontId="0" fillId="7" borderId="4" xfId="0" applyNumberFormat="1" applyFill="1" applyBorder="1"/>
    <xf numFmtId="168" fontId="0" fillId="7" borderId="4" xfId="0" applyNumberFormat="1" applyFill="1" applyBorder="1"/>
    <xf numFmtId="49" fontId="0" fillId="6" borderId="4" xfId="0" applyNumberFormat="1" applyFill="1" applyBorder="1" applyAlignment="1">
      <alignment horizontal="center"/>
    </xf>
    <xf numFmtId="1" fontId="0" fillId="6" borderId="4" xfId="0" applyNumberFormat="1" applyFill="1" applyBorder="1"/>
    <xf numFmtId="169" fontId="0" fillId="6" borderId="4" xfId="0" applyNumberFormat="1" applyFill="1" applyBorder="1" applyAlignment="1">
      <alignment horizontal="center"/>
    </xf>
    <xf numFmtId="171" fontId="0" fillId="6" borderId="4" xfId="0" applyNumberFormat="1" applyFill="1" applyBorder="1"/>
    <xf numFmtId="2" fontId="0" fillId="6" borderId="4" xfId="0" applyNumberFormat="1" applyFill="1" applyBorder="1"/>
    <xf numFmtId="2" fontId="0" fillId="5" borderId="4" xfId="0" applyNumberFormat="1" applyFill="1" applyBorder="1"/>
    <xf numFmtId="0" fontId="3" fillId="0" borderId="0" xfId="1"/>
    <xf numFmtId="164" fontId="0" fillId="6" borderId="4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179734</xdr:colOff>
      <xdr:row>25</xdr:row>
      <xdr:rowOff>189929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9933334" cy="4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8</xdr:col>
      <xdr:colOff>304229</xdr:colOff>
      <xdr:row>41</xdr:row>
      <xdr:rowOff>66381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24500"/>
          <a:ext cx="4571429" cy="2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17</xdr:col>
      <xdr:colOff>256610</xdr:colOff>
      <xdr:row>41</xdr:row>
      <xdr:rowOff>85429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524500"/>
          <a:ext cx="4523810" cy="2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8</xdr:col>
      <xdr:colOff>380419</xdr:colOff>
      <xdr:row>63</xdr:row>
      <xdr:rowOff>18572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191500"/>
          <a:ext cx="4647619" cy="382857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17</xdr:col>
      <xdr:colOff>342324</xdr:colOff>
      <xdr:row>53</xdr:row>
      <xdr:rowOff>47381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8191500"/>
          <a:ext cx="4609524" cy="195238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26</xdr:col>
      <xdr:colOff>304229</xdr:colOff>
      <xdr:row>66</xdr:row>
      <xdr:rowOff>65786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5524500"/>
          <a:ext cx="4571429" cy="7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17</xdr:col>
      <xdr:colOff>398782</xdr:colOff>
      <xdr:row>29</xdr:row>
      <xdr:rowOff>75976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152382" cy="1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122591</xdr:colOff>
      <xdr:row>53</xdr:row>
      <xdr:rowOff>75691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667000"/>
          <a:ext cx="9876191" cy="40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17</xdr:col>
      <xdr:colOff>84496</xdr:colOff>
      <xdr:row>77</xdr:row>
      <xdr:rowOff>151857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048500"/>
          <a:ext cx="9838096" cy="4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21</xdr:col>
      <xdr:colOff>36572</xdr:colOff>
      <xdr:row>101</xdr:row>
      <xdr:rowOff>132810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620500"/>
          <a:ext cx="12228572" cy="4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11</xdr:col>
      <xdr:colOff>151619</xdr:colOff>
      <xdr:row>127</xdr:row>
      <xdr:rowOff>104215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383000"/>
          <a:ext cx="6247619" cy="448571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22</xdr:col>
      <xdr:colOff>189715</xdr:colOff>
      <xdr:row>127</xdr:row>
      <xdr:rowOff>85167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16383000"/>
          <a:ext cx="6285715" cy="446666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33</xdr:col>
      <xdr:colOff>199239</xdr:colOff>
      <xdr:row>127</xdr:row>
      <xdr:rowOff>85167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20800" y="16383000"/>
          <a:ext cx="6295239" cy="4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8</xdr:col>
      <xdr:colOff>351848</xdr:colOff>
      <xdr:row>147</xdr:row>
      <xdr:rowOff>47238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1526500"/>
          <a:ext cx="4619048" cy="3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13</xdr:col>
      <xdr:colOff>484801</xdr:colOff>
      <xdr:row>161</xdr:row>
      <xdr:rowOff>47310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4765000"/>
          <a:ext cx="7800001" cy="2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148</xdr:row>
      <xdr:rowOff>0</xdr:rowOff>
    </xdr:from>
    <xdr:to>
      <xdr:col>24</xdr:col>
      <xdr:colOff>542172</xdr:colOff>
      <xdr:row>166</xdr:row>
      <xdr:rowOff>56715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44000" y="24765000"/>
          <a:ext cx="6028572" cy="3485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14</xdr:col>
      <xdr:colOff>160915</xdr:colOff>
      <xdr:row>215</xdr:row>
      <xdr:rowOff>27453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8575000"/>
          <a:ext cx="8085715" cy="898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15</xdr:col>
      <xdr:colOff>217982</xdr:colOff>
      <xdr:row>250</xdr:row>
      <xdr:rowOff>27786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37909500"/>
          <a:ext cx="8752382" cy="6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11</xdr:col>
      <xdr:colOff>46858</xdr:colOff>
      <xdr:row>297</xdr:row>
      <xdr:rowOff>170334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4386500"/>
          <a:ext cx="6142858" cy="8933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9</xdr:col>
      <xdr:colOff>208991</xdr:colOff>
      <xdr:row>309</xdr:row>
      <xdr:rowOff>171214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53721000"/>
          <a:ext cx="4476191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608686</xdr:colOff>
      <xdr:row>15</xdr:row>
      <xdr:rowOff>190143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190500"/>
          <a:ext cx="7314286" cy="2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33</xdr:col>
      <xdr:colOff>351239</xdr:colOff>
      <xdr:row>59</xdr:row>
      <xdr:rowOff>27643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972800" y="3810000"/>
          <a:ext cx="9495239" cy="7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10</xdr:col>
      <xdr:colOff>523200</xdr:colOff>
      <xdr:row>329</xdr:row>
      <xdr:rowOff>75881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60198000"/>
          <a:ext cx="5400000" cy="25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316</xdr:row>
      <xdr:rowOff>0</xdr:rowOff>
    </xdr:from>
    <xdr:to>
      <xdr:col>21</xdr:col>
      <xdr:colOff>161219</xdr:colOff>
      <xdr:row>335</xdr:row>
      <xdr:rowOff>37643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15200" y="60198000"/>
          <a:ext cx="5647619" cy="36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316</xdr:row>
      <xdr:rowOff>0</xdr:rowOff>
    </xdr:from>
    <xdr:to>
      <xdr:col>31</xdr:col>
      <xdr:colOff>8838</xdr:colOff>
      <xdr:row>335</xdr:row>
      <xdr:rowOff>123357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11200" y="60198000"/>
          <a:ext cx="5495238" cy="3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10</xdr:col>
      <xdr:colOff>494629</xdr:colOff>
      <xdr:row>356</xdr:row>
      <xdr:rowOff>94786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64198500"/>
          <a:ext cx="5371429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337</xdr:row>
      <xdr:rowOff>0</xdr:rowOff>
    </xdr:from>
    <xdr:to>
      <xdr:col>21</xdr:col>
      <xdr:colOff>8838</xdr:colOff>
      <xdr:row>356</xdr:row>
      <xdr:rowOff>113834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15200" y="64198500"/>
          <a:ext cx="5495238" cy="373333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337</xdr:row>
      <xdr:rowOff>0</xdr:rowOff>
    </xdr:from>
    <xdr:to>
      <xdr:col>30</xdr:col>
      <xdr:colOff>504153</xdr:colOff>
      <xdr:row>356</xdr:row>
      <xdr:rowOff>85262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11200" y="64198500"/>
          <a:ext cx="5380953" cy="3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457200</xdr:colOff>
      <xdr:row>46</xdr:row>
      <xdr:rowOff>120520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7772400" cy="79310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28575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0391775" cy="701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9</xdr:col>
      <xdr:colOff>161296</xdr:colOff>
      <xdr:row>81</xdr:row>
      <xdr:rowOff>113310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620000"/>
          <a:ext cx="5038096" cy="79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26</xdr:col>
      <xdr:colOff>65448</xdr:colOff>
      <xdr:row>59</xdr:row>
      <xdr:rowOff>94786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7620000"/>
          <a:ext cx="9819048" cy="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lasse.cornell.edu/~dugan/USPA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35"/>
  <sheetViews>
    <sheetView zoomScaleNormal="100" workbookViewId="0">
      <selection activeCell="L38" sqref="L38"/>
    </sheetView>
  </sheetViews>
  <sheetFormatPr defaultRowHeight="15" x14ac:dyDescent="0.25"/>
  <sheetData>
    <row r="1" spans="1:1" x14ac:dyDescent="0.25">
      <c r="A1" t="s">
        <v>34</v>
      </c>
    </row>
    <row r="21" s="12" customFormat="1" x14ac:dyDescent="0.25"/>
    <row r="24" s="12" customFormat="1" x14ac:dyDescent="0.25"/>
    <row r="30" s="12" customFormat="1" x14ac:dyDescent="0.25"/>
    <row r="34" s="12" customFormat="1" x14ac:dyDescent="0.25"/>
    <row r="35" s="12" customFormat="1" x14ac:dyDescent="0.25"/>
  </sheetData>
  <printOptions gridLines="1"/>
  <pageMargins left="0.7" right="0.7" top="0.75" bottom="0.75" header="0.3" footer="0.3"/>
  <pageSetup paperSize="121" fitToHeight="2" orientation="landscape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47"/>
  <sheetViews>
    <sheetView tabSelected="1" topLeftCell="A19" zoomScale="90" zoomScaleNormal="90" workbookViewId="0">
      <selection activeCell="O59" sqref="O59"/>
    </sheetView>
  </sheetViews>
  <sheetFormatPr defaultRowHeight="15" x14ac:dyDescent="0.25"/>
  <cols>
    <col min="1" max="1" width="44.7109375" customWidth="1"/>
    <col min="2" max="3" width="16.7109375" customWidth="1"/>
    <col min="4" max="4" width="16.7109375" style="12" customWidth="1"/>
    <col min="5" max="6" width="16.7109375" customWidth="1"/>
    <col min="7" max="7" width="12.7109375" style="9" customWidth="1"/>
    <col min="8" max="8" width="44.7109375" style="12" customWidth="1"/>
    <col min="9" max="13" width="16.7109375" style="12" customWidth="1"/>
    <col min="14" max="14" width="12.7109375" customWidth="1"/>
    <col min="15" max="15" width="18.7109375" customWidth="1"/>
    <col min="16" max="16" width="40.7109375" customWidth="1"/>
    <col min="17" max="17" width="16.7109375" customWidth="1"/>
    <col min="18" max="22" width="18.7109375" customWidth="1"/>
  </cols>
  <sheetData>
    <row r="1" spans="1:13" x14ac:dyDescent="0.25">
      <c r="A1" s="1" t="s">
        <v>180</v>
      </c>
      <c r="B1" s="1"/>
      <c r="C1" s="29" t="s">
        <v>24</v>
      </c>
      <c r="D1" s="2" t="s">
        <v>12</v>
      </c>
      <c r="E1" s="3">
        <v>3833.8451810000001</v>
      </c>
      <c r="H1" s="13"/>
      <c r="I1" s="13"/>
      <c r="J1" s="29"/>
      <c r="K1" s="2"/>
      <c r="L1" s="3"/>
    </row>
    <row r="2" spans="1:13" x14ac:dyDescent="0.25">
      <c r="A2" s="13" t="s">
        <v>181</v>
      </c>
      <c r="C2" s="29" t="s">
        <v>39</v>
      </c>
      <c r="D2" s="2" t="s">
        <v>12</v>
      </c>
      <c r="E2" s="3">
        <v>242.78059999999999</v>
      </c>
      <c r="F2" s="9"/>
      <c r="H2" s="13"/>
      <c r="I2" s="13"/>
      <c r="J2" s="29"/>
      <c r="K2" s="2"/>
      <c r="L2" s="3"/>
    </row>
    <row r="3" spans="1:13" x14ac:dyDescent="0.25">
      <c r="A3" s="13" t="s">
        <v>61</v>
      </c>
      <c r="B3" s="1"/>
      <c r="C3" s="29" t="s">
        <v>62</v>
      </c>
      <c r="D3" s="2" t="s">
        <v>12</v>
      </c>
      <c r="E3" s="9">
        <v>241.19800000000001</v>
      </c>
      <c r="F3" s="9"/>
      <c r="H3" s="13"/>
      <c r="I3" s="13"/>
      <c r="J3" s="29"/>
      <c r="K3" s="2"/>
      <c r="L3" s="3"/>
    </row>
    <row r="4" spans="1:13" s="12" customFormat="1" x14ac:dyDescent="0.25">
      <c r="A4" s="13"/>
      <c r="B4" s="13"/>
      <c r="C4" s="18"/>
      <c r="D4" s="18"/>
      <c r="E4" s="2"/>
      <c r="F4" s="9"/>
      <c r="G4" s="9"/>
      <c r="H4" s="13"/>
      <c r="I4" s="13"/>
      <c r="J4" s="18"/>
      <c r="K4" s="18"/>
      <c r="L4" s="2"/>
      <c r="M4" s="3"/>
    </row>
    <row r="5" spans="1:13" s="12" customFormat="1" x14ac:dyDescent="0.25">
      <c r="A5" s="13"/>
      <c r="B5" s="13"/>
      <c r="C5" s="29" t="s">
        <v>56</v>
      </c>
      <c r="D5" s="18">
        <v>315</v>
      </c>
      <c r="E5" s="2"/>
      <c r="F5" s="9"/>
      <c r="G5" s="9"/>
      <c r="H5" s="13"/>
      <c r="I5" s="13"/>
      <c r="J5" s="18"/>
      <c r="K5" s="18"/>
      <c r="L5" s="2"/>
      <c r="M5" s="3"/>
    </row>
    <row r="6" spans="1:13" s="12" customFormat="1" x14ac:dyDescent="0.25">
      <c r="A6" s="13"/>
      <c r="B6" s="13"/>
      <c r="C6" s="29"/>
      <c r="D6" s="18"/>
      <c r="E6" s="33"/>
      <c r="F6" s="9"/>
      <c r="G6" s="9"/>
      <c r="H6" s="13"/>
      <c r="I6" s="13"/>
      <c r="J6" s="18"/>
      <c r="K6" s="18"/>
      <c r="L6" s="33"/>
      <c r="M6" s="3"/>
    </row>
    <row r="7" spans="1:13" s="12" customFormat="1" x14ac:dyDescent="0.25">
      <c r="A7" s="13"/>
      <c r="B7" s="13"/>
      <c r="C7" s="29"/>
      <c r="D7" s="18"/>
      <c r="E7" s="33"/>
      <c r="F7" s="9"/>
      <c r="G7" s="9"/>
      <c r="H7" s="13"/>
      <c r="I7" s="13"/>
      <c r="J7" s="18"/>
      <c r="K7" s="18"/>
      <c r="L7" s="33"/>
      <c r="M7" s="3"/>
    </row>
    <row r="8" spans="1:13" s="12" customFormat="1" x14ac:dyDescent="0.25">
      <c r="A8" s="13" t="s">
        <v>80</v>
      </c>
      <c r="B8" s="13"/>
      <c r="C8" s="29"/>
      <c r="D8" s="18"/>
      <c r="E8" s="29" t="s">
        <v>71</v>
      </c>
      <c r="F8" s="9" t="s">
        <v>72</v>
      </c>
      <c r="G8" s="9"/>
      <c r="H8" s="13"/>
      <c r="I8" s="13"/>
      <c r="J8" s="18"/>
      <c r="K8" s="18"/>
      <c r="L8" s="33"/>
      <c r="M8" s="3"/>
    </row>
    <row r="9" spans="1:13" s="12" customFormat="1" x14ac:dyDescent="0.25">
      <c r="A9" s="29" t="s">
        <v>66</v>
      </c>
      <c r="B9" s="13">
        <v>580</v>
      </c>
      <c r="C9" s="29"/>
      <c r="D9" s="18"/>
      <c r="E9" s="33"/>
      <c r="F9" s="9"/>
      <c r="G9" s="9"/>
      <c r="H9" s="13"/>
      <c r="I9" s="13"/>
      <c r="J9" s="18"/>
      <c r="K9" s="18"/>
      <c r="L9" s="33"/>
      <c r="M9" s="3"/>
    </row>
    <row r="10" spans="1:13" s="12" customFormat="1" x14ac:dyDescent="0.25">
      <c r="A10" s="29" t="s">
        <v>77</v>
      </c>
      <c r="B10" s="13">
        <v>630</v>
      </c>
      <c r="C10" s="29"/>
      <c r="D10" s="18"/>
      <c r="E10" s="29" t="s">
        <v>73</v>
      </c>
      <c r="F10" s="9" t="s">
        <v>78</v>
      </c>
      <c r="G10" s="9"/>
      <c r="H10" s="13"/>
      <c r="I10" s="13"/>
      <c r="J10" s="18"/>
      <c r="K10" s="18"/>
      <c r="L10" s="33"/>
      <c r="M10" s="3"/>
    </row>
    <row r="11" spans="1:13" s="12" customFormat="1" x14ac:dyDescent="0.25">
      <c r="A11" s="29" t="s">
        <v>67</v>
      </c>
      <c r="B11" s="34">
        <v>49.2</v>
      </c>
      <c r="C11" s="29" t="s">
        <v>15</v>
      </c>
      <c r="D11" s="18"/>
      <c r="E11" s="33"/>
      <c r="F11" s="9" t="s">
        <v>74</v>
      </c>
      <c r="G11" s="9"/>
      <c r="H11" s="13"/>
      <c r="I11" s="13"/>
      <c r="J11" s="18"/>
      <c r="K11" s="18"/>
      <c r="L11" s="33"/>
      <c r="M11" s="3"/>
    </row>
    <row r="12" spans="1:13" s="12" customFormat="1" x14ac:dyDescent="0.25">
      <c r="A12" s="29" t="s">
        <v>68</v>
      </c>
      <c r="B12" s="34">
        <v>10</v>
      </c>
      <c r="C12" s="29" t="s">
        <v>70</v>
      </c>
      <c r="D12" s="18"/>
      <c r="E12" s="33"/>
      <c r="F12" s="9" t="s">
        <v>75</v>
      </c>
      <c r="G12" s="9"/>
      <c r="H12" s="13"/>
      <c r="I12" s="13"/>
      <c r="J12" s="18"/>
      <c r="K12" s="18"/>
      <c r="L12" s="33"/>
      <c r="M12" s="3"/>
    </row>
    <row r="13" spans="1:13" s="12" customFormat="1" x14ac:dyDescent="0.25">
      <c r="A13" s="29" t="s">
        <v>69</v>
      </c>
      <c r="B13" s="34">
        <v>34.4</v>
      </c>
      <c r="C13" s="29"/>
      <c r="D13" s="18"/>
      <c r="E13" s="33"/>
      <c r="F13" s="9"/>
      <c r="G13" s="9"/>
      <c r="H13" s="13"/>
      <c r="I13" s="13"/>
      <c r="J13" s="18"/>
      <c r="K13" s="18"/>
      <c r="L13" s="33"/>
      <c r="M13" s="3"/>
    </row>
    <row r="14" spans="1:13" s="12" customFormat="1" x14ac:dyDescent="0.25">
      <c r="A14" s="29" t="s">
        <v>9</v>
      </c>
      <c r="B14" s="34">
        <v>55.1</v>
      </c>
      <c r="C14" s="29" t="s">
        <v>10</v>
      </c>
      <c r="D14" s="18"/>
      <c r="E14" s="18" t="s">
        <v>199</v>
      </c>
      <c r="F14" s="9"/>
      <c r="G14" s="9"/>
      <c r="H14" s="13"/>
      <c r="I14" s="13"/>
      <c r="J14" s="18"/>
      <c r="K14" s="18"/>
      <c r="L14" s="33"/>
      <c r="M14" s="3"/>
    </row>
    <row r="15" spans="1:13" s="12" customFormat="1" x14ac:dyDescent="0.25">
      <c r="A15" s="29" t="s">
        <v>2</v>
      </c>
      <c r="B15" s="34">
        <v>2</v>
      </c>
      <c r="C15" s="29" t="s">
        <v>76</v>
      </c>
      <c r="D15" s="18"/>
      <c r="E15" s="33" t="s">
        <v>88</v>
      </c>
      <c r="F15" s="9">
        <v>5.21</v>
      </c>
      <c r="G15" s="9"/>
      <c r="H15" s="13"/>
      <c r="I15" s="13"/>
      <c r="J15" s="18"/>
      <c r="K15" s="18"/>
      <c r="L15" s="33"/>
      <c r="M15" s="3"/>
    </row>
    <row r="16" spans="1:13" s="12" customFormat="1" x14ac:dyDescent="0.25">
      <c r="A16" s="29"/>
      <c r="B16" s="34"/>
      <c r="C16" s="29"/>
      <c r="D16" s="18"/>
      <c r="E16" s="33" t="s">
        <v>89</v>
      </c>
      <c r="F16" s="9">
        <v>2.75</v>
      </c>
      <c r="G16" s="9"/>
      <c r="H16" s="13"/>
      <c r="I16" s="13"/>
      <c r="J16" s="18"/>
      <c r="K16" s="18"/>
      <c r="L16" s="33"/>
      <c r="M16" s="3"/>
    </row>
    <row r="17" spans="1:13" s="12" customFormat="1" x14ac:dyDescent="0.25">
      <c r="A17" s="29" t="s">
        <v>81</v>
      </c>
      <c r="B17" s="34">
        <v>81.3</v>
      </c>
      <c r="C17" s="29" t="s">
        <v>32</v>
      </c>
      <c r="D17" s="18"/>
      <c r="E17" s="2"/>
      <c r="F17" s="3"/>
      <c r="G17" s="9"/>
      <c r="H17" s="13"/>
      <c r="I17" s="13"/>
      <c r="J17" s="29"/>
      <c r="K17" s="18"/>
      <c r="L17" s="2"/>
      <c r="M17" s="9"/>
    </row>
    <row r="18" spans="1:13" s="12" customFormat="1" x14ac:dyDescent="0.25">
      <c r="A18" s="29" t="s">
        <v>82</v>
      </c>
      <c r="B18" s="34">
        <v>591.20000000000005</v>
      </c>
      <c r="C18" s="29" t="s">
        <v>15</v>
      </c>
      <c r="D18" s="18"/>
      <c r="E18" s="33"/>
      <c r="F18" s="3"/>
      <c r="G18" s="9"/>
      <c r="H18" s="13"/>
      <c r="I18" s="13"/>
      <c r="J18" s="29"/>
      <c r="K18" s="18"/>
      <c r="L18" s="33"/>
      <c r="M18" s="9"/>
    </row>
    <row r="19" spans="1:13" s="12" customFormat="1" x14ac:dyDescent="0.25">
      <c r="A19" s="29"/>
      <c r="B19" s="34"/>
      <c r="C19" s="29"/>
      <c r="D19" s="18"/>
      <c r="E19" s="33"/>
      <c r="F19" s="3"/>
      <c r="G19" s="9"/>
      <c r="H19" s="13"/>
      <c r="I19" s="13"/>
      <c r="J19" s="29"/>
      <c r="K19" s="18"/>
      <c r="L19" s="33"/>
      <c r="M19" s="9"/>
    </row>
    <row r="20" spans="1:13" s="12" customFormat="1" x14ac:dyDescent="0.25">
      <c r="A20" s="29" t="s">
        <v>83</v>
      </c>
      <c r="B20" s="34">
        <v>31.1</v>
      </c>
      <c r="C20" s="29" t="s">
        <v>32</v>
      </c>
      <c r="D20" s="18"/>
      <c r="E20" s="33"/>
      <c r="F20" s="3"/>
      <c r="G20" s="9"/>
      <c r="H20" s="13"/>
      <c r="I20" s="13"/>
      <c r="J20" s="29"/>
      <c r="K20" s="18"/>
      <c r="L20" s="33"/>
      <c r="M20" s="9"/>
    </row>
    <row r="21" spans="1:13" s="12" customFormat="1" x14ac:dyDescent="0.25">
      <c r="A21" s="29" t="s">
        <v>84</v>
      </c>
      <c r="B21" s="34">
        <f>3*B18</f>
        <v>1773.6000000000001</v>
      </c>
      <c r="C21" s="29" t="s">
        <v>15</v>
      </c>
      <c r="D21" s="18"/>
      <c r="E21" s="33"/>
      <c r="F21" s="3"/>
      <c r="G21" s="9"/>
      <c r="H21" s="13"/>
      <c r="I21" s="13"/>
      <c r="J21" s="29"/>
      <c r="K21" s="18"/>
      <c r="L21" s="33"/>
      <c r="M21" s="9"/>
    </row>
    <row r="22" spans="1:13" s="35" customFormat="1" x14ac:dyDescent="0.25">
      <c r="A22" s="29"/>
      <c r="B22" s="34"/>
      <c r="C22" s="29"/>
      <c r="D22" s="18"/>
      <c r="E22" s="44"/>
      <c r="F22" s="3"/>
      <c r="G22" s="40"/>
      <c r="H22" s="13"/>
      <c r="I22" s="13"/>
      <c r="J22" s="29"/>
      <c r="K22" s="18"/>
      <c r="L22" s="44"/>
      <c r="M22" s="40"/>
    </row>
    <row r="23" spans="1:13" s="35" customFormat="1" ht="26.25" x14ac:dyDescent="0.4">
      <c r="A23" s="29"/>
      <c r="B23" s="34"/>
      <c r="C23" s="81"/>
      <c r="D23" s="82">
        <f>C53</f>
        <v>394.11921958011442</v>
      </c>
      <c r="E23" s="83" t="s">
        <v>15</v>
      </c>
      <c r="F23" s="84"/>
      <c r="G23" s="40"/>
      <c r="H23" s="13"/>
      <c r="I23" s="13"/>
      <c r="J23" s="81"/>
      <c r="K23" s="82">
        <f>J53</f>
        <v>591.17882937017168</v>
      </c>
      <c r="L23" s="83" t="s">
        <v>15</v>
      </c>
      <c r="M23" s="85"/>
    </row>
    <row r="24" spans="1:13" ht="15.75" thickBot="1" x14ac:dyDescent="0.3">
      <c r="A24" s="13"/>
      <c r="B24" s="13"/>
      <c r="C24" s="12"/>
      <c r="E24" s="12"/>
      <c r="F24" s="12"/>
      <c r="H24"/>
      <c r="I24"/>
      <c r="J24"/>
      <c r="K24"/>
      <c r="L24"/>
      <c r="M24"/>
    </row>
    <row r="25" spans="1:13" ht="16.5" thickTop="1" thickBot="1" x14ac:dyDescent="0.3">
      <c r="A25" s="46"/>
      <c r="B25" s="46"/>
      <c r="C25" s="99" t="s">
        <v>16</v>
      </c>
      <c r="D25" s="100"/>
      <c r="E25" s="101"/>
      <c r="F25" s="102"/>
      <c r="G25" s="8"/>
      <c r="H25" s="46"/>
      <c r="I25" s="46"/>
      <c r="J25" s="99" t="s">
        <v>16</v>
      </c>
      <c r="K25" s="100"/>
      <c r="L25" s="101"/>
      <c r="M25" s="102"/>
    </row>
    <row r="26" spans="1:13" ht="16.5" thickTop="1" thickBot="1" x14ac:dyDescent="0.3">
      <c r="A26" s="7" t="s">
        <v>179</v>
      </c>
      <c r="B26" s="7" t="s">
        <v>0</v>
      </c>
      <c r="C26" s="7">
        <v>18</v>
      </c>
      <c r="D26" s="7">
        <v>18</v>
      </c>
      <c r="E26" s="7">
        <v>10</v>
      </c>
      <c r="F26" s="7">
        <v>5</v>
      </c>
      <c r="H26" s="7" t="s">
        <v>55</v>
      </c>
      <c r="I26" s="7" t="s">
        <v>0</v>
      </c>
      <c r="J26" s="7">
        <v>18</v>
      </c>
      <c r="K26" s="7">
        <v>18</v>
      </c>
      <c r="L26" s="7">
        <v>10</v>
      </c>
      <c r="M26" s="7">
        <v>5</v>
      </c>
    </row>
    <row r="27" spans="1:13" ht="15.75" thickTop="1" x14ac:dyDescent="0.25">
      <c r="A27" s="36" t="s">
        <v>7</v>
      </c>
      <c r="B27" s="37"/>
      <c r="C27" s="5">
        <f>C26/0.000511</f>
        <v>35225.048923679067</v>
      </c>
      <c r="D27" s="5">
        <f>D26/0.000511</f>
        <v>35225.048923679067</v>
      </c>
      <c r="E27" s="5">
        <f>E26/0.000511</f>
        <v>19569.471624266145</v>
      </c>
      <c r="F27" s="5">
        <f>F26/0.000511</f>
        <v>9784.7358121330726</v>
      </c>
      <c r="H27" s="36" t="s">
        <v>7</v>
      </c>
      <c r="I27" s="37"/>
      <c r="J27" s="5">
        <f>J26/0.000511</f>
        <v>35225.048923679067</v>
      </c>
      <c r="K27" s="5">
        <f>K26/0.000511</f>
        <v>35225.048923679067</v>
      </c>
      <c r="L27" s="5">
        <f>L26/0.000511</f>
        <v>19569.471624266145</v>
      </c>
      <c r="M27" s="5">
        <f>M26/0.000511</f>
        <v>9784.7358121330726</v>
      </c>
    </row>
    <row r="28" spans="1:13" x14ac:dyDescent="0.25">
      <c r="A28" s="36" t="s">
        <v>8</v>
      </c>
      <c r="B28" s="37"/>
      <c r="C28" s="16">
        <f>SQRT(1-(1/C27^2))</f>
        <v>0.99999999959703545</v>
      </c>
      <c r="D28" s="16">
        <f>SQRT(1-(1/D27^2))</f>
        <v>0.99999999959703545</v>
      </c>
      <c r="E28" s="16">
        <f>SQRT(1-(1/E27^2))</f>
        <v>0.99999999869439493</v>
      </c>
      <c r="F28" s="16">
        <f>SQRT(1-(1/F27^2))</f>
        <v>0.99999999477757995</v>
      </c>
      <c r="H28" s="36" t="s">
        <v>8</v>
      </c>
      <c r="I28" s="37"/>
      <c r="J28" s="16">
        <f>SQRT(1-(1/J27^2))</f>
        <v>0.99999999959703545</v>
      </c>
      <c r="K28" s="16">
        <f>SQRT(1-(1/K27^2))</f>
        <v>0.99999999959703545</v>
      </c>
      <c r="L28" s="16">
        <f>SQRT(1-(1/L27^2))</f>
        <v>0.99999999869439493</v>
      </c>
      <c r="M28" s="16">
        <f>SQRT(1-(1/M27^2))</f>
        <v>0.99999999477757995</v>
      </c>
    </row>
    <row r="29" spans="1:13" x14ac:dyDescent="0.25">
      <c r="A29" s="36" t="s">
        <v>6</v>
      </c>
      <c r="B29" s="37" t="s">
        <v>11</v>
      </c>
      <c r="C29" s="17">
        <f>299800000*C28/3833.845</f>
        <v>78198.257853197312</v>
      </c>
      <c r="D29" s="17">
        <f>299800000*D28/3833.845</f>
        <v>78198.257853197312</v>
      </c>
      <c r="E29" s="17">
        <f>299800000*E28/3833.845</f>
        <v>78198.257782612389</v>
      </c>
      <c r="F29" s="17">
        <f>299800000*F28/3833.845</f>
        <v>78198.257476324288</v>
      </c>
      <c r="H29" s="36" t="s">
        <v>6</v>
      </c>
      <c r="I29" s="37" t="s">
        <v>11</v>
      </c>
      <c r="J29" s="17">
        <f>299800000*J28/3833.845</f>
        <v>78198.257853197312</v>
      </c>
      <c r="K29" s="17">
        <f>299800000*K28/3833.845</f>
        <v>78198.257853197312</v>
      </c>
      <c r="L29" s="17">
        <f>299800000*L28/3833.845</f>
        <v>78198.257782612389</v>
      </c>
      <c r="M29" s="17">
        <f>299800000*M28/3833.845</f>
        <v>78198.257476324288</v>
      </c>
    </row>
    <row r="30" spans="1:13" s="35" customFormat="1" x14ac:dyDescent="0.25">
      <c r="A30" s="36"/>
      <c r="B30" s="37"/>
      <c r="C30" s="17"/>
      <c r="D30" s="17"/>
      <c r="E30" s="17"/>
      <c r="F30" s="17"/>
      <c r="G30" s="40"/>
      <c r="H30" s="36"/>
      <c r="I30" s="37"/>
      <c r="J30" s="17"/>
      <c r="K30" s="17"/>
      <c r="L30" s="17"/>
      <c r="M30" s="17"/>
    </row>
    <row r="31" spans="1:13" x14ac:dyDescent="0.25">
      <c r="A31" s="27" t="s">
        <v>1</v>
      </c>
      <c r="B31" s="32"/>
      <c r="C31" s="27">
        <v>290</v>
      </c>
      <c r="D31" s="27">
        <f>C31</f>
        <v>290</v>
      </c>
      <c r="E31" s="27">
        <v>580</v>
      </c>
      <c r="F31" s="27">
        <v>580</v>
      </c>
      <c r="H31" s="27" t="s">
        <v>1</v>
      </c>
      <c r="I31" s="32"/>
      <c r="J31" s="27">
        <v>290</v>
      </c>
      <c r="K31" s="27">
        <f>J31</f>
        <v>290</v>
      </c>
      <c r="L31" s="27">
        <v>580</v>
      </c>
      <c r="M31" s="27">
        <v>580</v>
      </c>
    </row>
    <row r="32" spans="1:13" s="35" customFormat="1" x14ac:dyDescent="0.25">
      <c r="A32" s="27" t="s">
        <v>118</v>
      </c>
      <c r="B32" s="32"/>
      <c r="C32" s="27">
        <v>315</v>
      </c>
      <c r="D32" s="27">
        <f>C32</f>
        <v>315</v>
      </c>
      <c r="E32" s="27">
        <v>630</v>
      </c>
      <c r="F32" s="27">
        <v>630</v>
      </c>
      <c r="G32" s="40"/>
      <c r="H32" s="27" t="s">
        <v>118</v>
      </c>
      <c r="I32" s="32"/>
      <c r="J32" s="27">
        <v>315</v>
      </c>
      <c r="K32" s="27">
        <f>J32</f>
        <v>315</v>
      </c>
      <c r="L32" s="27">
        <v>630</v>
      </c>
      <c r="M32" s="27">
        <v>630</v>
      </c>
    </row>
    <row r="33" spans="1:13" x14ac:dyDescent="0.25">
      <c r="A33" s="27" t="s">
        <v>63</v>
      </c>
      <c r="B33" s="32" t="s">
        <v>4</v>
      </c>
      <c r="C33" s="80">
        <v>7.2939999999999996</v>
      </c>
      <c r="D33" s="27">
        <f>C33</f>
        <v>7.2939999999999996</v>
      </c>
      <c r="E33" s="80">
        <v>34.406999999999996</v>
      </c>
      <c r="F33" s="80">
        <v>26.364999999999998</v>
      </c>
      <c r="H33" s="27" t="s">
        <v>63</v>
      </c>
      <c r="I33" s="32" t="s">
        <v>4</v>
      </c>
      <c r="J33" s="80">
        <v>7.2939999999999996</v>
      </c>
      <c r="K33" s="27">
        <f>J33</f>
        <v>7.2939999999999996</v>
      </c>
      <c r="L33" s="80">
        <v>34.406999999999996</v>
      </c>
      <c r="M33" s="80">
        <v>26.364999999999998</v>
      </c>
    </row>
    <row r="34" spans="1:13" x14ac:dyDescent="0.25">
      <c r="A34" s="36" t="s">
        <v>9</v>
      </c>
      <c r="B34" s="37" t="s">
        <v>10</v>
      </c>
      <c r="C34" s="38">
        <f>C33*10000000000*1.6E-19*1000000000</f>
        <v>11.670399999999999</v>
      </c>
      <c r="D34" s="38">
        <f>D33*10000000000*1.6E-19*1000000000</f>
        <v>11.670399999999999</v>
      </c>
      <c r="E34" s="38">
        <f>E33*10000000000*1.6E-19*1000000000</f>
        <v>55.051199999999987</v>
      </c>
      <c r="F34" s="38">
        <f>F33*10000000000*1.6E-19*1000000000</f>
        <v>42.183999999999997</v>
      </c>
      <c r="H34" s="36" t="s">
        <v>9</v>
      </c>
      <c r="I34" s="37" t="s">
        <v>10</v>
      </c>
      <c r="J34" s="38">
        <f>J33*10000000000*1.6E-19*1000000000</f>
        <v>11.670399999999999</v>
      </c>
      <c r="K34" s="38">
        <f>K33*10000000000*1.6E-19*1000000000</f>
        <v>11.670399999999999</v>
      </c>
      <c r="L34" s="38">
        <f>L33*10000000000*1.6E-19*1000000000</f>
        <v>55.051199999999987</v>
      </c>
      <c r="M34" s="38">
        <f>M33*10000000000*1.6E-19*1000000000</f>
        <v>42.183999999999997</v>
      </c>
    </row>
    <row r="35" spans="1:13" x14ac:dyDescent="0.25">
      <c r="A35" s="36" t="s">
        <v>19</v>
      </c>
      <c r="B35" s="37" t="s">
        <v>5</v>
      </c>
      <c r="C35" s="41">
        <f>C34*C31*C29*0.000000001</f>
        <v>0.26465543505048666</v>
      </c>
      <c r="D35" s="41">
        <f>D34*D31*D29*0.000000001</f>
        <v>0.26465543505048666</v>
      </c>
      <c r="E35" s="41">
        <f>E34*E31*E29*0.000000001</f>
        <v>2.4968465987284469</v>
      </c>
      <c r="F35" s="41">
        <f>F34*F31*F29*0.000000001</f>
        <v>1.9132548701611329</v>
      </c>
      <c r="H35" s="36" t="s">
        <v>19</v>
      </c>
      <c r="I35" s="37" t="s">
        <v>5</v>
      </c>
      <c r="J35" s="41">
        <f>J34*J31*J29*0.000000001</f>
        <v>0.26465543505048666</v>
      </c>
      <c r="K35" s="41">
        <f>K34*K31*K29*0.000000001</f>
        <v>0.26465543505048666</v>
      </c>
      <c r="L35" s="41">
        <f>L34*L31*L29*0.000000001</f>
        <v>2.4968465987284469</v>
      </c>
      <c r="M35" s="41">
        <f>M34*M31*M29*0.000000001</f>
        <v>1.9132548701611329</v>
      </c>
    </row>
    <row r="36" spans="1:13" x14ac:dyDescent="0.25">
      <c r="A36" s="36" t="s">
        <v>182</v>
      </c>
      <c r="B36" s="37" t="s">
        <v>17</v>
      </c>
      <c r="C36" s="5">
        <v>0.9</v>
      </c>
      <c r="D36" s="36">
        <f>C36</f>
        <v>0.9</v>
      </c>
      <c r="E36" s="5">
        <v>2</v>
      </c>
      <c r="F36" s="5">
        <v>2</v>
      </c>
      <c r="H36" s="36" t="s">
        <v>64</v>
      </c>
      <c r="I36" s="37" t="s">
        <v>17</v>
      </c>
      <c r="J36" s="5">
        <v>0.9</v>
      </c>
      <c r="K36" s="36">
        <f>J36</f>
        <v>0.9</v>
      </c>
      <c r="L36" s="5">
        <v>2</v>
      </c>
      <c r="M36" s="5">
        <v>2</v>
      </c>
    </row>
    <row r="37" spans="1:13" x14ac:dyDescent="0.25">
      <c r="A37" s="36" t="s">
        <v>182</v>
      </c>
      <c r="B37" s="37" t="s">
        <v>18</v>
      </c>
      <c r="C37" s="5">
        <f>1000000000000*C36/30000000000</f>
        <v>30</v>
      </c>
      <c r="D37" s="5">
        <f>1000000000000*D36/30000000000</f>
        <v>30</v>
      </c>
      <c r="E37" s="5">
        <f>1000000000000*E36/30000000000</f>
        <v>66.666666666666671</v>
      </c>
      <c r="F37" s="5">
        <f>1000000000000*F36/30000000000</f>
        <v>66.666666666666671</v>
      </c>
      <c r="H37" s="36" t="s">
        <v>2</v>
      </c>
      <c r="I37" s="37" t="s">
        <v>18</v>
      </c>
      <c r="J37" s="5">
        <f>1000000000000*J36/30000000000</f>
        <v>30</v>
      </c>
      <c r="K37" s="5">
        <f>1000000000000*K36/30000000000</f>
        <v>30</v>
      </c>
      <c r="L37" s="5">
        <f>1000000000000*L36/30000000000</f>
        <v>66.666666666666671</v>
      </c>
      <c r="M37" s="5">
        <f>1000000000000*M36/30000000000</f>
        <v>66.666666666666671</v>
      </c>
    </row>
    <row r="38" spans="1:13" x14ac:dyDescent="0.25">
      <c r="A38" s="36" t="s">
        <v>22</v>
      </c>
      <c r="B38" s="37" t="s">
        <v>23</v>
      </c>
      <c r="C38" s="14">
        <v>8.8460000000000003E-5</v>
      </c>
      <c r="D38" s="14">
        <v>8.8460000000000003E-5</v>
      </c>
      <c r="E38" s="14">
        <v>8.8460000000000003E-5</v>
      </c>
      <c r="F38" s="14">
        <v>8.8460000000000003E-5</v>
      </c>
      <c r="H38" s="36" t="s">
        <v>22</v>
      </c>
      <c r="I38" s="37" t="s">
        <v>23</v>
      </c>
      <c r="J38" s="14">
        <v>8.8460000000000003E-5</v>
      </c>
      <c r="K38" s="14">
        <v>8.8460000000000003E-5</v>
      </c>
      <c r="L38" s="14">
        <v>8.8460000000000003E-5</v>
      </c>
      <c r="M38" s="14">
        <v>8.8460000000000003E-5</v>
      </c>
    </row>
    <row r="39" spans="1:13" x14ac:dyDescent="0.25">
      <c r="A39" s="36" t="s">
        <v>25</v>
      </c>
      <c r="B39" s="37"/>
      <c r="C39" s="23">
        <v>1.0185</v>
      </c>
      <c r="D39" s="23">
        <v>1.0185</v>
      </c>
      <c r="E39" s="23">
        <v>1.02</v>
      </c>
      <c r="F39" s="23">
        <v>0.17899999999999999</v>
      </c>
      <c r="H39" s="36" t="s">
        <v>25</v>
      </c>
      <c r="I39" s="37"/>
      <c r="J39" s="23">
        <v>1.0185</v>
      </c>
      <c r="K39" s="23">
        <v>1.0185</v>
      </c>
      <c r="L39" s="23">
        <v>1.02</v>
      </c>
      <c r="M39" s="23">
        <v>0.17899999999999999</v>
      </c>
    </row>
    <row r="40" spans="1:13" s="12" customFormat="1" x14ac:dyDescent="0.25">
      <c r="A40" s="36" t="s">
        <v>53</v>
      </c>
      <c r="B40" s="37" t="s">
        <v>41</v>
      </c>
      <c r="C40" s="5">
        <f>0.08846*(C26^4)/($E$3*C39)</f>
        <v>37.800906938256809</v>
      </c>
      <c r="D40" s="5">
        <f>0.08846*(D26^4)/($E$3*D39)</f>
        <v>37.800906938256809</v>
      </c>
      <c r="E40" s="5">
        <f>0.08846*(E26^4)/($E$3*E39)</f>
        <v>3.5956139850280033</v>
      </c>
      <c r="F40" s="5">
        <f>0.08846*(F26^4)/($E$3*F39)</f>
        <v>1.2805608466231018</v>
      </c>
      <c r="G40" s="9"/>
      <c r="H40" s="36" t="s">
        <v>53</v>
      </c>
      <c r="I40" s="37" t="s">
        <v>41</v>
      </c>
      <c r="J40" s="5">
        <f>0.08846*(J26^4)/($E$3*J39)</f>
        <v>37.800906938256809</v>
      </c>
      <c r="K40" s="5">
        <f>0.08846*(K26^4)/($E$3*K39)</f>
        <v>37.800906938256809</v>
      </c>
      <c r="L40" s="5">
        <f>0.08846*(L26^4)/($E$3*L39)</f>
        <v>3.5956139850280033</v>
      </c>
      <c r="M40" s="5">
        <f>0.08846*(M26^4)/($E$3*M39)</f>
        <v>1.2805608466231018</v>
      </c>
    </row>
    <row r="41" spans="1:13" s="12" customFormat="1" x14ac:dyDescent="0.25">
      <c r="A41" s="36" t="s">
        <v>183</v>
      </c>
      <c r="B41" s="37" t="s">
        <v>41</v>
      </c>
      <c r="C41" s="5">
        <v>37.799999999999997</v>
      </c>
      <c r="D41" s="5">
        <v>37.799999999999997</v>
      </c>
      <c r="E41" s="5">
        <v>3.6</v>
      </c>
      <c r="F41" s="5">
        <v>1.28</v>
      </c>
      <c r="H41" s="36" t="s">
        <v>65</v>
      </c>
      <c r="I41" s="37" t="s">
        <v>41</v>
      </c>
      <c r="J41" s="5">
        <v>37.799999999999997</v>
      </c>
      <c r="K41" s="5">
        <v>37.799999999999997</v>
      </c>
      <c r="L41" s="5">
        <v>3.6</v>
      </c>
      <c r="M41" s="5">
        <v>1.28</v>
      </c>
    </row>
    <row r="42" spans="1:13" s="35" customFormat="1" ht="15.75" thickBot="1" x14ac:dyDescent="0.3">
      <c r="A42" s="36" t="s">
        <v>113</v>
      </c>
      <c r="B42" s="37" t="s">
        <v>3</v>
      </c>
      <c r="C42" s="41">
        <f>C41*C35</f>
        <v>10.003975444908395</v>
      </c>
      <c r="D42" s="41">
        <f>D41*D35</f>
        <v>10.003975444908395</v>
      </c>
      <c r="E42" s="41">
        <f>E41*E35</f>
        <v>8.9886477554224093</v>
      </c>
      <c r="F42" s="41">
        <f>F41*F35</f>
        <v>2.4489662338062503</v>
      </c>
      <c r="G42" s="40"/>
      <c r="H42" s="36" t="s">
        <v>113</v>
      </c>
      <c r="I42" s="37" t="s">
        <v>3</v>
      </c>
      <c r="J42" s="41">
        <f>J41*J35</f>
        <v>10.003975444908395</v>
      </c>
      <c r="K42" s="41">
        <f>K41*K35</f>
        <v>10.003975444908395</v>
      </c>
      <c r="L42" s="41">
        <f>L41*L35</f>
        <v>8.9886477554224093</v>
      </c>
      <c r="M42" s="41">
        <f>M41*M35</f>
        <v>2.4489662338062503</v>
      </c>
    </row>
    <row r="43" spans="1:13" s="35" customFormat="1" ht="16.5" thickTop="1" thickBot="1" x14ac:dyDescent="0.3">
      <c r="A43" s="22" t="s">
        <v>152</v>
      </c>
      <c r="B43" s="21"/>
      <c r="C43" s="25"/>
      <c r="D43" s="25"/>
      <c r="E43" s="25"/>
      <c r="F43" s="25"/>
      <c r="G43" s="40"/>
      <c r="H43" s="36"/>
      <c r="I43" s="37"/>
      <c r="J43" s="41"/>
      <c r="K43" s="41"/>
      <c r="L43" s="41"/>
      <c r="M43" s="41"/>
    </row>
    <row r="44" spans="1:13" ht="15.75" thickTop="1" x14ac:dyDescent="0.25">
      <c r="A44" s="36" t="s">
        <v>28</v>
      </c>
      <c r="B44" s="37" t="s">
        <v>92</v>
      </c>
      <c r="C44" s="43">
        <v>1.468E-6</v>
      </c>
      <c r="D44" s="43">
        <v>1.468E-6</v>
      </c>
      <c r="E44" s="43">
        <v>1.468E-6</v>
      </c>
      <c r="F44" s="43">
        <v>1.468E-6</v>
      </c>
      <c r="H44" s="20" t="s">
        <v>28</v>
      </c>
      <c r="I44" s="21" t="s">
        <v>92</v>
      </c>
      <c r="J44" s="26">
        <v>1.468E-6</v>
      </c>
      <c r="K44" s="26">
        <v>1.468E-6</v>
      </c>
      <c r="L44" s="26">
        <v>1.468E-6</v>
      </c>
      <c r="M44" s="26">
        <v>1.468E-6</v>
      </c>
    </row>
    <row r="45" spans="1:13" s="12" customFormat="1" x14ac:dyDescent="0.25">
      <c r="A45" s="36" t="s">
        <v>54</v>
      </c>
      <c r="B45" s="15"/>
      <c r="C45" s="5">
        <v>2</v>
      </c>
      <c r="D45" s="5">
        <v>2</v>
      </c>
      <c r="E45" s="5">
        <v>2</v>
      </c>
      <c r="F45" s="5">
        <v>2</v>
      </c>
      <c r="H45" s="36" t="s">
        <v>54</v>
      </c>
      <c r="I45" s="15"/>
      <c r="J45" s="5">
        <v>2</v>
      </c>
      <c r="K45" s="5">
        <v>2</v>
      </c>
      <c r="L45" s="5">
        <v>2</v>
      </c>
      <c r="M45" s="5">
        <v>2</v>
      </c>
    </row>
    <row r="46" spans="1:13" x14ac:dyDescent="0.25">
      <c r="A46" s="36" t="s">
        <v>26</v>
      </c>
      <c r="B46" s="37"/>
      <c r="C46" s="5">
        <f>1/SQRT(C47)</f>
        <v>38.95772089538265</v>
      </c>
      <c r="D46" s="5">
        <f t="shared" ref="D46:F46" si="0">1/SQRT(D47)</f>
        <v>27.136267706462856</v>
      </c>
      <c r="E46" s="5">
        <f t="shared" si="0"/>
        <v>27.136267706462856</v>
      </c>
      <c r="F46" s="5">
        <f t="shared" si="0"/>
        <v>27.136267706462856</v>
      </c>
      <c r="H46" s="36" t="s">
        <v>26</v>
      </c>
      <c r="I46" s="37"/>
      <c r="J46" s="5">
        <f t="shared" ref="J46:M46" si="1">1/SQRT(J47)</f>
        <v>38.95772089538265</v>
      </c>
      <c r="K46" s="5">
        <f t="shared" si="1"/>
        <v>27.136267706462856</v>
      </c>
      <c r="L46" s="5">
        <f t="shared" si="1"/>
        <v>27.136267706462856</v>
      </c>
      <c r="M46" s="5">
        <f t="shared" si="1"/>
        <v>27.136267706462856</v>
      </c>
    </row>
    <row r="47" spans="1:13" s="12" customFormat="1" x14ac:dyDescent="0.25">
      <c r="A47" s="36" t="s">
        <v>202</v>
      </c>
      <c r="B47" s="37"/>
      <c r="C47" s="17">
        <v>6.5888999999999997E-4</v>
      </c>
      <c r="D47" s="17">
        <v>1.358E-3</v>
      </c>
      <c r="E47" s="17">
        <v>1.358E-3</v>
      </c>
      <c r="F47" s="17">
        <v>1.358E-3</v>
      </c>
      <c r="G47" s="9"/>
      <c r="H47" s="36" t="s">
        <v>43</v>
      </c>
      <c r="I47" s="37"/>
      <c r="J47" s="17">
        <v>6.5888999999999997E-4</v>
      </c>
      <c r="K47" s="17">
        <v>1.358E-3</v>
      </c>
      <c r="L47" s="17">
        <v>1.358E-3</v>
      </c>
      <c r="M47" s="17">
        <v>1.358E-3</v>
      </c>
    </row>
    <row r="48" spans="1:13" s="35" customFormat="1" x14ac:dyDescent="0.25">
      <c r="A48" s="36" t="s">
        <v>33</v>
      </c>
      <c r="B48" s="15" t="s">
        <v>109</v>
      </c>
      <c r="C48" s="5">
        <f>1000*SQRT(C44*(C26^2)/(C45*$E$3*C39))</f>
        <v>0.98390499921653551</v>
      </c>
      <c r="D48" s="5">
        <f>1000*SQRT(D44*(D26^2)/(D45*$E$3*D39))</f>
        <v>0.98390499921653551</v>
      </c>
      <c r="E48" s="5">
        <f>1000*SQRT(E44*(E26^2)/(E45*$E$3*E39))</f>
        <v>0.54621181860264301</v>
      </c>
      <c r="F48" s="5">
        <f>1000*SQRT(F44*(F26^2)/(F45*$E$3*F39))</f>
        <v>0.65193555585654872</v>
      </c>
      <c r="G48" s="40"/>
      <c r="H48" s="36" t="s">
        <v>33</v>
      </c>
      <c r="I48" s="15" t="s">
        <v>109</v>
      </c>
      <c r="J48" s="5">
        <f>1000*SQRT(J44*(J26^2)/(J45*$E$3*J39))</f>
        <v>0.98390499921653551</v>
      </c>
      <c r="K48" s="5">
        <f>1000*SQRT(K44*(K26^2)/(K45*$E$3*K39))</f>
        <v>0.98390499921653551</v>
      </c>
      <c r="L48" s="5">
        <f>1000*SQRT(L44*(L26^2)/(L45*$E$3*L39))</f>
        <v>0.54621181860264301</v>
      </c>
      <c r="M48" s="5">
        <f>1000*SQRT(M44*(M26^2)/(M45*$E$3*M39))</f>
        <v>0.65193555585654872</v>
      </c>
    </row>
    <row r="49" spans="1:13" s="12" customFormat="1" ht="15.75" thickBot="1" x14ac:dyDescent="0.3">
      <c r="A49" s="36"/>
      <c r="B49" s="37"/>
      <c r="C49" s="5"/>
      <c r="D49" s="5"/>
      <c r="E49" s="5"/>
      <c r="F49" s="5"/>
      <c r="H49" s="36"/>
      <c r="I49" s="37"/>
      <c r="J49" s="5"/>
      <c r="K49" s="5"/>
      <c r="L49" s="5"/>
      <c r="M49" s="5"/>
    </row>
    <row r="50" spans="1:13" s="12" customFormat="1" ht="15.75" thickTop="1" x14ac:dyDescent="0.25">
      <c r="A50" s="22" t="s">
        <v>50</v>
      </c>
      <c r="B50" s="21"/>
      <c r="C50" s="24"/>
      <c r="D50" s="24"/>
      <c r="E50" s="24"/>
      <c r="F50" s="24"/>
      <c r="H50" s="22" t="s">
        <v>50</v>
      </c>
      <c r="I50" s="21"/>
      <c r="J50" s="24"/>
      <c r="K50" s="24"/>
      <c r="L50" s="24"/>
      <c r="M50" s="24"/>
    </row>
    <row r="51" spans="1:13" s="12" customFormat="1" x14ac:dyDescent="0.25">
      <c r="A51" s="76" t="s">
        <v>57</v>
      </c>
      <c r="B51" s="77"/>
      <c r="C51" s="78">
        <v>16</v>
      </c>
      <c r="D51" s="78">
        <f>$C51</f>
        <v>16</v>
      </c>
      <c r="E51" s="78">
        <f>$C51</f>
        <v>16</v>
      </c>
      <c r="F51" s="78">
        <f>$C51</f>
        <v>16</v>
      </c>
      <c r="H51" s="76" t="s">
        <v>57</v>
      </c>
      <c r="I51" s="77"/>
      <c r="J51" s="78">
        <v>24</v>
      </c>
      <c r="K51" s="78">
        <f>$J51</f>
        <v>24</v>
      </c>
      <c r="L51" s="78">
        <f>$J51</f>
        <v>24</v>
      </c>
      <c r="M51" s="78">
        <f>$J51</f>
        <v>24</v>
      </c>
    </row>
    <row r="52" spans="1:13" x14ac:dyDescent="0.25">
      <c r="A52" s="36" t="s">
        <v>60</v>
      </c>
      <c r="B52" s="37"/>
      <c r="C52" s="36">
        <f>C51*$D$5</f>
        <v>5040</v>
      </c>
      <c r="D52" s="36">
        <f>D51*$D$5</f>
        <v>5040</v>
      </c>
      <c r="E52" s="36">
        <f>E51*$D$5</f>
        <v>5040</v>
      </c>
      <c r="F52" s="36">
        <f>F51*$D$5</f>
        <v>5040</v>
      </c>
      <c r="H52" s="36" t="s">
        <v>60</v>
      </c>
      <c r="I52" s="37"/>
      <c r="J52" s="36">
        <f>J51*$D$5</f>
        <v>7560</v>
      </c>
      <c r="K52" s="36">
        <f>K51*$D$5</f>
        <v>7560</v>
      </c>
      <c r="L52" s="36">
        <f>L51*$D$5</f>
        <v>7560</v>
      </c>
      <c r="M52" s="36">
        <f>M51*$D$5</f>
        <v>7560</v>
      </c>
    </row>
    <row r="53" spans="1:13" s="40" customFormat="1" x14ac:dyDescent="0.25">
      <c r="A53" s="36" t="s">
        <v>14</v>
      </c>
      <c r="B53" s="37" t="s">
        <v>15</v>
      </c>
      <c r="C53" s="41">
        <f>C29*C52/1000000</f>
        <v>394.11921958011442</v>
      </c>
      <c r="D53" s="41">
        <f>D29*D52/1000000</f>
        <v>394.11921958011442</v>
      </c>
      <c r="E53" s="41">
        <f>E29*E52/1000000</f>
        <v>394.11921922436642</v>
      </c>
      <c r="F53" s="41">
        <f>F29*F52/1000000</f>
        <v>394.11921768067441</v>
      </c>
      <c r="H53" s="36" t="s">
        <v>14</v>
      </c>
      <c r="I53" s="37" t="s">
        <v>15</v>
      </c>
      <c r="J53" s="41">
        <f>J29*J52/1000000</f>
        <v>591.17882937017168</v>
      </c>
      <c r="K53" s="41">
        <f>K29*K52/1000000</f>
        <v>591.17882937017168</v>
      </c>
      <c r="L53" s="41">
        <f>L29*L52/1000000</f>
        <v>591.17882883654966</v>
      </c>
      <c r="M53" s="41">
        <f>M29*M52/1000000</f>
        <v>591.17882652101162</v>
      </c>
    </row>
    <row r="54" spans="1:13" s="40" customFormat="1" x14ac:dyDescent="0.25">
      <c r="A54" s="36" t="s">
        <v>49</v>
      </c>
      <c r="B54" s="37" t="s">
        <v>12</v>
      </c>
      <c r="C54" s="41">
        <f>300000000/C53/1000000</f>
        <v>0.76119099271436974</v>
      </c>
      <c r="D54" s="41">
        <f>300000000/D53/1000000</f>
        <v>0.76119099271436974</v>
      </c>
      <c r="E54" s="41">
        <f>300000000/E53/1000000</f>
        <v>0.76119099340145169</v>
      </c>
      <c r="F54" s="41">
        <f>300000000/F53/1000000</f>
        <v>0.76119099638289589</v>
      </c>
      <c r="H54" s="36" t="s">
        <v>49</v>
      </c>
      <c r="I54" s="37" t="s">
        <v>12</v>
      </c>
      <c r="J54" s="41">
        <f>300000000/J53/1000000</f>
        <v>0.50746066180957983</v>
      </c>
      <c r="K54" s="41">
        <f>300000000/K53/1000000</f>
        <v>0.50746066180957983</v>
      </c>
      <c r="L54" s="41">
        <f>300000000/L53/1000000</f>
        <v>0.50746066226763442</v>
      </c>
      <c r="M54" s="41">
        <f>300000000/M53/1000000</f>
        <v>0.50746066425526393</v>
      </c>
    </row>
    <row r="55" spans="1:13" s="40" customFormat="1" x14ac:dyDescent="0.25">
      <c r="A55" s="27" t="s">
        <v>158</v>
      </c>
      <c r="B55" s="32"/>
      <c r="C55" s="27">
        <v>17</v>
      </c>
      <c r="D55" s="27">
        <v>17</v>
      </c>
      <c r="E55" s="27">
        <v>17</v>
      </c>
      <c r="F55" s="27">
        <v>17</v>
      </c>
      <c r="H55" s="27" t="s">
        <v>158</v>
      </c>
      <c r="I55" s="32"/>
      <c r="J55" s="27">
        <v>18</v>
      </c>
      <c r="K55" s="27">
        <v>24</v>
      </c>
      <c r="L55" s="27">
        <v>18</v>
      </c>
      <c r="M55" s="27">
        <v>18</v>
      </c>
    </row>
    <row r="56" spans="1:13" s="40" customFormat="1" x14ac:dyDescent="0.25">
      <c r="A56" s="27" t="s">
        <v>153</v>
      </c>
      <c r="B56" s="32"/>
      <c r="C56" s="79">
        <v>2</v>
      </c>
      <c r="D56" s="79">
        <v>2</v>
      </c>
      <c r="E56" s="79">
        <v>2</v>
      </c>
      <c r="F56" s="79">
        <v>2</v>
      </c>
      <c r="H56" s="27" t="s">
        <v>153</v>
      </c>
      <c r="I56" s="32"/>
      <c r="J56" s="28">
        <v>2</v>
      </c>
      <c r="K56" s="28">
        <v>2</v>
      </c>
      <c r="L56" s="28">
        <v>2</v>
      </c>
      <c r="M56" s="28">
        <v>2</v>
      </c>
    </row>
    <row r="57" spans="1:13" s="40" customFormat="1" x14ac:dyDescent="0.25">
      <c r="A57" s="27" t="s">
        <v>30</v>
      </c>
      <c r="B57" s="32"/>
      <c r="C57" s="79">
        <v>1</v>
      </c>
      <c r="D57" s="79">
        <v>1</v>
      </c>
      <c r="E57" s="79">
        <v>1</v>
      </c>
      <c r="F57" s="79">
        <v>1</v>
      </c>
      <c r="H57" s="27" t="s">
        <v>30</v>
      </c>
      <c r="I57" s="32"/>
      <c r="J57" s="79">
        <v>1</v>
      </c>
      <c r="K57" s="79">
        <v>1</v>
      </c>
      <c r="L57" s="79">
        <v>1</v>
      </c>
      <c r="M57" s="79">
        <v>1</v>
      </c>
    </row>
    <row r="58" spans="1:13" s="40" customFormat="1" x14ac:dyDescent="0.25">
      <c r="A58" s="27" t="s">
        <v>154</v>
      </c>
      <c r="B58" s="32" t="s">
        <v>90</v>
      </c>
      <c r="C58" s="28">
        <v>37</v>
      </c>
      <c r="D58" s="28">
        <v>37</v>
      </c>
      <c r="E58" s="28">
        <v>37</v>
      </c>
      <c r="F58" s="28">
        <v>37</v>
      </c>
      <c r="H58" s="27" t="s">
        <v>154</v>
      </c>
      <c r="I58" s="32" t="s">
        <v>90</v>
      </c>
      <c r="J58" s="28">
        <v>37</v>
      </c>
      <c r="K58" s="28">
        <v>37</v>
      </c>
      <c r="L58" s="28">
        <v>37</v>
      </c>
      <c r="M58" s="28">
        <v>37</v>
      </c>
    </row>
    <row r="59" spans="1:13" s="40" customFormat="1" x14ac:dyDescent="0.25">
      <c r="A59" s="36" t="s">
        <v>155</v>
      </c>
      <c r="B59" s="37" t="s">
        <v>90</v>
      </c>
      <c r="C59" s="38">
        <f>C58*C57</f>
        <v>37</v>
      </c>
      <c r="D59" s="38">
        <f>D58*D57</f>
        <v>37</v>
      </c>
      <c r="E59" s="38">
        <f>E58*E57</f>
        <v>37</v>
      </c>
      <c r="F59" s="38">
        <f>F58*F57</f>
        <v>37</v>
      </c>
      <c r="H59" s="36" t="s">
        <v>155</v>
      </c>
      <c r="I59" s="37" t="s">
        <v>90</v>
      </c>
      <c r="J59" s="38">
        <f>J58*J57</f>
        <v>37</v>
      </c>
      <c r="K59" s="38">
        <f>K58*K57</f>
        <v>37</v>
      </c>
      <c r="L59" s="38">
        <f>L58*L57</f>
        <v>37</v>
      </c>
      <c r="M59" s="38">
        <f>M58*M57</f>
        <v>37</v>
      </c>
    </row>
    <row r="60" spans="1:13" s="40" customFormat="1" x14ac:dyDescent="0.25">
      <c r="A60" s="36" t="s">
        <v>156</v>
      </c>
      <c r="B60" s="37"/>
      <c r="C60" s="42">
        <v>22000000000</v>
      </c>
      <c r="D60" s="42">
        <v>22000000000</v>
      </c>
      <c r="E60" s="42">
        <v>22000000000</v>
      </c>
      <c r="F60" s="42">
        <v>22000000000</v>
      </c>
      <c r="H60" s="36" t="s">
        <v>156</v>
      </c>
      <c r="I60" s="37"/>
      <c r="J60" s="42">
        <v>22000000000</v>
      </c>
      <c r="K60" s="42">
        <v>22000000000</v>
      </c>
      <c r="L60" s="42">
        <v>22000000000</v>
      </c>
      <c r="M60" s="42">
        <v>22000000000</v>
      </c>
    </row>
    <row r="61" spans="1:13" s="40" customFormat="1" x14ac:dyDescent="0.25">
      <c r="A61" s="36" t="s">
        <v>157</v>
      </c>
      <c r="B61" s="37" t="s">
        <v>91</v>
      </c>
      <c r="C61" s="38">
        <f>C59*C60/1000000000</f>
        <v>814</v>
      </c>
      <c r="D61" s="38">
        <f>D59*D60/1000000000</f>
        <v>814</v>
      </c>
      <c r="E61" s="38">
        <f>E59*E60/1000000000</f>
        <v>814</v>
      </c>
      <c r="F61" s="38">
        <f>F59*F60/1000000000</f>
        <v>814</v>
      </c>
      <c r="H61" s="36" t="s">
        <v>157</v>
      </c>
      <c r="I61" s="37" t="s">
        <v>91</v>
      </c>
      <c r="J61" s="38">
        <f>J59*J60/1000000000</f>
        <v>814</v>
      </c>
      <c r="K61" s="38">
        <f>K59*K60/1000000000</f>
        <v>814</v>
      </c>
      <c r="L61" s="38">
        <f>L59*L60/1000000000</f>
        <v>814</v>
      </c>
      <c r="M61" s="38">
        <f>M59*M60/1000000000</f>
        <v>814</v>
      </c>
    </row>
    <row r="62" spans="1:13" s="40" customFormat="1" x14ac:dyDescent="0.25">
      <c r="A62" s="36" t="s">
        <v>112</v>
      </c>
      <c r="B62" s="37" t="s">
        <v>32</v>
      </c>
      <c r="C62" s="38">
        <f>1000*C42/C55</f>
        <v>588.46914381814088</v>
      </c>
      <c r="D62" s="38">
        <f>1000*D42/D55</f>
        <v>588.46914381814088</v>
      </c>
      <c r="E62" s="38">
        <f>1000*E42/E55</f>
        <v>528.74398561308294</v>
      </c>
      <c r="F62" s="38">
        <f>1000*F42/F55</f>
        <v>144.05683728272061</v>
      </c>
      <c r="H62" s="36" t="s">
        <v>112</v>
      </c>
      <c r="I62" s="37" t="s">
        <v>32</v>
      </c>
      <c r="J62" s="38">
        <f>1000*J42/J55</f>
        <v>555.77641360602195</v>
      </c>
      <c r="K62" s="38">
        <f>1000*K42/K55</f>
        <v>416.83231020451649</v>
      </c>
      <c r="L62" s="38">
        <f>1000*L42/L55</f>
        <v>499.36931974568938</v>
      </c>
      <c r="M62" s="38">
        <f>1000*M42/M55</f>
        <v>136.05367965590278</v>
      </c>
    </row>
    <row r="63" spans="1:13" s="40" customFormat="1" x14ac:dyDescent="0.25">
      <c r="A63" s="36"/>
      <c r="B63" s="37"/>
      <c r="C63" s="41"/>
      <c r="D63" s="41"/>
      <c r="E63" s="41"/>
      <c r="F63" s="41"/>
      <c r="H63" s="36"/>
      <c r="I63" s="37"/>
      <c r="J63" s="41"/>
      <c r="K63" s="41"/>
      <c r="L63" s="41"/>
      <c r="M63" s="41"/>
    </row>
    <row r="64" spans="1:13" s="40" customFormat="1" x14ac:dyDescent="0.25">
      <c r="A64" s="36" t="s">
        <v>159</v>
      </c>
      <c r="B64" s="37" t="s">
        <v>32</v>
      </c>
      <c r="C64" s="38">
        <f>$B$17*C53/$B$18*SQRT($B$15/C36)*(C57/2)*(C34/$B$14)*(C31/$B$9)</f>
        <v>4.2781068658439905</v>
      </c>
      <c r="D64" s="38">
        <f>$B$17*D53/$B$18*SQRT($B$15/D36)*(D57/2)*(D34/$B$14)*(D31/$B$9)</f>
        <v>4.2781068658439905</v>
      </c>
      <c r="E64" s="38">
        <f>$B$17*E53/$B$18*SQRT($B$15/E36)*(E57/2)*(E34/$B$14)*(E31/$B$9)</f>
        <v>27.075028943238401</v>
      </c>
      <c r="F64" s="38">
        <f>$B$17*F53/$B$18*SQRT($B$15/F36)*(F57/2)*(F34/$B$14)*(F31/$B$9)</f>
        <v>20.74674151459088</v>
      </c>
      <c r="H64" s="36" t="s">
        <v>159</v>
      </c>
      <c r="I64" s="37" t="s">
        <v>32</v>
      </c>
      <c r="J64" s="38">
        <f>$B$17*J53/$B$18*SQRT($B$15/J36)*(J57/2)*(J34/$B$14)*(J31/$B$9)</f>
        <v>6.417160298765987</v>
      </c>
      <c r="K64" s="38">
        <f>$B$17*K53/$B$18*SQRT($B$15/K36)*(K57/2)*(K34/$B$14)*(K31/$B$9)</f>
        <v>6.417160298765987</v>
      </c>
      <c r="L64" s="38">
        <f>$B$17*L53/$B$18*SQRT($B$15/L36)*(L57/2)*(L34/$B$14)*(L31/$B$9)</f>
        <v>40.612543414857605</v>
      </c>
      <c r="M64" s="38">
        <f>$B$17*M53/$B$18*SQRT($B$15/M36)*(M57/2)*(M34/$B$14)*(M31/$B$9)</f>
        <v>31.120112271886324</v>
      </c>
    </row>
    <row r="65" spans="1:13" s="40" customFormat="1" x14ac:dyDescent="0.25">
      <c r="A65" s="36" t="s">
        <v>160</v>
      </c>
      <c r="B65" s="37" t="s">
        <v>32</v>
      </c>
      <c r="C65" s="38">
        <f>C55*C64</f>
        <v>72.727816719347842</v>
      </c>
      <c r="D65" s="38">
        <f>D55*D64</f>
        <v>72.727816719347842</v>
      </c>
      <c r="E65" s="38">
        <f>E55*E64</f>
        <v>460.27549203505282</v>
      </c>
      <c r="F65" s="38">
        <f>F55*F64</f>
        <v>352.69460574804498</v>
      </c>
      <c r="H65" s="36" t="s">
        <v>160</v>
      </c>
      <c r="I65" s="37" t="s">
        <v>32</v>
      </c>
      <c r="J65" s="38">
        <f>J55*J64</f>
        <v>115.50888537778776</v>
      </c>
      <c r="K65" s="38">
        <f>K55*K64</f>
        <v>154.0118471703837</v>
      </c>
      <c r="L65" s="38">
        <f>L55*L64</f>
        <v>731.0257814674369</v>
      </c>
      <c r="M65" s="38">
        <f>M55*M64</f>
        <v>560.16202089395381</v>
      </c>
    </row>
    <row r="66" spans="1:13" s="40" customFormat="1" x14ac:dyDescent="0.25">
      <c r="A66" s="36" t="s">
        <v>161</v>
      </c>
      <c r="B66" s="37" t="s">
        <v>79</v>
      </c>
      <c r="C66" s="38">
        <f>C64/C35</f>
        <v>16.164817718660803</v>
      </c>
      <c r="D66" s="38">
        <f>D64/D35</f>
        <v>16.164817718660803</v>
      </c>
      <c r="E66" s="38">
        <f>E64/E35</f>
        <v>10.843689378845591</v>
      </c>
      <c r="F66" s="38">
        <f>F64/F35</f>
        <v>10.843689378845593</v>
      </c>
      <c r="H66" s="36" t="s">
        <v>161</v>
      </c>
      <c r="I66" s="37" t="s">
        <v>79</v>
      </c>
      <c r="J66" s="38">
        <f>J64/J35</f>
        <v>24.24722657799121</v>
      </c>
      <c r="K66" s="38">
        <f>K64/K35</f>
        <v>24.24722657799121</v>
      </c>
      <c r="L66" s="38">
        <f>L64/L35</f>
        <v>16.265534068268387</v>
      </c>
      <c r="M66" s="38">
        <f>M64/M35</f>
        <v>16.265534068268391</v>
      </c>
    </row>
    <row r="67" spans="1:13" s="40" customFormat="1" x14ac:dyDescent="0.25">
      <c r="A67" s="36" t="s">
        <v>162</v>
      </c>
      <c r="B67" s="37" t="s">
        <v>13</v>
      </c>
      <c r="C67" s="41">
        <f>C55*C66/1000</f>
        <v>0.27480190121723364</v>
      </c>
      <c r="D67" s="41">
        <f>D55*D66/1000</f>
        <v>0.27480190121723364</v>
      </c>
      <c r="E67" s="41">
        <f>E55*E66/1000</f>
        <v>0.18434271944037506</v>
      </c>
      <c r="F67" s="41">
        <f>F55*F66/1000</f>
        <v>0.18434271944037509</v>
      </c>
      <c r="H67" s="36" t="s">
        <v>162</v>
      </c>
      <c r="I67" s="37" t="s">
        <v>13</v>
      </c>
      <c r="J67" s="41">
        <f>J55*J66/1000</f>
        <v>0.43645007840384176</v>
      </c>
      <c r="K67" s="41">
        <f>K55*K66/1000</f>
        <v>0.58193343787178897</v>
      </c>
      <c r="L67" s="41">
        <f>L55*L66/1000</f>
        <v>0.29277961322883095</v>
      </c>
      <c r="M67" s="41">
        <f>M55*M66/1000</f>
        <v>0.292779613228831</v>
      </c>
    </row>
    <row r="68" spans="1:13" s="40" customFormat="1" x14ac:dyDescent="0.25">
      <c r="A68" s="36"/>
      <c r="B68" s="37"/>
      <c r="C68" s="41"/>
      <c r="D68" s="41"/>
      <c r="E68" s="41"/>
      <c r="F68" s="41"/>
      <c r="H68" s="36"/>
      <c r="I68" s="37"/>
      <c r="J68" s="41"/>
      <c r="K68" s="41"/>
      <c r="L68" s="41"/>
      <c r="M68" s="41"/>
    </row>
    <row r="69" spans="1:13" s="40" customFormat="1" x14ac:dyDescent="0.25">
      <c r="A69" s="36" t="s">
        <v>114</v>
      </c>
      <c r="B69" s="37" t="s">
        <v>3</v>
      </c>
      <c r="C69" s="41">
        <f>C42+C65/1000</f>
        <v>10.076703261627744</v>
      </c>
      <c r="D69" s="41">
        <f>D42+D65/1000</f>
        <v>10.076703261627744</v>
      </c>
      <c r="E69" s="41">
        <f>E42+E65/1000</f>
        <v>9.4489232474574614</v>
      </c>
      <c r="F69" s="41">
        <f>F42+F65/1000</f>
        <v>2.8016608395542955</v>
      </c>
      <c r="H69" s="36" t="s">
        <v>114</v>
      </c>
      <c r="I69" s="37" t="s">
        <v>3</v>
      </c>
      <c r="J69" s="41">
        <f>J42+J65/1000</f>
        <v>10.119484330286182</v>
      </c>
      <c r="K69" s="41">
        <f>K42+K65/1000</f>
        <v>10.157987292078779</v>
      </c>
      <c r="L69" s="41">
        <f>L42+L65/1000</f>
        <v>9.7196735368898466</v>
      </c>
      <c r="M69" s="41">
        <f>M42+M65/1000</f>
        <v>3.0091282547002041</v>
      </c>
    </row>
    <row r="70" spans="1:13" s="40" customFormat="1" x14ac:dyDescent="0.25">
      <c r="A70" s="36" t="s">
        <v>115</v>
      </c>
      <c r="B70" s="37" t="s">
        <v>32</v>
      </c>
      <c r="C70" s="38">
        <f>1000*C69/C55</f>
        <v>592.74725068398493</v>
      </c>
      <c r="D70" s="38">
        <f>1000*D69/D55</f>
        <v>592.74725068398493</v>
      </c>
      <c r="E70" s="38">
        <f>1000*E69/E55</f>
        <v>555.81901455632124</v>
      </c>
      <c r="F70" s="38">
        <f>1000*F69/F55</f>
        <v>164.8035787973115</v>
      </c>
      <c r="H70" s="36" t="s">
        <v>115</v>
      </c>
      <c r="I70" s="37" t="s">
        <v>32</v>
      </c>
      <c r="J70" s="38">
        <f>1000*J69/J55</f>
        <v>562.19357390478797</v>
      </c>
      <c r="K70" s="38">
        <f>1000*K69/K55</f>
        <v>423.24947050328245</v>
      </c>
      <c r="L70" s="38">
        <f>1000*L69/L55</f>
        <v>539.98186316054705</v>
      </c>
      <c r="M70" s="38">
        <f>1000*M69/M55</f>
        <v>167.17379192778913</v>
      </c>
    </row>
    <row r="71" spans="1:13" s="40" customFormat="1" x14ac:dyDescent="0.25">
      <c r="A71" s="36"/>
      <c r="B71" s="37"/>
      <c r="C71" s="41"/>
      <c r="D71" s="41"/>
      <c r="E71" s="41"/>
      <c r="F71" s="41"/>
      <c r="H71" s="36"/>
      <c r="I71" s="37"/>
      <c r="J71" s="41"/>
      <c r="K71" s="41"/>
      <c r="L71" s="41"/>
      <c r="M71" s="41"/>
    </row>
    <row r="72" spans="1:13" s="40" customFormat="1" x14ac:dyDescent="0.25">
      <c r="A72" s="36" t="s">
        <v>163</v>
      </c>
      <c r="B72" s="37" t="s">
        <v>41</v>
      </c>
      <c r="C72" s="41">
        <f>C41+C67</f>
        <v>38.074801901217228</v>
      </c>
      <c r="D72" s="41">
        <f>D41+D67</f>
        <v>38.074801901217228</v>
      </c>
      <c r="E72" s="41">
        <f>E41+E67</f>
        <v>3.7843427194403754</v>
      </c>
      <c r="F72" s="41">
        <f>F41+F67</f>
        <v>1.4643427194403751</v>
      </c>
      <c r="H72" s="36" t="s">
        <v>163</v>
      </c>
      <c r="I72" s="37" t="s">
        <v>41</v>
      </c>
      <c r="J72" s="41">
        <f>J41+J67</f>
        <v>38.236450078403841</v>
      </c>
      <c r="K72" s="41">
        <f>K41+K67</f>
        <v>38.381933437871787</v>
      </c>
      <c r="L72" s="41">
        <f>L41+L67</f>
        <v>3.8927796132288313</v>
      </c>
      <c r="M72" s="41">
        <f>M41+M67</f>
        <v>1.572779613228831</v>
      </c>
    </row>
    <row r="73" spans="1:13" s="40" customFormat="1" ht="15.75" thickBot="1" x14ac:dyDescent="0.3">
      <c r="A73" s="36"/>
      <c r="B73" s="37"/>
      <c r="C73" s="41"/>
      <c r="D73" s="41"/>
      <c r="E73" s="41"/>
      <c r="F73" s="41"/>
      <c r="H73" s="36"/>
      <c r="I73" s="37"/>
      <c r="J73" s="41"/>
      <c r="K73" s="41"/>
      <c r="L73" s="41"/>
      <c r="M73" s="41"/>
    </row>
    <row r="74" spans="1:13" s="40" customFormat="1" ht="15.75" thickTop="1" x14ac:dyDescent="0.25">
      <c r="A74" s="22" t="s">
        <v>164</v>
      </c>
      <c r="B74" s="21"/>
      <c r="C74" s="25"/>
      <c r="D74" s="25"/>
      <c r="E74" s="25"/>
      <c r="F74" s="25"/>
      <c r="H74" s="22" t="s">
        <v>99</v>
      </c>
      <c r="I74" s="21"/>
      <c r="J74" s="25"/>
      <c r="K74" s="25"/>
      <c r="L74" s="25"/>
      <c r="M74" s="25"/>
    </row>
    <row r="75" spans="1:13" s="40" customFormat="1" x14ac:dyDescent="0.25">
      <c r="A75" s="36"/>
      <c r="B75" s="37"/>
      <c r="C75" s="41"/>
      <c r="D75" s="41"/>
      <c r="E75" s="41"/>
      <c r="F75" s="41"/>
      <c r="H75" s="36"/>
      <c r="I75" s="37"/>
      <c r="J75" s="41"/>
      <c r="K75" s="41"/>
      <c r="L75" s="41"/>
      <c r="M75" s="41"/>
    </row>
    <row r="76" spans="1:13" s="40" customFormat="1" x14ac:dyDescent="0.25">
      <c r="A76" s="36" t="s">
        <v>86</v>
      </c>
      <c r="B76" s="37" t="s">
        <v>40</v>
      </c>
      <c r="C76" s="38">
        <v>15.4</v>
      </c>
      <c r="D76" s="38">
        <v>15.4</v>
      </c>
      <c r="E76" s="38">
        <v>15.4</v>
      </c>
      <c r="F76" s="38">
        <v>15.4</v>
      </c>
      <c r="H76" s="36" t="s">
        <v>86</v>
      </c>
      <c r="I76" s="37" t="s">
        <v>40</v>
      </c>
      <c r="J76" s="38">
        <v>15.4</v>
      </c>
      <c r="K76" s="38">
        <v>15.4</v>
      </c>
      <c r="L76" s="38">
        <v>15.4</v>
      </c>
      <c r="M76" s="38">
        <v>15.4</v>
      </c>
    </row>
    <row r="77" spans="1:13" s="40" customFormat="1" x14ac:dyDescent="0.25">
      <c r="A77" s="36" t="s">
        <v>85</v>
      </c>
      <c r="B77" s="37" t="s">
        <v>13</v>
      </c>
      <c r="C77" s="38">
        <f>C76*(C54/2)*C57</f>
        <v>5.861170643900647</v>
      </c>
      <c r="D77" s="38">
        <f>D76*(D54/2)*D57</f>
        <v>5.861170643900647</v>
      </c>
      <c r="E77" s="38">
        <f>E76*(E54/2)*E57</f>
        <v>5.8611706491911777</v>
      </c>
      <c r="F77" s="38">
        <f>F76*(F54/2)*F57</f>
        <v>5.8611706721482983</v>
      </c>
      <c r="H77" s="36" t="s">
        <v>85</v>
      </c>
      <c r="I77" s="37" t="s">
        <v>13</v>
      </c>
      <c r="J77" s="38">
        <f>J76*(J54/2)*J57</f>
        <v>3.9074470959337648</v>
      </c>
      <c r="K77" s="38">
        <f>K76*(K54/2)*K57</f>
        <v>3.9074470959337648</v>
      </c>
      <c r="L77" s="38">
        <f>L76*(L54/2)*L57</f>
        <v>3.9074470994607853</v>
      </c>
      <c r="M77" s="38">
        <f>M76*(M54/2)*M57</f>
        <v>3.9074471147655325</v>
      </c>
    </row>
    <row r="78" spans="1:13" s="40" customFormat="1" x14ac:dyDescent="0.25">
      <c r="A78" s="27" t="s">
        <v>120</v>
      </c>
      <c r="B78" s="32" t="s">
        <v>87</v>
      </c>
      <c r="C78" s="28">
        <v>92.5</v>
      </c>
      <c r="D78" s="28">
        <v>98</v>
      </c>
      <c r="E78" s="28">
        <v>100</v>
      </c>
      <c r="F78" s="28">
        <v>87</v>
      </c>
      <c r="H78" s="27" t="s">
        <v>120</v>
      </c>
      <c r="I78" s="32" t="s">
        <v>87</v>
      </c>
      <c r="J78" s="28">
        <v>99</v>
      </c>
      <c r="K78" s="28">
        <v>100</v>
      </c>
      <c r="L78" s="28">
        <v>100</v>
      </c>
      <c r="M78" s="28">
        <v>100</v>
      </c>
    </row>
    <row r="79" spans="1:13" s="40" customFormat="1" x14ac:dyDescent="0.25">
      <c r="A79" s="27" t="s">
        <v>96</v>
      </c>
      <c r="B79" s="32"/>
      <c r="C79" s="79">
        <v>13</v>
      </c>
      <c r="D79" s="79">
        <v>15</v>
      </c>
      <c r="E79" s="79">
        <v>10</v>
      </c>
      <c r="F79" s="79">
        <v>10</v>
      </c>
      <c r="H79" s="27" t="s">
        <v>96</v>
      </c>
      <c r="I79" s="32"/>
      <c r="J79" s="79">
        <v>18</v>
      </c>
      <c r="K79" s="79">
        <v>24</v>
      </c>
      <c r="L79" s="79">
        <v>12</v>
      </c>
      <c r="M79" s="79">
        <v>11</v>
      </c>
    </row>
    <row r="80" spans="1:13" s="40" customFormat="1" x14ac:dyDescent="0.25">
      <c r="A80" s="27" t="s">
        <v>121</v>
      </c>
      <c r="B80" s="32" t="s">
        <v>87</v>
      </c>
      <c r="C80" s="28">
        <v>80</v>
      </c>
      <c r="D80" s="28">
        <v>100</v>
      </c>
      <c r="E80" s="28">
        <v>92</v>
      </c>
      <c r="F80" s="28">
        <v>100</v>
      </c>
      <c r="H80" s="27" t="s">
        <v>121</v>
      </c>
      <c r="I80" s="32" t="s">
        <v>87</v>
      </c>
      <c r="J80" s="28">
        <v>0</v>
      </c>
      <c r="K80" s="28">
        <v>0</v>
      </c>
      <c r="L80" s="28">
        <v>77</v>
      </c>
      <c r="M80" s="28">
        <v>92</v>
      </c>
    </row>
    <row r="81" spans="1:13" s="40" customFormat="1" x14ac:dyDescent="0.25">
      <c r="A81" s="36" t="s">
        <v>97</v>
      </c>
      <c r="B81" s="37"/>
      <c r="C81" s="39">
        <f>C55-C79</f>
        <v>4</v>
      </c>
      <c r="D81" s="39">
        <f>D55-D79</f>
        <v>2</v>
      </c>
      <c r="E81" s="39">
        <f>E55-E79</f>
        <v>7</v>
      </c>
      <c r="F81" s="39">
        <f>F55-F79</f>
        <v>7</v>
      </c>
      <c r="H81" s="36" t="s">
        <v>97</v>
      </c>
      <c r="I81" s="37"/>
      <c r="J81" s="39">
        <f>J55-J79</f>
        <v>0</v>
      </c>
      <c r="K81" s="39">
        <f>K55-K79</f>
        <v>0</v>
      </c>
      <c r="L81" s="39">
        <f>L55-L79</f>
        <v>6</v>
      </c>
      <c r="M81" s="39">
        <v>8</v>
      </c>
    </row>
    <row r="82" spans="1:13" s="40" customFormat="1" x14ac:dyDescent="0.25">
      <c r="A82" s="36" t="s">
        <v>124</v>
      </c>
      <c r="B82" s="37" t="s">
        <v>13</v>
      </c>
      <c r="C82" s="38">
        <f>C77*(C78/100)*C79+C77*(C80/100)*C81</f>
        <v>89.236323053387352</v>
      </c>
      <c r="D82" s="38">
        <f t="shared" ref="D82:F82" si="2">D77*(D78/100)*D79+D77*(D80/100)*D81</f>
        <v>97.881549753140817</v>
      </c>
      <c r="E82" s="38">
        <f t="shared" si="2"/>
        <v>96.357645472702956</v>
      </c>
      <c r="F82" s="38">
        <f t="shared" si="2"/>
        <v>92.020379552728286</v>
      </c>
      <c r="H82" s="36" t="s">
        <v>124</v>
      </c>
      <c r="I82" s="37" t="s">
        <v>13</v>
      </c>
      <c r="J82" s="38">
        <f>J77*(J78/100)*J79+J77*(J80/100)*J81</f>
        <v>69.630707249539697</v>
      </c>
      <c r="K82" s="38">
        <f t="shared" ref="K82:M82" si="3">K77*(K78/100)*K79+K77*(K80/100)*K81</f>
        <v>93.778730302410352</v>
      </c>
      <c r="L82" s="38">
        <f t="shared" si="3"/>
        <v>64.941770793038245</v>
      </c>
      <c r="M82" s="38">
        <f t="shared" si="3"/>
        <v>71.740729027095171</v>
      </c>
    </row>
    <row r="83" spans="1:13" s="40" customFormat="1" x14ac:dyDescent="0.25">
      <c r="A83" s="62" t="s">
        <v>101</v>
      </c>
      <c r="B83" s="63"/>
      <c r="C83" s="64">
        <f>C137</f>
        <v>3.7427375950776276E-2</v>
      </c>
      <c r="D83" s="64">
        <f>D137</f>
        <v>6.4388111502904716E-2</v>
      </c>
      <c r="E83" s="64">
        <f>E137</f>
        <v>4.7663634729127768E-2</v>
      </c>
      <c r="F83" s="64">
        <f>F137</f>
        <v>4.6584866172750206E-2</v>
      </c>
      <c r="H83" s="62" t="s">
        <v>101</v>
      </c>
      <c r="I83" s="63"/>
      <c r="J83" s="64">
        <f>J137</f>
        <v>5.0626281599291875E-2</v>
      </c>
      <c r="K83" s="64">
        <f>K137</f>
        <v>8.8131530508016143E-2</v>
      </c>
      <c r="L83" s="64">
        <f>L137</f>
        <v>6.8612921001080823E-2</v>
      </c>
      <c r="M83" s="64">
        <f>M137</f>
        <v>6.81708515274351E-2</v>
      </c>
    </row>
    <row r="84" spans="1:13" s="40" customFormat="1" x14ac:dyDescent="0.25">
      <c r="A84" s="62" t="s">
        <v>93</v>
      </c>
      <c r="B84" s="63" t="s">
        <v>29</v>
      </c>
      <c r="C84" s="65">
        <f>C139</f>
        <v>10.568939373982658</v>
      </c>
      <c r="D84" s="65">
        <f>D139</f>
        <v>12.661989600373197</v>
      </c>
      <c r="E84" s="65">
        <f>E139</f>
        <v>9.4957311043388728</v>
      </c>
      <c r="F84" s="65">
        <f>F139</f>
        <v>11.596162381316262</v>
      </c>
      <c r="H84" s="62" t="s">
        <v>93</v>
      </c>
      <c r="I84" s="63" t="s">
        <v>29</v>
      </c>
      <c r="J84" s="65">
        <f>J139</f>
        <v>7.8134845154526209</v>
      </c>
      <c r="K84" s="65">
        <f>K139</f>
        <v>9.2507368649781245</v>
      </c>
      <c r="L84" s="65">
        <f>L139</f>
        <v>6.5964406155525062</v>
      </c>
      <c r="M84" s="65">
        <f>M139</f>
        <v>7.9242911089895172</v>
      </c>
    </row>
    <row r="85" spans="1:13" s="40" customFormat="1" x14ac:dyDescent="0.25">
      <c r="A85" s="62" t="s">
        <v>95</v>
      </c>
      <c r="B85" s="63" t="s">
        <v>108</v>
      </c>
      <c r="C85" s="65">
        <f>C142</f>
        <v>12.011240505162514</v>
      </c>
      <c r="D85" s="65">
        <f>D142</f>
        <v>12.031518735262226</v>
      </c>
      <c r="E85" s="65">
        <f>E142</f>
        <v>12.042182070269551</v>
      </c>
      <c r="F85" s="65">
        <f>F142</f>
        <v>12.103384196253987</v>
      </c>
      <c r="H85" s="62" t="s">
        <v>95</v>
      </c>
      <c r="I85" s="63" t="s">
        <v>108</v>
      </c>
      <c r="J85" s="65">
        <f>J142</f>
        <v>12.023051388993245</v>
      </c>
      <c r="K85" s="65">
        <f>K142</f>
        <v>11.950900116729184</v>
      </c>
      <c r="L85" s="65">
        <f>L142</f>
        <v>11.999374130564348</v>
      </c>
      <c r="M85" s="65">
        <f>M142</f>
        <v>12.100299032179654</v>
      </c>
    </row>
    <row r="86" spans="1:13" s="40" customFormat="1" x14ac:dyDescent="0.25">
      <c r="A86" s="36"/>
      <c r="B86" s="37"/>
      <c r="C86" s="38"/>
      <c r="D86" s="38"/>
      <c r="E86" s="38"/>
      <c r="F86" s="38"/>
      <c r="H86" s="36"/>
      <c r="I86" s="37"/>
      <c r="J86" s="38"/>
      <c r="K86" s="38"/>
      <c r="L86" s="38"/>
      <c r="M86" s="38"/>
    </row>
    <row r="87" spans="1:13" s="35" customFormat="1" x14ac:dyDescent="0.25">
      <c r="A87" s="36" t="s">
        <v>132</v>
      </c>
      <c r="B87" s="37" t="s">
        <v>3</v>
      </c>
      <c r="C87" s="41">
        <f>C95+C115</f>
        <v>10.076703261627745</v>
      </c>
      <c r="D87" s="41">
        <f>D95+D115</f>
        <v>10.076703261627749</v>
      </c>
      <c r="E87" s="41">
        <f>E95+E115</f>
        <v>9.4489232474575111</v>
      </c>
      <c r="F87" s="41">
        <f>F95+F115</f>
        <v>2.8016608395543168</v>
      </c>
      <c r="G87" s="40"/>
      <c r="H87" s="36" t="s">
        <v>132</v>
      </c>
      <c r="I87" s="37" t="s">
        <v>3</v>
      </c>
      <c r="J87" s="41">
        <f>J95+J115</f>
        <v>10.119484330286188</v>
      </c>
      <c r="K87" s="41">
        <f>K95+K115</f>
        <v>10.157987292078788</v>
      </c>
      <c r="L87" s="41">
        <f>L95+L115</f>
        <v>9.7196735368898377</v>
      </c>
      <c r="M87" s="41">
        <f>M95+M115</f>
        <v>3.1763020466280061</v>
      </c>
    </row>
    <row r="88" spans="1:13" s="35" customFormat="1" x14ac:dyDescent="0.25">
      <c r="A88" s="36"/>
      <c r="B88" s="37"/>
      <c r="C88" s="41"/>
      <c r="D88" s="41"/>
      <c r="E88" s="41"/>
      <c r="F88" s="41"/>
      <c r="G88" s="40"/>
      <c r="H88" s="36"/>
      <c r="I88" s="37"/>
      <c r="J88" s="41"/>
      <c r="K88" s="41"/>
      <c r="L88" s="41"/>
      <c r="M88" s="41"/>
    </row>
    <row r="89" spans="1:13" s="40" customFormat="1" x14ac:dyDescent="0.25">
      <c r="A89" s="47" t="s">
        <v>165</v>
      </c>
      <c r="B89" s="37"/>
      <c r="C89" s="39"/>
      <c r="D89" s="39"/>
      <c r="E89" s="39"/>
      <c r="F89" s="39"/>
      <c r="H89" s="47" t="s">
        <v>165</v>
      </c>
      <c r="I89" s="37"/>
      <c r="J89" s="39"/>
      <c r="K89" s="39"/>
      <c r="L89" s="39"/>
      <c r="M89" s="39"/>
    </row>
    <row r="90" spans="1:13" s="35" customFormat="1" x14ac:dyDescent="0.25">
      <c r="A90" s="36" t="s">
        <v>122</v>
      </c>
      <c r="B90" s="37" t="s">
        <v>13</v>
      </c>
      <c r="C90" s="38">
        <f>C77*(C78/100)*C79</f>
        <v>70.480576992905284</v>
      </c>
      <c r="D90" s="38">
        <f>D77*(D78/100)*D79</f>
        <v>86.159208465339518</v>
      </c>
      <c r="E90" s="38">
        <f>E77*(E78/100)*E79</f>
        <v>58.611706491911775</v>
      </c>
      <c r="F90" s="38">
        <f>F77*(F78/100)*F79</f>
        <v>50.99218484769019</v>
      </c>
      <c r="G90" s="40"/>
      <c r="H90" s="36" t="s">
        <v>122</v>
      </c>
      <c r="I90" s="37" t="s">
        <v>13</v>
      </c>
      <c r="J90" s="38">
        <f>J77*(J78/100)*J79</f>
        <v>69.630707249539697</v>
      </c>
      <c r="K90" s="38">
        <f>K77*(K78/100)*K79</f>
        <v>93.778730302410352</v>
      </c>
      <c r="L90" s="38">
        <f>L77*(L78/100)*L79</f>
        <v>46.889365193529422</v>
      </c>
      <c r="M90" s="38">
        <f>M77*(M78/100)*M79</f>
        <v>42.981918262420855</v>
      </c>
    </row>
    <row r="91" spans="1:13" s="35" customFormat="1" x14ac:dyDescent="0.25">
      <c r="A91" s="36" t="s">
        <v>125</v>
      </c>
      <c r="B91" s="37" t="s">
        <v>46</v>
      </c>
      <c r="C91" s="41">
        <f>PI()-ASIN(C72*(C79/C55)/C90)</f>
        <v>2.715729411848804</v>
      </c>
      <c r="D91" s="41">
        <f>PI()-ASIN(D72*(D79/D55)/D90)</f>
        <v>2.741045230534557</v>
      </c>
      <c r="E91" s="41">
        <f>PI()-ASIN(E72*(E79/E55)/E90)</f>
        <v>3.103603323139509</v>
      </c>
      <c r="F91" s="41">
        <f>PI()-ASIN(F72*(F79/F55)/F90)</f>
        <v>3.12469949547086</v>
      </c>
      <c r="G91" s="40"/>
      <c r="H91" s="36" t="s">
        <v>125</v>
      </c>
      <c r="I91" s="37" t="s">
        <v>46</v>
      </c>
      <c r="J91" s="41">
        <f>PI()-ASIN(J72*(J79/J55)/J90)</f>
        <v>2.5602673671221994</v>
      </c>
      <c r="K91" s="41">
        <f>PI()-ASIN(K72*(K79/K55)/K90)</f>
        <v>2.7199258094029126</v>
      </c>
      <c r="L91" s="41">
        <f>PI()-ASIN(L72*(L79/L55)/L90)</f>
        <v>3.0862173420050438</v>
      </c>
      <c r="M91" s="41">
        <f>PI()-ASIN(M72*(M79/M55)/M90)</f>
        <v>3.1192292213493542</v>
      </c>
    </row>
    <row r="92" spans="1:13" s="35" customFormat="1" x14ac:dyDescent="0.25">
      <c r="A92" s="36" t="s">
        <v>125</v>
      </c>
      <c r="B92" s="37" t="s">
        <v>21</v>
      </c>
      <c r="C92" s="38">
        <f>C91*180/PI()</f>
        <v>155.59983359848181</v>
      </c>
      <c r="D92" s="38">
        <f>D91*180/PI()</f>
        <v>157.0503231640939</v>
      </c>
      <c r="E92" s="38">
        <f>E91*180/PI()</f>
        <v>177.82337169867088</v>
      </c>
      <c r="F92" s="38">
        <f>F91*180/PI()</f>
        <v>179.03209333713798</v>
      </c>
      <c r="G92" s="40"/>
      <c r="H92" s="36" t="s">
        <v>125</v>
      </c>
      <c r="I92" s="37" t="s">
        <v>21</v>
      </c>
      <c r="J92" s="38">
        <f>J91*180/PI()</f>
        <v>146.69251456117331</v>
      </c>
      <c r="K92" s="38">
        <f>K91*180/PI()</f>
        <v>155.84026946749125</v>
      </c>
      <c r="L92" s="38">
        <f>L91*180/PI()</f>
        <v>176.82722835697197</v>
      </c>
      <c r="M92" s="38">
        <f>M91*180/PI()</f>
        <v>178.71866971719606</v>
      </c>
    </row>
    <row r="93" spans="1:13" s="35" customFormat="1" x14ac:dyDescent="0.25">
      <c r="A93" s="36" t="s">
        <v>196</v>
      </c>
      <c r="B93" s="37" t="s">
        <v>13</v>
      </c>
      <c r="C93" s="41">
        <f>C90*SIN(C91)</f>
        <v>29.116024983283779</v>
      </c>
      <c r="D93" s="41">
        <f>D90*SIN(D91)</f>
        <v>33.595413442250518</v>
      </c>
      <c r="E93" s="41">
        <f>E90*SIN(E91)</f>
        <v>2.2260839526120049</v>
      </c>
      <c r="F93" s="41">
        <f>F90*SIN(F91)</f>
        <v>0.86137807025905544</v>
      </c>
      <c r="G93" s="40"/>
      <c r="H93" s="36" t="s">
        <v>196</v>
      </c>
      <c r="I93" s="37" t="s">
        <v>13</v>
      </c>
      <c r="J93" s="41">
        <f>J90*SIN(J91)</f>
        <v>38.236450078403855</v>
      </c>
      <c r="K93" s="41">
        <f>K90*SIN(K91)</f>
        <v>38.381933437871822</v>
      </c>
      <c r="L93" s="41">
        <f>L90*SIN(L91)</f>
        <v>2.5951864088192171</v>
      </c>
      <c r="M93" s="41">
        <f>M90*SIN(M91)</f>
        <v>0.96114309697318134</v>
      </c>
    </row>
    <row r="94" spans="1:13" s="35" customFormat="1" x14ac:dyDescent="0.25">
      <c r="A94" s="36" t="s">
        <v>195</v>
      </c>
      <c r="B94" s="37" t="s">
        <v>13</v>
      </c>
      <c r="C94" s="41">
        <f>C90*COS(C91)</f>
        <v>-64.185425311558419</v>
      </c>
      <c r="D94" s="41">
        <f>D90*COS(D91)</f>
        <v>-79.339507176551621</v>
      </c>
      <c r="E94" s="41">
        <f>E90*COS(E91)</f>
        <v>-58.569417686450805</v>
      </c>
      <c r="F94" s="41">
        <f>F90*COS(F91)</f>
        <v>-50.98490897668723</v>
      </c>
      <c r="G94" s="40"/>
      <c r="H94" s="36" t="s">
        <v>195</v>
      </c>
      <c r="I94" s="37" t="s">
        <v>13</v>
      </c>
      <c r="J94" s="41">
        <f>J90*COS(J91)</f>
        <v>-58.192862770900263</v>
      </c>
      <c r="K94" s="41">
        <f>K90*COS(K91)</f>
        <v>-85.564463667477014</v>
      </c>
      <c r="L94" s="41">
        <f>L90*COS(L91)</f>
        <v>-46.817492198489745</v>
      </c>
      <c r="M94" s="41">
        <f>M90*COS(M91)</f>
        <v>-42.971170585225721</v>
      </c>
    </row>
    <row r="95" spans="1:13" s="35" customFormat="1" x14ac:dyDescent="0.25">
      <c r="A95" s="36" t="s">
        <v>128</v>
      </c>
      <c r="B95" s="37" t="s">
        <v>3</v>
      </c>
      <c r="C95" s="41">
        <f>C93*C35</f>
        <v>7.7057142588918071</v>
      </c>
      <c r="D95" s="41">
        <f>D93*D35</f>
        <v>8.8912087602597794</v>
      </c>
      <c r="E95" s="41">
        <f>E93*E35</f>
        <v>5.5581901455632616</v>
      </c>
      <c r="F95" s="41">
        <f>F93*F35</f>
        <v>1.6480357879731364</v>
      </c>
      <c r="G95" s="40"/>
      <c r="H95" s="36" t="s">
        <v>128</v>
      </c>
      <c r="I95" s="37" t="s">
        <v>3</v>
      </c>
      <c r="J95" s="41">
        <f>J93*J35</f>
        <v>10.119484330286188</v>
      </c>
      <c r="K95" s="41">
        <f>K93*K35</f>
        <v>10.157987292078788</v>
      </c>
      <c r="L95" s="41">
        <f>L93*L35</f>
        <v>6.4797823579265552</v>
      </c>
      <c r="M95" s="41">
        <f>M93*M35</f>
        <v>1.8389117112056932</v>
      </c>
    </row>
    <row r="96" spans="1:13" s="35" customFormat="1" x14ac:dyDescent="0.25">
      <c r="A96" s="36" t="s">
        <v>131</v>
      </c>
      <c r="B96" s="37" t="s">
        <v>32</v>
      </c>
      <c r="C96" s="38">
        <f>1000*C95/C79</f>
        <v>592.74725068398516</v>
      </c>
      <c r="D96" s="38">
        <f>1000*D95/D79</f>
        <v>592.74725068398527</v>
      </c>
      <c r="E96" s="38">
        <f>1000*E95/E79</f>
        <v>555.81901455632612</v>
      </c>
      <c r="F96" s="38">
        <f>1000*F95/F79</f>
        <v>164.80357879731363</v>
      </c>
      <c r="G96" s="40"/>
      <c r="H96" s="36" t="s">
        <v>131</v>
      </c>
      <c r="I96" s="37" t="s">
        <v>32</v>
      </c>
      <c r="J96" s="38">
        <f>1000*J95/J79</f>
        <v>562.1935739047882</v>
      </c>
      <c r="K96" s="38">
        <f>1000*K95/K79</f>
        <v>423.24947050328279</v>
      </c>
      <c r="L96" s="38">
        <f>1000*L95/L79</f>
        <v>539.98186316054625</v>
      </c>
      <c r="M96" s="38">
        <f>1000*M95/M79</f>
        <v>167.17379192779029</v>
      </c>
    </row>
    <row r="97" spans="1:13" s="35" customFormat="1" x14ac:dyDescent="0.25">
      <c r="A97" s="59" t="s">
        <v>137</v>
      </c>
      <c r="B97" s="60" t="s">
        <v>13</v>
      </c>
      <c r="C97" s="86">
        <f>C90/C79</f>
        <v>5.421582845608099</v>
      </c>
      <c r="D97" s="86">
        <f>D90/D79</f>
        <v>5.7439472310226343</v>
      </c>
      <c r="E97" s="86">
        <f>E90/E79</f>
        <v>5.8611706491911777</v>
      </c>
      <c r="F97" s="86">
        <f>F90/F79</f>
        <v>5.0992184847690192</v>
      </c>
      <c r="G97" s="40"/>
      <c r="H97" s="59" t="s">
        <v>137</v>
      </c>
      <c r="I97" s="60" t="s">
        <v>13</v>
      </c>
      <c r="J97" s="86">
        <f>J90/J79</f>
        <v>3.8683726249744277</v>
      </c>
      <c r="K97" s="86">
        <f>K90/K79</f>
        <v>3.9074470959337648</v>
      </c>
      <c r="L97" s="86">
        <f>L90/L79</f>
        <v>3.9074470994607853</v>
      </c>
      <c r="M97" s="86">
        <f>M90/M79</f>
        <v>3.9074471147655321</v>
      </c>
    </row>
    <row r="98" spans="1:13" s="35" customFormat="1" x14ac:dyDescent="0.25">
      <c r="A98" s="59" t="s">
        <v>138</v>
      </c>
      <c r="B98" s="60" t="s">
        <v>58</v>
      </c>
      <c r="C98" s="61">
        <f>0.5*((1000000*C97)^2)/(2*PI()*C53*1000000*C59)</f>
        <v>160.40318768136899</v>
      </c>
      <c r="D98" s="61">
        <f>0.5*((1000000*D97)^2)/(2*PI()*D53*1000000*D59)</f>
        <v>180.04525516340306</v>
      </c>
      <c r="E98" s="61">
        <f>0.5*((1000000*E97)^2)/(2*PI()*E53*1000000*E59)</f>
        <v>187.46902920757131</v>
      </c>
      <c r="F98" s="61">
        <f>0.5*((1000000*F97)^2)/(2*PI()*F53*1000000*F59)</f>
        <v>141.89530987454373</v>
      </c>
      <c r="G98" s="40"/>
      <c r="H98" s="59" t="s">
        <v>138</v>
      </c>
      <c r="I98" s="60" t="s">
        <v>58</v>
      </c>
      <c r="J98" s="61">
        <f>0.5*((1000000*J97)^2)/(2*PI()*J53*1000000*J59)</f>
        <v>54.44100593445674</v>
      </c>
      <c r="K98" s="61">
        <f>0.5*((1000000*K97)^2)/(2*PI()*K53*1000000*K59)</f>
        <v>55.546378874050319</v>
      </c>
      <c r="L98" s="61">
        <f>0.5*((1000000*L97)^2)/(2*PI()*L53*1000000*L59)</f>
        <v>55.546379024465573</v>
      </c>
      <c r="M98" s="61">
        <f>0.5*((1000000*M97)^2)/(2*PI()*M53*1000000*M59)</f>
        <v>55.546379677160218</v>
      </c>
    </row>
    <row r="99" spans="1:13" s="35" customFormat="1" x14ac:dyDescent="0.25">
      <c r="A99" s="59" t="s">
        <v>139</v>
      </c>
      <c r="B99" s="60" t="s">
        <v>40</v>
      </c>
      <c r="C99" s="61">
        <f>(C97/C57)/(C54/2)</f>
        <v>14.245000000000001</v>
      </c>
      <c r="D99" s="61">
        <f>(D97/D57)/(D54/2)</f>
        <v>15.092000000000001</v>
      </c>
      <c r="E99" s="61">
        <f>(E97/E57)/(E54/2)</f>
        <v>15.399999999999999</v>
      </c>
      <c r="F99" s="61">
        <f>(F97/F57)/(F54/2)</f>
        <v>13.398</v>
      </c>
      <c r="G99" s="40"/>
      <c r="H99" s="59" t="s">
        <v>139</v>
      </c>
      <c r="I99" s="60" t="s">
        <v>40</v>
      </c>
      <c r="J99" s="61">
        <f>(J97/J57)/(J54/2)</f>
        <v>15.246000000000002</v>
      </c>
      <c r="K99" s="61">
        <f>(K97/K57)/(K54/2)</f>
        <v>15.4</v>
      </c>
      <c r="L99" s="61">
        <f>(L97/L57)/(L54/2)</f>
        <v>15.4</v>
      </c>
      <c r="M99" s="61">
        <f>(M97/M57)/(M54/2)</f>
        <v>15.399999999999999</v>
      </c>
    </row>
    <row r="100" spans="1:13" s="35" customFormat="1" x14ac:dyDescent="0.25">
      <c r="A100" s="59" t="s">
        <v>141</v>
      </c>
      <c r="B100" s="60" t="s">
        <v>52</v>
      </c>
      <c r="C100" s="61">
        <f>C99*$F$15</f>
        <v>74.216450000000009</v>
      </c>
      <c r="D100" s="61">
        <f>D99*$F$15</f>
        <v>78.629320000000007</v>
      </c>
      <c r="E100" s="61">
        <f>E99*$F$15</f>
        <v>80.233999999999995</v>
      </c>
      <c r="F100" s="61">
        <f>F99*$F$15</f>
        <v>69.803579999999997</v>
      </c>
      <c r="G100" s="40"/>
      <c r="H100" s="59" t="s">
        <v>141</v>
      </c>
      <c r="I100" s="60" t="s">
        <v>52</v>
      </c>
      <c r="J100" s="61">
        <f>J99*$F$15</f>
        <v>79.431660000000008</v>
      </c>
      <c r="K100" s="61">
        <f>K99*$F$15</f>
        <v>80.233999999999995</v>
      </c>
      <c r="L100" s="61">
        <f>L99*$F$15</f>
        <v>80.233999999999995</v>
      </c>
      <c r="M100" s="61">
        <f>M99*$F$15</f>
        <v>80.233999999999995</v>
      </c>
    </row>
    <row r="101" spans="1:13" s="35" customFormat="1" x14ac:dyDescent="0.25">
      <c r="A101" s="59" t="s">
        <v>140</v>
      </c>
      <c r="B101" s="60" t="s">
        <v>40</v>
      </c>
      <c r="C101" s="61">
        <f>C99*$F$16</f>
        <v>39.173750000000005</v>
      </c>
      <c r="D101" s="61">
        <f>D99*$F$16</f>
        <v>41.503</v>
      </c>
      <c r="E101" s="61">
        <f>E99*$F$16</f>
        <v>42.349999999999994</v>
      </c>
      <c r="F101" s="61">
        <f>F99*$F$16</f>
        <v>36.844499999999996</v>
      </c>
      <c r="G101" s="40"/>
      <c r="H101" s="59" t="s">
        <v>140</v>
      </c>
      <c r="I101" s="60" t="s">
        <v>40</v>
      </c>
      <c r="J101" s="61">
        <f>J99*$F$16</f>
        <v>41.926500000000004</v>
      </c>
      <c r="K101" s="61">
        <f>K99*$F$16</f>
        <v>42.35</v>
      </c>
      <c r="L101" s="61">
        <f>L99*$F$16</f>
        <v>42.35</v>
      </c>
      <c r="M101" s="61">
        <f>M99*$F$16</f>
        <v>42.349999999999994</v>
      </c>
    </row>
    <row r="102" spans="1:13" s="35" customFormat="1" x14ac:dyDescent="0.25">
      <c r="A102" s="36" t="s">
        <v>142</v>
      </c>
      <c r="B102" s="37" t="s">
        <v>59</v>
      </c>
      <c r="C102" s="41">
        <f>((1000000*C97)^2)/(2*C61*1000000000)</f>
        <v>18.055012623950869</v>
      </c>
      <c r="D102" s="41">
        <f>((1000000*D97)^2)/(2*D61*1000000000)</f>
        <v>20.265927391137954</v>
      </c>
      <c r="E102" s="41">
        <f>((1000000*E97)^2)/(2*E61*1000000000)</f>
        <v>21.101548758562732</v>
      </c>
      <c r="F102" s="41">
        <f>((1000000*F97)^2)/(2*F61*1000000000)</f>
        <v>15.971762380473006</v>
      </c>
      <c r="G102" s="40"/>
      <c r="H102" s="36" t="s">
        <v>142</v>
      </c>
      <c r="I102" s="37" t="s">
        <v>59</v>
      </c>
      <c r="J102" s="41">
        <f>((1000000*J97)^2)/(2*J61*1000000000)</f>
        <v>9.191834622636085</v>
      </c>
      <c r="K102" s="41">
        <f>((1000000*K97)^2)/(2*K61*1000000000)</f>
        <v>9.3784660979860011</v>
      </c>
      <c r="L102" s="41">
        <f>((1000000*L97)^2)/(2*L61*1000000000)</f>
        <v>9.3784661149167707</v>
      </c>
      <c r="M102" s="41">
        <f>((1000000*M97)^2)/(2*M61*1000000000)</f>
        <v>9.3784661883842002</v>
      </c>
    </row>
    <row r="103" spans="1:13" s="35" customFormat="1" x14ac:dyDescent="0.25">
      <c r="A103" s="36" t="s">
        <v>200</v>
      </c>
      <c r="B103" s="37"/>
      <c r="C103" s="39">
        <f>1+1000*C96/C102</f>
        <v>32831.065701403975</v>
      </c>
      <c r="D103" s="39">
        <f>1+1000*D96/D102</f>
        <v>29249.464145943133</v>
      </c>
      <c r="E103" s="39">
        <f>1+1000*E96/E102</f>
        <v>26341.199997442462</v>
      </c>
      <c r="F103" s="39">
        <f>1+1000*F96/F102</f>
        <v>10319.434175980583</v>
      </c>
      <c r="G103" s="40"/>
      <c r="H103" s="36" t="s">
        <v>200</v>
      </c>
      <c r="I103" s="37"/>
      <c r="J103" s="39">
        <f>1+1000*J96/J102</f>
        <v>61163.281196869408</v>
      </c>
      <c r="K103" s="39">
        <f>1+1000*K96/K102</f>
        <v>45130.924881231316</v>
      </c>
      <c r="L103" s="39">
        <f>1+1000*L96/L102</f>
        <v>57577.77817928954</v>
      </c>
      <c r="M103" s="39">
        <f>1+1000*M96/M102</f>
        <v>17826.280655683888</v>
      </c>
    </row>
    <row r="104" spans="1:13" s="35" customFormat="1" x14ac:dyDescent="0.25">
      <c r="A104" s="74" t="s">
        <v>143</v>
      </c>
      <c r="B104" s="75"/>
      <c r="C104" s="87">
        <f>C60/C103</f>
        <v>670097.04162783851</v>
      </c>
      <c r="D104" s="87">
        <f>D60/D103</f>
        <v>752150.53138166212</v>
      </c>
      <c r="E104" s="87">
        <f>E60/E103</f>
        <v>835193.53720164765</v>
      </c>
      <c r="F104" s="87">
        <f>F60/F103</f>
        <v>2131899.8333461918</v>
      </c>
      <c r="G104" s="40"/>
      <c r="H104" s="74" t="s">
        <v>143</v>
      </c>
      <c r="I104" s="75"/>
      <c r="J104" s="87">
        <f>J60/J103</f>
        <v>359692.93290834851</v>
      </c>
      <c r="K104" s="87">
        <f>K60/K103</f>
        <v>487470.62148396566</v>
      </c>
      <c r="L104" s="87">
        <f>L60/L103</f>
        <v>382091.85376161837</v>
      </c>
      <c r="M104" s="87">
        <f>M60/M103</f>
        <v>1234132.9313125857</v>
      </c>
    </row>
    <row r="105" spans="1:13" s="35" customFormat="1" x14ac:dyDescent="0.25">
      <c r="A105" s="36" t="s">
        <v>144</v>
      </c>
      <c r="B105" s="37"/>
      <c r="C105" s="43">
        <f>C56*C104</f>
        <v>1340194.083255677</v>
      </c>
      <c r="D105" s="43">
        <f>D56*D104</f>
        <v>1504301.0627633242</v>
      </c>
      <c r="E105" s="43">
        <f>E56*E104</f>
        <v>1670387.0744032953</v>
      </c>
      <c r="F105" s="43">
        <f>F56*F104</f>
        <v>4263799.6666923836</v>
      </c>
      <c r="G105" s="40"/>
      <c r="H105" s="36" t="s">
        <v>144</v>
      </c>
      <c r="I105" s="37"/>
      <c r="J105" s="43">
        <f>J56*J104</f>
        <v>719385.86581669701</v>
      </c>
      <c r="K105" s="43">
        <f>K56*K104</f>
        <v>974941.24296793132</v>
      </c>
      <c r="L105" s="43">
        <f>L56*L104</f>
        <v>764183.70752323675</v>
      </c>
      <c r="M105" s="43">
        <f>M56*M104</f>
        <v>2468265.8626251714</v>
      </c>
    </row>
    <row r="106" spans="1:13" s="35" customFormat="1" x14ac:dyDescent="0.25">
      <c r="A106" s="55" t="s">
        <v>145</v>
      </c>
      <c r="B106" s="56" t="s">
        <v>11</v>
      </c>
      <c r="C106" s="57">
        <f>1000000*C53/C104/2</f>
        <v>294.07622709592721</v>
      </c>
      <c r="D106" s="57">
        <f>1000000*D53/D104/2</f>
        <v>261.99490868944645</v>
      </c>
      <c r="E106" s="57">
        <f>1000000*E53/E104/2</f>
        <v>235.94484491874783</v>
      </c>
      <c r="F106" s="57">
        <f>1000000*F53/F104/2</f>
        <v>92.433802826015508</v>
      </c>
      <c r="G106" s="40"/>
      <c r="H106" s="55" t="s">
        <v>145</v>
      </c>
      <c r="I106" s="56" t="s">
        <v>11</v>
      </c>
      <c r="J106" s="57">
        <f>1000000*J53/J104/2</f>
        <v>821.78265860008833</v>
      </c>
      <c r="K106" s="57">
        <f>1000000*K53/K104/2</f>
        <v>606.37380317453369</v>
      </c>
      <c r="L106" s="57">
        <f>1000000*L53/L104/2</f>
        <v>773.60826070552343</v>
      </c>
      <c r="M106" s="57">
        <f>1000000*M53/M104/2</f>
        <v>239.51181089230479</v>
      </c>
    </row>
    <row r="107" spans="1:13" s="35" customFormat="1" x14ac:dyDescent="0.25">
      <c r="A107" s="55" t="s">
        <v>146</v>
      </c>
      <c r="B107" s="56" t="s">
        <v>11</v>
      </c>
      <c r="C107" s="57">
        <f>1000000*C53*C59*C35*COS(C91)/(C97*1000000)</f>
        <v>-648.26269368108603</v>
      </c>
      <c r="D107" s="57">
        <f>1000000*D53*D59*D35*COS(D91)/(D97*1000000)</f>
        <v>-618.71053647605606</v>
      </c>
      <c r="E107" s="57">
        <f>1000000*E53*E59*E35*COS(E91)/(E97*1000000)</f>
        <v>-6207.5949721430543</v>
      </c>
      <c r="F107" s="57">
        <f>1000000*F53*F59*F35*COS(F91)/(F97*1000000)</f>
        <v>-5470.6202785126552</v>
      </c>
      <c r="G107" s="40"/>
      <c r="H107" s="55" t="s">
        <v>146</v>
      </c>
      <c r="I107" s="56" t="s">
        <v>11</v>
      </c>
      <c r="J107" s="57">
        <f>1000000*J53*J59*J35*COS(J91)/(J97*1000000)</f>
        <v>-1250.6679754239121</v>
      </c>
      <c r="K107" s="57">
        <f>1000000*K53*K59*K35*COS(K91)/(K97*1000000)</f>
        <v>-1351.7531549196297</v>
      </c>
      <c r="L107" s="57">
        <f>1000000*L53*L59*L35*COS(L91)/(L97*1000000)</f>
        <v>-13955.748825158145</v>
      </c>
      <c r="M107" s="57">
        <f>1000000*M53*M59*M35*COS(M91)/(M97*1000000)</f>
        <v>-10707.589285970016</v>
      </c>
    </row>
    <row r="108" spans="1:13" s="35" customFormat="1" x14ac:dyDescent="0.25">
      <c r="A108" s="36"/>
      <c r="B108" s="37"/>
      <c r="C108" s="38"/>
      <c r="D108" s="38"/>
      <c r="E108" s="38"/>
      <c r="F108" s="38"/>
      <c r="G108" s="40"/>
      <c r="H108" s="36"/>
      <c r="I108" s="37"/>
      <c r="J108" s="38"/>
      <c r="K108" s="38"/>
      <c r="L108" s="38"/>
      <c r="M108" s="38"/>
    </row>
    <row r="109" spans="1:13" s="35" customFormat="1" x14ac:dyDescent="0.25">
      <c r="A109" s="47" t="s">
        <v>166</v>
      </c>
      <c r="B109" s="37"/>
      <c r="C109" s="38"/>
      <c r="D109" s="38"/>
      <c r="E109" s="38"/>
      <c r="F109" s="38"/>
      <c r="G109" s="40"/>
      <c r="H109" s="47" t="s">
        <v>166</v>
      </c>
      <c r="I109" s="37"/>
      <c r="J109" s="38"/>
      <c r="K109" s="38"/>
      <c r="L109" s="38"/>
      <c r="M109" s="38"/>
    </row>
    <row r="110" spans="1:13" s="35" customFormat="1" x14ac:dyDescent="0.25">
      <c r="A110" s="36" t="s">
        <v>123</v>
      </c>
      <c r="B110" s="37" t="s">
        <v>13</v>
      </c>
      <c r="C110" s="38">
        <f>C77*(C80/100)*C81</f>
        <v>18.755746060482071</v>
      </c>
      <c r="D110" s="38">
        <f t="shared" ref="D110:F110" si="4">D77*(D80/100)*D81</f>
        <v>11.722341287801294</v>
      </c>
      <c r="E110" s="38">
        <f t="shared" si="4"/>
        <v>37.745938980791188</v>
      </c>
      <c r="F110" s="38">
        <f t="shared" si="4"/>
        <v>41.028194705038089</v>
      </c>
      <c r="G110" s="40"/>
      <c r="H110" s="36" t="s">
        <v>123</v>
      </c>
      <c r="I110" s="37" t="s">
        <v>13</v>
      </c>
      <c r="J110" s="38">
        <f>J77*(J80/100)*J81</f>
        <v>0</v>
      </c>
      <c r="K110" s="38">
        <f t="shared" ref="K110:M110" si="5">K77*(K80/100)*K81</f>
        <v>0</v>
      </c>
      <c r="L110" s="38">
        <f t="shared" si="5"/>
        <v>18.05240559950883</v>
      </c>
      <c r="M110" s="38">
        <f t="shared" si="5"/>
        <v>28.758810764674319</v>
      </c>
    </row>
    <row r="111" spans="1:13" s="35" customFormat="1" x14ac:dyDescent="0.25">
      <c r="A111" s="36" t="s">
        <v>126</v>
      </c>
      <c r="B111" s="37" t="s">
        <v>46</v>
      </c>
      <c r="C111" s="41">
        <f>IF(C110=0,PI()/2,ASIN(C72*(C81/C55)/C110))</f>
        <v>0.49798365396789956</v>
      </c>
      <c r="D111" s="41">
        <f t="shared" ref="D111" si="6">IF(D110=0,PI()/2,ASIN(D72*(D81/D55)/D110))</f>
        <v>0.39209368005069123</v>
      </c>
      <c r="E111" s="41">
        <f t="shared" ref="E111" si="7">IF(E110=0,PI()/2,ASIN(E72*(E81/E55)/E110))</f>
        <v>4.1294554185733107E-2</v>
      </c>
      <c r="F111" s="41">
        <f t="shared" ref="F111" si="8">IF(F110=0,PI()/2,ASIN(F72*(F81/F55)/F110))</f>
        <v>1.4696877613334144E-2</v>
      </c>
      <c r="G111" s="40"/>
      <c r="H111" s="36" t="s">
        <v>126</v>
      </c>
      <c r="I111" s="37" t="s">
        <v>46</v>
      </c>
      <c r="J111" s="41">
        <f>IF(J110=0,PI()/2,ASIN(J72*(J81/J55)/J110))</f>
        <v>1.5707963267948966</v>
      </c>
      <c r="K111" s="41">
        <f t="shared" ref="K111:M111" si="9">IF(K110=0,PI()/2,ASIN(K72*(K81/K55)/K110))</f>
        <v>1.5707963267948966</v>
      </c>
      <c r="L111" s="41">
        <f t="shared" si="9"/>
        <v>7.1941280406042002E-2</v>
      </c>
      <c r="M111" s="41">
        <f t="shared" si="9"/>
        <v>2.4308446309313322E-2</v>
      </c>
    </row>
    <row r="112" spans="1:13" s="35" customFormat="1" x14ac:dyDescent="0.25">
      <c r="A112" s="36" t="s">
        <v>126</v>
      </c>
      <c r="B112" s="37" t="s">
        <v>21</v>
      </c>
      <c r="C112" s="38">
        <f>C111*180/PI()</f>
        <v>28.532361638863858</v>
      </c>
      <c r="D112" s="38">
        <f t="shared" ref="D112" si="10">D111*180/PI()</f>
        <v>22.465313040657449</v>
      </c>
      <c r="E112" s="38">
        <f t="shared" ref="E112" si="11">E111*180/PI()</f>
        <v>2.3660036717167947</v>
      </c>
      <c r="F112" s="38">
        <f t="shared" ref="F112" si="12">F111*180/PI()</f>
        <v>0.84206905926434861</v>
      </c>
      <c r="G112" s="40"/>
      <c r="H112" s="36" t="s">
        <v>126</v>
      </c>
      <c r="I112" s="37" t="s">
        <v>21</v>
      </c>
      <c r="J112" s="38">
        <f>J111*180/PI()</f>
        <v>90</v>
      </c>
      <c r="K112" s="38">
        <f t="shared" ref="K112:M112" si="13">K111*180/PI()</f>
        <v>90</v>
      </c>
      <c r="L112" s="38">
        <f t="shared" si="13"/>
        <v>4.1219317400334123</v>
      </c>
      <c r="M112" s="38">
        <f t="shared" si="13"/>
        <v>1.3927713800440158</v>
      </c>
    </row>
    <row r="113" spans="1:13" s="35" customFormat="1" x14ac:dyDescent="0.25">
      <c r="A113" s="36" t="s">
        <v>197</v>
      </c>
      <c r="B113" s="37" t="s">
        <v>13</v>
      </c>
      <c r="C113" s="41">
        <f>C110*SIN(C111)</f>
        <v>8.9587769179334646</v>
      </c>
      <c r="D113" s="41">
        <f t="shared" ref="D113:F113" si="14">D110*SIN(D111)</f>
        <v>4.4793884589667332</v>
      </c>
      <c r="E113" s="41">
        <f t="shared" si="14"/>
        <v>1.5582587668283898</v>
      </c>
      <c r="F113" s="41">
        <f t="shared" si="14"/>
        <v>0.60296464918133086</v>
      </c>
      <c r="G113" s="40"/>
      <c r="H113" s="36" t="s">
        <v>197</v>
      </c>
      <c r="I113" s="37" t="s">
        <v>13</v>
      </c>
      <c r="J113" s="41">
        <f>J110*SIN(J111)</f>
        <v>0</v>
      </c>
      <c r="K113" s="41">
        <f t="shared" ref="K113:M113" si="15">K110*SIN(K111)</f>
        <v>0</v>
      </c>
      <c r="L113" s="41">
        <f t="shared" si="15"/>
        <v>1.2975932044096103</v>
      </c>
      <c r="M113" s="41">
        <f t="shared" si="15"/>
        <v>0.69901316143503611</v>
      </c>
    </row>
    <row r="114" spans="1:13" s="35" customFormat="1" x14ac:dyDescent="0.25">
      <c r="A114" s="36" t="s">
        <v>198</v>
      </c>
      <c r="B114" s="37"/>
      <c r="C114" s="41">
        <f>C110*COS(C111)</f>
        <v>16.477813156483819</v>
      </c>
      <c r="D114" s="41">
        <f t="shared" ref="D114:F114" si="16">D110*COS(D111)</f>
        <v>10.832745003062083</v>
      </c>
      <c r="E114" s="41">
        <f t="shared" si="16"/>
        <v>37.713760607465467</v>
      </c>
      <c r="F114" s="41">
        <f t="shared" si="16"/>
        <v>41.023763776454658</v>
      </c>
      <c r="G114" s="40"/>
      <c r="H114" s="36" t="s">
        <v>198</v>
      </c>
      <c r="I114" s="37"/>
      <c r="J114" s="41">
        <f>J110*COS(J111)</f>
        <v>0</v>
      </c>
      <c r="K114" s="41">
        <f t="shared" ref="K114:M114" si="17">K110*COS(K111)</f>
        <v>0</v>
      </c>
      <c r="L114" s="41">
        <f t="shared" si="17"/>
        <v>18.005710199962895</v>
      </c>
      <c r="M114" s="41">
        <f t="shared" si="17"/>
        <v>28.750314384341749</v>
      </c>
    </row>
    <row r="115" spans="1:13" s="35" customFormat="1" x14ac:dyDescent="0.25">
      <c r="A115" s="36" t="s">
        <v>129</v>
      </c>
      <c r="B115" s="37" t="s">
        <v>3</v>
      </c>
      <c r="C115" s="41">
        <f>C113*C35</f>
        <v>2.3709890027359393</v>
      </c>
      <c r="D115" s="41">
        <f t="shared" ref="D115:F115" si="18">D113*D35</f>
        <v>1.1854945013679699</v>
      </c>
      <c r="E115" s="41">
        <f t="shared" si="18"/>
        <v>3.890733101894249</v>
      </c>
      <c r="F115" s="41">
        <f t="shared" si="18"/>
        <v>1.1536250515811803</v>
      </c>
      <c r="G115" s="40"/>
      <c r="H115" s="36" t="s">
        <v>129</v>
      </c>
      <c r="I115" s="37" t="s">
        <v>3</v>
      </c>
      <c r="J115" s="41">
        <f>J113*J35</f>
        <v>0</v>
      </c>
      <c r="K115" s="41">
        <f t="shared" ref="K115:M115" si="19">K113*K35</f>
        <v>0</v>
      </c>
      <c r="L115" s="41">
        <f t="shared" si="19"/>
        <v>3.239891178963282</v>
      </c>
      <c r="M115" s="41">
        <f t="shared" si="19"/>
        <v>1.3373903354223131</v>
      </c>
    </row>
    <row r="116" spans="1:13" s="35" customFormat="1" x14ac:dyDescent="0.25">
      <c r="A116" s="36" t="s">
        <v>130</v>
      </c>
      <c r="B116" s="37" t="s">
        <v>32</v>
      </c>
      <c r="C116" s="38">
        <f>IF(C110=0,0,1000*C115/C81)</f>
        <v>592.74725068398482</v>
      </c>
      <c r="D116" s="38">
        <f t="shared" ref="D116" si="20">IF(D110=0,0,1000*D115/D81)</f>
        <v>592.74725068398493</v>
      </c>
      <c r="E116" s="38">
        <f t="shared" ref="E116" si="21">IF(E110=0,0,1000*E115/E81)</f>
        <v>555.81901455632135</v>
      </c>
      <c r="F116" s="38">
        <f t="shared" ref="F116" si="22">IF(F110=0,0,1000*F115/F81)</f>
        <v>164.80357879731147</v>
      </c>
      <c r="G116" s="40"/>
      <c r="H116" s="36" t="s">
        <v>130</v>
      </c>
      <c r="I116" s="37" t="s">
        <v>32</v>
      </c>
      <c r="J116" s="38">
        <f>IF(J110=0,0,1000*J115/J81)</f>
        <v>0</v>
      </c>
      <c r="K116" s="38">
        <f t="shared" ref="K116:M116" si="23">IF(K110=0,0,1000*K115/K81)</f>
        <v>0</v>
      </c>
      <c r="L116" s="38">
        <f t="shared" si="23"/>
        <v>539.98186316054705</v>
      </c>
      <c r="M116" s="38">
        <f t="shared" si="23"/>
        <v>167.17379192778913</v>
      </c>
    </row>
    <row r="117" spans="1:13" s="35" customFormat="1" x14ac:dyDescent="0.25">
      <c r="A117" s="59" t="s">
        <v>147</v>
      </c>
      <c r="B117" s="60" t="s">
        <v>13</v>
      </c>
      <c r="C117" s="86">
        <f>IF(C110=0,0,C110/C81)</f>
        <v>4.6889365151205178</v>
      </c>
      <c r="D117" s="86">
        <f t="shared" ref="D117:F117" si="24">IF(D110=0,0,D110/D81)</f>
        <v>5.861170643900647</v>
      </c>
      <c r="E117" s="86">
        <f t="shared" si="24"/>
        <v>5.3922769972558839</v>
      </c>
      <c r="F117" s="86">
        <f t="shared" si="24"/>
        <v>5.8611706721482983</v>
      </c>
      <c r="G117" s="40"/>
      <c r="H117" s="59" t="s">
        <v>147</v>
      </c>
      <c r="I117" s="60" t="s">
        <v>13</v>
      </c>
      <c r="J117" s="86">
        <f>IF(J110=0,0,J110/J81)</f>
        <v>0</v>
      </c>
      <c r="K117" s="86">
        <f t="shared" ref="K117:M117" si="25">IF(K110=0,0,K110/K81)</f>
        <v>0</v>
      </c>
      <c r="L117" s="86">
        <f t="shared" si="25"/>
        <v>3.0087342665848049</v>
      </c>
      <c r="M117" s="86">
        <f t="shared" si="25"/>
        <v>3.5948513455842899</v>
      </c>
    </row>
    <row r="118" spans="1:13" s="35" customFormat="1" x14ac:dyDescent="0.25">
      <c r="A118" s="59" t="s">
        <v>148</v>
      </c>
      <c r="B118" s="60" t="s">
        <v>58</v>
      </c>
      <c r="C118" s="61">
        <f>0.5*((1000000*C117)^2)/(2*PI()*C53*1000000*C59)</f>
        <v>119.98017836794871</v>
      </c>
      <c r="D118" s="61">
        <f t="shared" ref="D118" si="26">0.5*((1000000*D117)^2)/(2*PI()*D53*1000000*D59)</f>
        <v>187.46902869991985</v>
      </c>
      <c r="E118" s="61">
        <f t="shared" ref="E118" si="27">0.5*((1000000*E117)^2)/(2*PI()*E53*1000000*E59)</f>
        <v>158.67378632128839</v>
      </c>
      <c r="F118" s="61">
        <f t="shared" ref="F118" si="28">0.5*((1000000*F117)^2)/(2*PI()*F53*1000000*F59)</f>
        <v>187.46903141041582</v>
      </c>
      <c r="G118" s="40"/>
      <c r="H118" s="59" t="s">
        <v>148</v>
      </c>
      <c r="I118" s="60" t="s">
        <v>58</v>
      </c>
      <c r="J118" s="61">
        <f>0.5*((1000000*J117)^2)/(2*PI()*J53*1000000*J59)</f>
        <v>0</v>
      </c>
      <c r="K118" s="61">
        <f t="shared" ref="K118:M118" si="29">0.5*((1000000*K117)^2)/(2*PI()*K53*1000000*K59)</f>
        <v>0</v>
      </c>
      <c r="L118" s="61">
        <f t="shared" si="29"/>
        <v>32.933448123605643</v>
      </c>
      <c r="M118" s="61">
        <f t="shared" si="29"/>
        <v>47.014455758748433</v>
      </c>
    </row>
    <row r="119" spans="1:13" s="35" customFormat="1" x14ac:dyDescent="0.25">
      <c r="A119" s="59" t="s">
        <v>149</v>
      </c>
      <c r="B119" s="60" t="s">
        <v>40</v>
      </c>
      <c r="C119" s="61">
        <f>(C117/C57)/(C54/2)</f>
        <v>12.32</v>
      </c>
      <c r="D119" s="61">
        <f t="shared" ref="D119:F119" si="30">(D117/D57)/(D54/2)</f>
        <v>15.4</v>
      </c>
      <c r="E119" s="61">
        <f t="shared" si="30"/>
        <v>14.168000000000001</v>
      </c>
      <c r="F119" s="61">
        <f t="shared" si="30"/>
        <v>15.4</v>
      </c>
      <c r="G119" s="40"/>
      <c r="H119" s="59" t="s">
        <v>149</v>
      </c>
      <c r="I119" s="60" t="s">
        <v>40</v>
      </c>
      <c r="J119" s="61">
        <f>(J117/J57)/(J54/2)</f>
        <v>0</v>
      </c>
      <c r="K119" s="61">
        <f t="shared" ref="K119:M119" si="31">(K117/K57)/(K54/2)</f>
        <v>0</v>
      </c>
      <c r="L119" s="61">
        <f t="shared" si="31"/>
        <v>11.858000000000002</v>
      </c>
      <c r="M119" s="61">
        <f t="shared" si="31"/>
        <v>14.168000000000001</v>
      </c>
    </row>
    <row r="120" spans="1:13" s="35" customFormat="1" x14ac:dyDescent="0.25">
      <c r="A120" s="59" t="s">
        <v>150</v>
      </c>
      <c r="B120" s="60" t="s">
        <v>52</v>
      </c>
      <c r="C120" s="61">
        <f>C119*$F$15</f>
        <v>64.187200000000004</v>
      </c>
      <c r="D120" s="61">
        <f t="shared" ref="D120" si="32">D119*$F$15</f>
        <v>80.233999999999995</v>
      </c>
      <c r="E120" s="61">
        <f t="shared" ref="E120" si="33">E119*$F$15</f>
        <v>73.815280000000001</v>
      </c>
      <c r="F120" s="61">
        <f t="shared" ref="F120" si="34">F119*$F$15</f>
        <v>80.233999999999995</v>
      </c>
      <c r="G120" s="40"/>
      <c r="H120" s="59" t="s">
        <v>150</v>
      </c>
      <c r="I120" s="60" t="s">
        <v>52</v>
      </c>
      <c r="J120" s="61">
        <f>J119*$F$15</f>
        <v>0</v>
      </c>
      <c r="K120" s="61">
        <f t="shared" ref="K120:M120" si="35">K119*$F$15</f>
        <v>0</v>
      </c>
      <c r="L120" s="61">
        <f t="shared" si="35"/>
        <v>61.780180000000009</v>
      </c>
      <c r="M120" s="61">
        <f t="shared" si="35"/>
        <v>73.815280000000001</v>
      </c>
    </row>
    <row r="121" spans="1:13" s="35" customFormat="1" x14ac:dyDescent="0.25">
      <c r="A121" s="59" t="s">
        <v>151</v>
      </c>
      <c r="B121" s="60" t="s">
        <v>40</v>
      </c>
      <c r="C121" s="61">
        <f>C119*$F$16</f>
        <v>33.880000000000003</v>
      </c>
      <c r="D121" s="61">
        <f t="shared" ref="D121:F121" si="36">D119*$F$16</f>
        <v>42.35</v>
      </c>
      <c r="E121" s="61">
        <f t="shared" si="36"/>
        <v>38.962000000000003</v>
      </c>
      <c r="F121" s="61">
        <f t="shared" si="36"/>
        <v>42.35</v>
      </c>
      <c r="G121" s="40"/>
      <c r="H121" s="59" t="s">
        <v>151</v>
      </c>
      <c r="I121" s="60" t="s">
        <v>40</v>
      </c>
      <c r="J121" s="61">
        <f>J119*$F$16</f>
        <v>0</v>
      </c>
      <c r="K121" s="61">
        <f t="shared" ref="K121:M121" si="37">K119*$F$16</f>
        <v>0</v>
      </c>
      <c r="L121" s="61">
        <f t="shared" si="37"/>
        <v>32.609500000000004</v>
      </c>
      <c r="M121" s="61">
        <f t="shared" si="37"/>
        <v>38.962000000000003</v>
      </c>
    </row>
    <row r="122" spans="1:13" s="35" customFormat="1" x14ac:dyDescent="0.25">
      <c r="A122" s="36" t="s">
        <v>184</v>
      </c>
      <c r="B122" s="37" t="s">
        <v>59</v>
      </c>
      <c r="C122" s="41">
        <f>((1000000*C117)^2)/(2*C61*1000000000)</f>
        <v>13.504991181099841</v>
      </c>
      <c r="D122" s="41">
        <f t="shared" ref="D122:F122" si="38">((1000000*D117)^2)/(2*D61*1000000000)</f>
        <v>21.101548720468504</v>
      </c>
      <c r="E122" s="41">
        <f t="shared" si="38"/>
        <v>17.860350869247501</v>
      </c>
      <c r="F122" s="41">
        <f t="shared" si="38"/>
        <v>21.101548923864456</v>
      </c>
      <c r="G122" s="40"/>
      <c r="H122" s="36" t="s">
        <v>184</v>
      </c>
      <c r="I122" s="37" t="s">
        <v>59</v>
      </c>
      <c r="J122" s="41">
        <f>((1000000*J117)^2)/(2*J61*1000000000)</f>
        <v>0</v>
      </c>
      <c r="K122" s="41">
        <f t="shared" ref="K122:M122" si="39">((1000000*K117)^2)/(2*K61*1000000000)</f>
        <v>0</v>
      </c>
      <c r="L122" s="41">
        <f t="shared" si="39"/>
        <v>5.5604925595341541</v>
      </c>
      <c r="M122" s="41">
        <f t="shared" si="39"/>
        <v>7.9379337818483915</v>
      </c>
    </row>
    <row r="123" spans="1:13" s="35" customFormat="1" x14ac:dyDescent="0.25">
      <c r="A123" s="36" t="s">
        <v>201</v>
      </c>
      <c r="B123" s="37"/>
      <c r="C123" s="39">
        <f>IF(C110=0,1,1+1000*C116/C122)</f>
        <v>43891.976509005886</v>
      </c>
      <c r="D123" s="39">
        <f t="shared" ref="D123" si="40">IF(D110=0,1,1+1000*D116/D122)</f>
        <v>28091.224965763773</v>
      </c>
      <c r="E123" s="39">
        <f t="shared" ref="E123" si="41">IF(E110=0,1,1+1000*E116/E122)</f>
        <v>31121.274099057457</v>
      </c>
      <c r="F123" s="39">
        <f t="shared" ref="F123" si="42">IF(F110=0,1,1+1000*F116/F122)</f>
        <v>7811.0228277995993</v>
      </c>
      <c r="G123" s="40"/>
      <c r="H123" s="36" t="s">
        <v>201</v>
      </c>
      <c r="I123" s="37"/>
      <c r="J123" s="39">
        <f>IF(J110=0,1,1+1000*J116/J122)</f>
        <v>1</v>
      </c>
      <c r="K123" s="39">
        <f t="shared" ref="K123:M123" si="43">IF(K110=0,1,1+1000*K116/K122)</f>
        <v>1</v>
      </c>
      <c r="L123" s="39">
        <f t="shared" si="43"/>
        <v>97111.43713828575</v>
      </c>
      <c r="M123" s="39">
        <f t="shared" si="43"/>
        <v>21061.114196223716</v>
      </c>
    </row>
    <row r="124" spans="1:13" s="35" customFormat="1" x14ac:dyDescent="0.25">
      <c r="A124" s="74" t="s">
        <v>185</v>
      </c>
      <c r="B124" s="75"/>
      <c r="C124" s="88">
        <f>C60/C123</f>
        <v>501230.56079477246</v>
      </c>
      <c r="D124" s="88">
        <f t="shared" ref="D124" si="44">D60/D123</f>
        <v>783162.71457768523</v>
      </c>
      <c r="E124" s="88">
        <f t="shared" ref="E124" si="45">E60/E123</f>
        <v>706911.93201072363</v>
      </c>
      <c r="F124" s="88">
        <f t="shared" ref="F124" si="46">F60/F123</f>
        <v>2816532.5444577532</v>
      </c>
      <c r="G124" s="40"/>
      <c r="H124" s="74" t="s">
        <v>185</v>
      </c>
      <c r="I124" s="75"/>
      <c r="J124" s="88">
        <f>J60/J123</f>
        <v>22000000000</v>
      </c>
      <c r="K124" s="88">
        <f t="shared" ref="K124:M124" si="47">K60/K123</f>
        <v>22000000000</v>
      </c>
      <c r="L124" s="88">
        <f t="shared" si="47"/>
        <v>226543.86185915684</v>
      </c>
      <c r="M124" s="88">
        <f t="shared" si="47"/>
        <v>1044579.1136702837</v>
      </c>
    </row>
    <row r="125" spans="1:13" s="35" customFormat="1" x14ac:dyDescent="0.25">
      <c r="A125" s="36" t="s">
        <v>186</v>
      </c>
      <c r="B125" s="37"/>
      <c r="C125" s="14">
        <f>C56*C124</f>
        <v>1002461.1215895449</v>
      </c>
      <c r="D125" s="14">
        <f t="shared" ref="D125" si="48">D56*D124</f>
        <v>1566325.4291553705</v>
      </c>
      <c r="E125" s="14">
        <f t="shared" ref="E125" si="49">E56*E124</f>
        <v>1413823.8640214473</v>
      </c>
      <c r="F125" s="14">
        <f t="shared" ref="F125" si="50">F56*F124</f>
        <v>5633065.0889155064</v>
      </c>
      <c r="G125" s="40"/>
      <c r="H125" s="36" t="s">
        <v>186</v>
      </c>
      <c r="I125" s="37"/>
      <c r="J125" s="14">
        <f>J56*J124</f>
        <v>44000000000</v>
      </c>
      <c r="K125" s="14">
        <f t="shared" ref="K125:M125" si="51">K56*K124</f>
        <v>44000000000</v>
      </c>
      <c r="L125" s="14">
        <f t="shared" si="51"/>
        <v>453087.72371831367</v>
      </c>
      <c r="M125" s="14">
        <f t="shared" si="51"/>
        <v>2089158.2273405674</v>
      </c>
    </row>
    <row r="126" spans="1:13" s="35" customFormat="1" x14ac:dyDescent="0.25">
      <c r="A126" s="55" t="s">
        <v>187</v>
      </c>
      <c r="B126" s="56" t="s">
        <v>11</v>
      </c>
      <c r="C126" s="57">
        <f>1000000*C53/C124/2</f>
        <v>393.15162562632082</v>
      </c>
      <c r="D126" s="57">
        <f t="shared" ref="D126:F126" si="52">1000000*D53/D124/2</f>
        <v>251.62026501264194</v>
      </c>
      <c r="E126" s="57">
        <f t="shared" si="52"/>
        <v>278.76118748154596</v>
      </c>
      <c r="F126" s="57">
        <f t="shared" si="52"/>
        <v>69.965322867687902</v>
      </c>
      <c r="G126" s="40"/>
      <c r="H126" s="55" t="s">
        <v>187</v>
      </c>
      <c r="I126" s="56" t="s">
        <v>11</v>
      </c>
      <c r="J126" s="57">
        <f>1000000*J53/J124/2</f>
        <v>1.343588248568572E-2</v>
      </c>
      <c r="K126" s="57">
        <f t="shared" ref="K126:M126" si="53">1000000*K53/K124/2</f>
        <v>1.343588248568572E-2</v>
      </c>
      <c r="L126" s="57">
        <f t="shared" si="53"/>
        <v>1304.7778562283177</v>
      </c>
      <c r="M126" s="57">
        <f t="shared" si="53"/>
        <v>282.97465399428535</v>
      </c>
    </row>
    <row r="127" spans="1:13" s="35" customFormat="1" x14ac:dyDescent="0.25">
      <c r="A127" s="55" t="s">
        <v>188</v>
      </c>
      <c r="B127" s="56" t="s">
        <v>11</v>
      </c>
      <c r="C127" s="57">
        <f>IF(C110=0,0,1000000*C53*C59*C35*COS(C111)/(C117*1000000))</f>
        <v>723.10444747167367</v>
      </c>
      <c r="D127" s="57">
        <f t="shared" ref="D127:F127" si="54">IF(D110=0,0,1000000*D53*D59*D35*COS(D111)/(D117*1000000))</f>
        <v>608.48510054301971</v>
      </c>
      <c r="E127" s="57">
        <f t="shared" si="54"/>
        <v>6746.5013535325652</v>
      </c>
      <c r="F127" s="57">
        <f t="shared" si="54"/>
        <v>4759.6047653090563</v>
      </c>
      <c r="G127" s="40"/>
      <c r="H127" s="55" t="s">
        <v>188</v>
      </c>
      <c r="I127" s="56" t="s">
        <v>11</v>
      </c>
      <c r="J127" s="57">
        <f>IF(J110=0,0,1000000*J53*J59*J35*COS(J111)/(J117*1000000))</f>
        <v>0</v>
      </c>
      <c r="K127" s="57">
        <f t="shared" ref="K127:M127" si="55">IF(K110=0,0,1000000*K53*K59*K35*COS(K111)/(K117*1000000))</f>
        <v>0</v>
      </c>
      <c r="L127" s="57">
        <f t="shared" si="55"/>
        <v>18105.219688368332</v>
      </c>
      <c r="M127" s="57">
        <f t="shared" si="55"/>
        <v>11638.155657314413</v>
      </c>
    </row>
    <row r="128" spans="1:13" s="35" customFormat="1" x14ac:dyDescent="0.25">
      <c r="A128" s="36"/>
      <c r="B128" s="37"/>
      <c r="C128" s="41"/>
      <c r="D128" s="41"/>
      <c r="E128" s="41"/>
      <c r="F128" s="41"/>
      <c r="G128" s="40"/>
      <c r="H128" s="36"/>
      <c r="I128" s="37"/>
      <c r="J128" s="41"/>
      <c r="K128" s="41"/>
      <c r="L128" s="41"/>
      <c r="M128" s="41"/>
    </row>
    <row r="129" spans="1:13" s="35" customFormat="1" x14ac:dyDescent="0.25">
      <c r="A129" s="36" t="s">
        <v>127</v>
      </c>
      <c r="B129" s="37" t="s">
        <v>13</v>
      </c>
      <c r="C129" s="41">
        <f t="shared" ref="C129:F130" si="56">C93+C113</f>
        <v>38.074801901217242</v>
      </c>
      <c r="D129" s="41">
        <f t="shared" si="56"/>
        <v>38.074801901217249</v>
      </c>
      <c r="E129" s="41">
        <f t="shared" si="56"/>
        <v>3.7843427194403949</v>
      </c>
      <c r="F129" s="41">
        <f t="shared" si="56"/>
        <v>1.4643427194403862</v>
      </c>
      <c r="G129" s="40"/>
      <c r="H129" s="36" t="s">
        <v>127</v>
      </c>
      <c r="I129" s="37" t="s">
        <v>13</v>
      </c>
      <c r="J129" s="41">
        <f t="shared" ref="J129:M130" si="57">J93+J113</f>
        <v>38.236450078403855</v>
      </c>
      <c r="K129" s="41">
        <f t="shared" si="57"/>
        <v>38.381933437871822</v>
      </c>
      <c r="L129" s="41">
        <f t="shared" si="57"/>
        <v>3.8927796132288277</v>
      </c>
      <c r="M129" s="41">
        <f t="shared" si="57"/>
        <v>1.6601562584082175</v>
      </c>
    </row>
    <row r="130" spans="1:13" s="35" customFormat="1" x14ac:dyDescent="0.25">
      <c r="A130" s="36" t="s">
        <v>133</v>
      </c>
      <c r="B130" s="37" t="s">
        <v>13</v>
      </c>
      <c r="C130" s="41">
        <f t="shared" si="56"/>
        <v>-47.7076121550746</v>
      </c>
      <c r="D130" s="41">
        <f t="shared" si="56"/>
        <v>-68.506762173489534</v>
      </c>
      <c r="E130" s="41">
        <f t="shared" si="56"/>
        <v>-20.855657078985338</v>
      </c>
      <c r="F130" s="41">
        <f t="shared" si="56"/>
        <v>-9.961145200232572</v>
      </c>
      <c r="G130" s="40"/>
      <c r="H130" s="36" t="s">
        <v>133</v>
      </c>
      <c r="I130" s="37" t="s">
        <v>13</v>
      </c>
      <c r="J130" s="41">
        <f t="shared" si="57"/>
        <v>-58.192862770900263</v>
      </c>
      <c r="K130" s="41">
        <f t="shared" si="57"/>
        <v>-85.564463667477014</v>
      </c>
      <c r="L130" s="41">
        <f t="shared" si="57"/>
        <v>-28.81178199852685</v>
      </c>
      <c r="M130" s="41">
        <f t="shared" si="57"/>
        <v>-14.220856200883972</v>
      </c>
    </row>
    <row r="131" spans="1:13" s="35" customFormat="1" x14ac:dyDescent="0.25">
      <c r="A131" s="52" t="s">
        <v>134</v>
      </c>
      <c r="B131" s="53" t="s">
        <v>13</v>
      </c>
      <c r="C131" s="54">
        <f>SQRT(C129^2 + C130^2)</f>
        <v>61.038568113578464</v>
      </c>
      <c r="D131" s="54">
        <f>SQRT(D129^2 + D130^2)</f>
        <v>78.376444186451792</v>
      </c>
      <c r="E131" s="54">
        <f>SQRT(E129^2 + E130^2)</f>
        <v>21.196218578190138</v>
      </c>
      <c r="F131" s="54">
        <f>SQRT(F129^2 + F130^2)</f>
        <v>10.068203081985111</v>
      </c>
      <c r="G131" s="40"/>
      <c r="H131" s="52" t="s">
        <v>134</v>
      </c>
      <c r="I131" s="53" t="s">
        <v>13</v>
      </c>
      <c r="J131" s="54">
        <f>SQRT(J129^2 + J130^2)</f>
        <v>69.630707249539697</v>
      </c>
      <c r="K131" s="54">
        <f>SQRT(K129^2 + K130^2)</f>
        <v>93.778730302410352</v>
      </c>
      <c r="L131" s="54">
        <f>SQRT(L129^2 + L130^2)</f>
        <v>29.073570730954359</v>
      </c>
      <c r="M131" s="54">
        <f>SQRT(M129^2 + M130^2)</f>
        <v>14.317432377649006</v>
      </c>
    </row>
    <row r="132" spans="1:13" s="35" customFormat="1" x14ac:dyDescent="0.25">
      <c r="A132" s="36" t="s">
        <v>136</v>
      </c>
      <c r="B132" s="37"/>
      <c r="C132" s="41">
        <f>C131/C72</f>
        <v>1.6031224081464519</v>
      </c>
      <c r="D132" s="41">
        <f>D131/D72</f>
        <v>2.0584859348656557</v>
      </c>
      <c r="E132" s="41">
        <f>E131/E72</f>
        <v>5.601030390113455</v>
      </c>
      <c r="F132" s="41">
        <f>F131/F72</f>
        <v>6.875578338541442</v>
      </c>
      <c r="G132" s="40"/>
      <c r="H132" s="36" t="s">
        <v>136</v>
      </c>
      <c r="I132" s="37"/>
      <c r="J132" s="41">
        <f>J131/J72</f>
        <v>1.8210557493376589</v>
      </c>
      <c r="K132" s="41">
        <f>K131/K72</f>
        <v>2.4433039688896461</v>
      </c>
      <c r="L132" s="41">
        <f>L131/L72</f>
        <v>7.4685889311980711</v>
      </c>
      <c r="M132" s="41">
        <f>M131/M72</f>
        <v>9.1032667623762595</v>
      </c>
    </row>
    <row r="133" spans="1:13" s="35" customFormat="1" x14ac:dyDescent="0.25">
      <c r="A133" s="36" t="s">
        <v>135</v>
      </c>
      <c r="B133" s="37" t="s">
        <v>46</v>
      </c>
      <c r="C133" s="41">
        <f>ATAN2(C130,C129)</f>
        <v>2.4680195603500277</v>
      </c>
      <c r="D133" s="41">
        <f>ATAN2(D130,D129)</f>
        <v>2.6343213889816512</v>
      </c>
      <c r="E133" s="41">
        <f>ATAN2(E130,E129)</f>
        <v>2.962091689533207</v>
      </c>
      <c r="F133" s="41">
        <f>ATAN2(F130,F129)</f>
        <v>2.995632631445567</v>
      </c>
      <c r="G133" s="40"/>
      <c r="H133" s="36" t="s">
        <v>135</v>
      </c>
      <c r="I133" s="37" t="s">
        <v>46</v>
      </c>
      <c r="J133" s="41">
        <f>ATAN2(J130,J129)</f>
        <v>2.5602673671221994</v>
      </c>
      <c r="K133" s="41">
        <f>ATAN2(K130,K129)</f>
        <v>2.7199258094029126</v>
      </c>
      <c r="L133" s="41">
        <f>ATAN2(L130,L129)</f>
        <v>3.0072952229746379</v>
      </c>
      <c r="M133" s="41">
        <f>ATAN2(M130,M129)</f>
        <v>3.0253777418028442</v>
      </c>
    </row>
    <row r="134" spans="1:13" s="35" customFormat="1" x14ac:dyDescent="0.25">
      <c r="A134" s="36" t="s">
        <v>135</v>
      </c>
      <c r="B134" s="37" t="s">
        <v>21</v>
      </c>
      <c r="C134" s="38">
        <f>180/PI()*C133</f>
        <v>141.40710456378955</v>
      </c>
      <c r="D134" s="38">
        <f>180/PI()*D133</f>
        <v>150.93549746968947</v>
      </c>
      <c r="E134" s="38">
        <f>180/PI()*E133</f>
        <v>169.71535234102814</v>
      </c>
      <c r="F134" s="38">
        <f>180/PI()*F133</f>
        <v>171.63710675349981</v>
      </c>
      <c r="G134" s="40"/>
      <c r="H134" s="36" t="s">
        <v>135</v>
      </c>
      <c r="I134" s="37" t="s">
        <v>21</v>
      </c>
      <c r="J134" s="38">
        <f>180/PI()*J133</f>
        <v>146.69251456117334</v>
      </c>
      <c r="K134" s="38">
        <f>180/PI()*K133</f>
        <v>155.84026946749125</v>
      </c>
      <c r="L134" s="38">
        <f>180/PI()*L133</f>
        <v>172.30532402630058</v>
      </c>
      <c r="M134" s="38">
        <f>180/PI()*M133</f>
        <v>173.34137603812266</v>
      </c>
    </row>
    <row r="135" spans="1:13" s="35" customFormat="1" x14ac:dyDescent="0.25">
      <c r="A135" s="36"/>
      <c r="B135" s="37"/>
      <c r="C135" s="41"/>
      <c r="D135" s="41"/>
      <c r="E135" s="41"/>
      <c r="F135" s="41"/>
      <c r="G135" s="40"/>
      <c r="H135" s="36"/>
      <c r="I135" s="37"/>
      <c r="J135" s="41"/>
      <c r="K135" s="41"/>
      <c r="L135" s="41"/>
      <c r="M135" s="41"/>
    </row>
    <row r="136" spans="1:13" s="35" customFormat="1" x14ac:dyDescent="0.25">
      <c r="A136" s="47" t="s">
        <v>178</v>
      </c>
      <c r="B136" s="37"/>
      <c r="C136" s="41"/>
      <c r="D136" s="41"/>
      <c r="E136" s="41"/>
      <c r="F136" s="41"/>
      <c r="G136" s="40"/>
      <c r="H136" s="47" t="s">
        <v>178</v>
      </c>
      <c r="I136" s="37"/>
      <c r="J136" s="41"/>
      <c r="K136" s="41"/>
      <c r="L136" s="41"/>
      <c r="M136" s="41"/>
    </row>
    <row r="137" spans="1:13" s="35" customFormat="1" x14ac:dyDescent="0.25">
      <c r="A137" s="62" t="s">
        <v>101</v>
      </c>
      <c r="B137" s="63"/>
      <c r="C137" s="64">
        <f>SQRT(-C130*C52/(2*PI()*(C26*1000)*C46^2))</f>
        <v>3.7427375950776276E-2</v>
      </c>
      <c r="D137" s="64">
        <f>SQRT(-D130*D52/(2*PI()*(D26*1000)*D46^2))</f>
        <v>6.4388111502904716E-2</v>
      </c>
      <c r="E137" s="64">
        <f>SQRT(-E130*E52/(2*PI()*(E26*1000)*E46^2))</f>
        <v>4.7663634729127768E-2</v>
      </c>
      <c r="F137" s="64">
        <f>SQRT(-F130*F52/(2*PI()*(F26*1000)*F46^2))</f>
        <v>4.6584866172750206E-2</v>
      </c>
      <c r="G137" s="40"/>
      <c r="H137" s="62" t="s">
        <v>101</v>
      </c>
      <c r="I137" s="63"/>
      <c r="J137" s="64">
        <f>SQRT(-J130*J52/(2*PI()*(J26*1000)*J46^2))</f>
        <v>5.0626281599291875E-2</v>
      </c>
      <c r="K137" s="64">
        <f>SQRT(-K130*K52/(2*PI()*(K26*1000)*K46^2))</f>
        <v>8.8131530508016143E-2</v>
      </c>
      <c r="L137" s="64">
        <f>SQRT(-L130*L52/(2*PI()*(L26*1000)*L46^2))</f>
        <v>6.8612921001080823E-2</v>
      </c>
      <c r="M137" s="64">
        <f>SQRT(-M130*M52/(2*PI()*(M26*1000)*M46^2))</f>
        <v>6.81708515274351E-2</v>
      </c>
    </row>
    <row r="138" spans="1:13" s="35" customFormat="1" x14ac:dyDescent="0.25">
      <c r="A138" s="62" t="s">
        <v>102</v>
      </c>
      <c r="B138" s="89" t="s">
        <v>11</v>
      </c>
      <c r="C138" s="90">
        <f>C137*C29</f>
        <v>2926.7555953673591</v>
      </c>
      <c r="D138" s="90">
        <f>D137*D29</f>
        <v>5035.038145984563</v>
      </c>
      <c r="E138" s="90">
        <f>E137*E29</f>
        <v>3727.2131954046095</v>
      </c>
      <c r="F138" s="90">
        <f>F137*F29</f>
        <v>3642.85535947683</v>
      </c>
      <c r="G138" s="40"/>
      <c r="H138" s="62" t="s">
        <v>102</v>
      </c>
      <c r="I138" s="89" t="s">
        <v>11</v>
      </c>
      <c r="J138" s="90">
        <f>J137*J29</f>
        <v>3958.8870226500044</v>
      </c>
      <c r="K138" s="90">
        <f>K137*K29</f>
        <v>6891.7321476627721</v>
      </c>
      <c r="L138" s="90">
        <f>L137*L29</f>
        <v>5365.4108836605374</v>
      </c>
      <c r="M138" s="90">
        <f>M137*M29</f>
        <v>5330.8418001226446</v>
      </c>
    </row>
    <row r="139" spans="1:13" s="35" customFormat="1" x14ac:dyDescent="0.25">
      <c r="A139" s="62" t="s">
        <v>93</v>
      </c>
      <c r="B139" s="63" t="s">
        <v>29</v>
      </c>
      <c r="C139" s="65">
        <f>1000*(C48*0.001)*$E$1/(2*PI()*C137*(C46^2))</f>
        <v>10.568939373982658</v>
      </c>
      <c r="D139" s="65">
        <f>1000*(D48*0.001)*$E$1/(2*PI()*D137*(D46^2))</f>
        <v>12.661989600373197</v>
      </c>
      <c r="E139" s="65">
        <f>1000*(E48*0.001)*$E$1/(2*PI()*E137*(E46^2))</f>
        <v>9.4957311043388728</v>
      </c>
      <c r="F139" s="65">
        <f>1000*(F48*0.001)*$E$1/(2*PI()*F137*(F46^2))</f>
        <v>11.596162381316262</v>
      </c>
      <c r="G139" s="40"/>
      <c r="H139" s="62" t="s">
        <v>93</v>
      </c>
      <c r="I139" s="63" t="s">
        <v>29</v>
      </c>
      <c r="J139" s="65">
        <f>1000*(J48*0.001)*$E$1/(2*PI()*J137*(J46^2))</f>
        <v>7.8134845154526209</v>
      </c>
      <c r="K139" s="65">
        <f>1000*(K48*0.001)*$E$1/(2*PI()*K137*(K46^2))</f>
        <v>9.2507368649781245</v>
      </c>
      <c r="L139" s="65">
        <f>1000*(L48*0.001)*$E$1/(2*PI()*L137*(L46^2))</f>
        <v>6.5964406155525062</v>
      </c>
      <c r="M139" s="65">
        <f>1000*(M48*0.001)*$E$1/(2*PI()*M137*(M46^2))</f>
        <v>7.9242911089895172</v>
      </c>
    </row>
    <row r="140" spans="1:13" s="35" customFormat="1" x14ac:dyDescent="0.25">
      <c r="A140" s="36" t="s">
        <v>93</v>
      </c>
      <c r="B140" s="37" t="s">
        <v>18</v>
      </c>
      <c r="C140" s="38">
        <f>C139/0.3</f>
        <v>35.229797913275533</v>
      </c>
      <c r="D140" s="38">
        <f>D139/0.3</f>
        <v>42.206632001243989</v>
      </c>
      <c r="E140" s="38">
        <f>E139/0.3</f>
        <v>31.652437014462912</v>
      </c>
      <c r="F140" s="38">
        <f>F139/0.3</f>
        <v>38.653874604387539</v>
      </c>
      <c r="G140" s="40"/>
      <c r="H140" s="36" t="s">
        <v>93</v>
      </c>
      <c r="I140" s="37" t="s">
        <v>18</v>
      </c>
      <c r="J140" s="38">
        <f>J139/0.3</f>
        <v>26.044948384842069</v>
      </c>
      <c r="K140" s="38">
        <f>K139/0.3</f>
        <v>30.835789549927082</v>
      </c>
      <c r="L140" s="38">
        <f>L139/0.3</f>
        <v>21.988135385175021</v>
      </c>
      <c r="M140" s="38">
        <f>M139/0.3</f>
        <v>26.414303696631723</v>
      </c>
    </row>
    <row r="141" spans="1:13" s="35" customFormat="1" x14ac:dyDescent="0.25">
      <c r="A141" s="36" t="s">
        <v>94</v>
      </c>
      <c r="B141" s="37" t="s">
        <v>42</v>
      </c>
      <c r="C141" s="14">
        <f>(C47*C52*C54)/(2*PI()*C26*1000000000*300000000*C137)</f>
        <v>1.9905545584675237E-18</v>
      </c>
      <c r="D141" s="14">
        <f>(D47*D52*D54)/(2*PI()*D26*1000000000*300000000*D137)</f>
        <v>2.3847597404462703E-18</v>
      </c>
      <c r="E141" s="14">
        <f>(E47*E52*E54)/(2*PI()*E26*1000000000*300000000*E137)</f>
        <v>5.7987671052804252E-18</v>
      </c>
      <c r="F141" s="14">
        <f>(F47*F52*F54)/(2*PI()*F26*1000000000*300000000*F137)</f>
        <v>1.1866099056418965E-17</v>
      </c>
      <c r="G141" s="40"/>
      <c r="H141" s="36" t="s">
        <v>94</v>
      </c>
      <c r="I141" s="37" t="s">
        <v>42</v>
      </c>
      <c r="J141" s="14">
        <f>(J47*J52*J54)/(2*PI()*J26*1000000000*300000000*J137)</f>
        <v>1.4715920556831406E-18</v>
      </c>
      <c r="K141" s="14">
        <f>(K47*K52*K54)/(2*PI()*K26*1000000000*300000000*K137)</f>
        <v>1.7422842334676821E-18</v>
      </c>
      <c r="L141" s="14">
        <f>(L47*L52*L54)/(2*PI()*L26*1000000000*300000000*L137)</f>
        <v>4.0282546370677595E-18</v>
      </c>
      <c r="M141" s="14">
        <f>(M47*M52*M54)/(2*PI()*M26*1000000000*300000000*M137)</f>
        <v>8.1087535823637237E-18</v>
      </c>
    </row>
    <row r="142" spans="1:13" s="35" customFormat="1" x14ac:dyDescent="0.25">
      <c r="A142" s="62" t="s">
        <v>95</v>
      </c>
      <c r="B142" s="63" t="s">
        <v>108</v>
      </c>
      <c r="C142" s="65">
        <f>1000*2*SQRT(1-TAN(PI()-C133)*(PI()/2-(PI()-C133)))/(2*PI()*C53*1000000*C141)/C26/1000000000</f>
        <v>12.011240505162514</v>
      </c>
      <c r="D142" s="65">
        <f>1000*2*SQRT(1-TAN(PI()-D133)*(PI()/2-(PI()-D133)))/(2*PI()*D53*1000000*D141)/D26/1000000000</f>
        <v>12.031518735262226</v>
      </c>
      <c r="E142" s="65">
        <f>1000*2*SQRT(1-TAN(PI()-E133)*(PI()/2-(PI()-E133)))/(2*PI()*E53*1000000*E141)/E26/1000000000</f>
        <v>12.042182070269551</v>
      </c>
      <c r="F142" s="65">
        <f>1000*2*SQRT(1-TAN(PI()-F133)*(PI()/2-(PI()-F133)))/(2*PI()*F53*1000000*F141)/F26/1000000000</f>
        <v>12.103384196253987</v>
      </c>
      <c r="G142" s="40"/>
      <c r="H142" s="62" t="s">
        <v>95</v>
      </c>
      <c r="I142" s="63" t="s">
        <v>108</v>
      </c>
      <c r="J142" s="65">
        <f>1000*2*SQRT(1-TAN(PI()-J133)*(PI()/2-(PI()-J133)))/(2*PI()*J53*1000000*J141)/J26/1000000000</f>
        <v>12.023051388993245</v>
      </c>
      <c r="K142" s="65">
        <f>1000*2*SQRT(1-TAN(PI()-K133)*(PI()/2-(PI()-K133)))/(2*PI()*K53*1000000*K141)/K26/1000000000</f>
        <v>11.950900116729184</v>
      </c>
      <c r="L142" s="65">
        <f>1000*2*SQRT(1-TAN(PI()-L133)*(PI()/2-(PI()-L133)))/(2*PI()*L53*1000000*L141)/L26/1000000000</f>
        <v>11.999374130564348</v>
      </c>
      <c r="M142" s="65">
        <f>1000*2*SQRT(1-TAN(PI()-M133)*(PI()/2-(PI()-M133)))/(2*PI()*M53*1000000*M141)/M26/1000000000</f>
        <v>12.100299032179654</v>
      </c>
    </row>
    <row r="143" spans="1:13" s="35" customFormat="1" x14ac:dyDescent="0.25">
      <c r="A143" s="62" t="s">
        <v>47</v>
      </c>
      <c r="B143" s="91" t="s">
        <v>110</v>
      </c>
      <c r="C143" s="65">
        <f>C142*0.001*C26*1000</f>
        <v>216.20232909292525</v>
      </c>
      <c r="D143" s="65">
        <f>D142*0.001*D26*1000</f>
        <v>216.56733723472007</v>
      </c>
      <c r="E143" s="65">
        <f>E142*0.001*E26*1000</f>
        <v>120.42182070269551</v>
      </c>
      <c r="F143" s="65">
        <f>F142*0.001*F26*1000</f>
        <v>60.516920981269934</v>
      </c>
      <c r="G143" s="40"/>
      <c r="H143" s="62" t="s">
        <v>47</v>
      </c>
      <c r="I143" s="91" t="s">
        <v>110</v>
      </c>
      <c r="J143" s="65">
        <f>J142*0.001*J26*1000</f>
        <v>216.41492500187843</v>
      </c>
      <c r="K143" s="65">
        <f>K142*0.001*K26*1000</f>
        <v>215.11620210112531</v>
      </c>
      <c r="L143" s="65">
        <f>L142*0.001*L26*1000</f>
        <v>119.99374130564347</v>
      </c>
      <c r="M143" s="65">
        <f>M142*0.001*M26*1000</f>
        <v>60.501495160898273</v>
      </c>
    </row>
    <row r="144" spans="1:13" s="35" customFormat="1" x14ac:dyDescent="0.25">
      <c r="A144" s="36" t="s">
        <v>48</v>
      </c>
      <c r="B144" s="15" t="s">
        <v>111</v>
      </c>
      <c r="C144" s="38">
        <f>C143*1000000/511000</f>
        <v>423.09653442842517</v>
      </c>
      <c r="D144" s="38">
        <f>D143*1000000/511000</f>
        <v>423.81083607577312</v>
      </c>
      <c r="E144" s="38">
        <f>E143*1000000/511000</f>
        <v>235.65914031838653</v>
      </c>
      <c r="F144" s="38">
        <f>F143*1000000/511000</f>
        <v>118.42841679309184</v>
      </c>
      <c r="G144" s="40"/>
      <c r="H144" s="36" t="s">
        <v>48</v>
      </c>
      <c r="I144" s="15" t="s">
        <v>111</v>
      </c>
      <c r="J144" s="38">
        <f>J143*1000000/511000</f>
        <v>423.51257338919459</v>
      </c>
      <c r="K144" s="38">
        <f>K143*1000000/511000</f>
        <v>420.97104129378727</v>
      </c>
      <c r="L144" s="38">
        <f>L143*1000000/511000</f>
        <v>234.82141155703223</v>
      </c>
      <c r="M144" s="38">
        <f>M143*1000000/511000</f>
        <v>118.39822927768743</v>
      </c>
    </row>
    <row r="145" spans="1:13" s="35" customFormat="1" ht="15.75" thickBot="1" x14ac:dyDescent="0.3">
      <c r="A145" s="36"/>
      <c r="B145" s="37"/>
      <c r="C145" s="43"/>
      <c r="D145" s="41"/>
      <c r="E145" s="41"/>
      <c r="F145" s="41"/>
      <c r="G145" s="40"/>
      <c r="H145" s="36"/>
      <c r="I145" s="37"/>
      <c r="J145" s="43"/>
      <c r="K145" s="41"/>
      <c r="L145" s="41"/>
      <c r="M145" s="41"/>
    </row>
    <row r="146" spans="1:13" s="12" customFormat="1" ht="15.75" thickTop="1" x14ac:dyDescent="0.25">
      <c r="A146" s="22" t="s">
        <v>119</v>
      </c>
      <c r="B146" s="21"/>
      <c r="C146" s="51"/>
      <c r="D146" s="51"/>
      <c r="E146" s="51"/>
      <c r="F146" s="51"/>
      <c r="G146" s="9"/>
      <c r="H146" s="22" t="s">
        <v>98</v>
      </c>
      <c r="I146" s="21"/>
      <c r="J146" s="51"/>
      <c r="K146" s="51"/>
      <c r="L146" s="51"/>
      <c r="M146" s="51"/>
    </row>
    <row r="147" spans="1:13" s="35" customFormat="1" x14ac:dyDescent="0.25">
      <c r="A147" s="50"/>
      <c r="B147" s="37"/>
      <c r="C147" s="38"/>
      <c r="D147" s="38"/>
      <c r="E147" s="38"/>
      <c r="F147" s="38"/>
      <c r="G147" s="40"/>
      <c r="H147" s="50"/>
      <c r="I147" s="37"/>
      <c r="J147" s="41"/>
      <c r="K147" s="38"/>
      <c r="L147" s="38"/>
      <c r="M147" s="38"/>
    </row>
    <row r="148" spans="1:13" x14ac:dyDescent="0.25">
      <c r="A148" s="27" t="s">
        <v>27</v>
      </c>
      <c r="B148" s="32"/>
      <c r="C148" s="80">
        <v>1.6042753396969063</v>
      </c>
      <c r="D148" s="80">
        <v>2.0499905143393833</v>
      </c>
      <c r="E148" s="80">
        <v>5.6303416490137934</v>
      </c>
      <c r="F148" s="80">
        <v>7.0660397054421482</v>
      </c>
      <c r="H148" s="27" t="s">
        <v>27</v>
      </c>
      <c r="I148" s="32"/>
      <c r="J148" s="80">
        <v>1.821</v>
      </c>
      <c r="K148" s="80">
        <v>2.4433039688896461</v>
      </c>
      <c r="L148" s="80">
        <v>7.4685889311980711</v>
      </c>
      <c r="M148" s="80">
        <v>9.1032667623762595</v>
      </c>
    </row>
    <row r="149" spans="1:13" s="40" customFormat="1" x14ac:dyDescent="0.25">
      <c r="A149" s="52" t="s">
        <v>20</v>
      </c>
      <c r="B149" s="53" t="s">
        <v>13</v>
      </c>
      <c r="C149" s="54">
        <f>C148*C72</f>
        <v>61.082465753967682</v>
      </c>
      <c r="D149" s="54">
        <f>D148*D72</f>
        <v>78.052982732846431</v>
      </c>
      <c r="E149" s="54">
        <f>E148*E72</f>
        <v>21.307142427407268</v>
      </c>
      <c r="F149" s="54">
        <f>F148*F72</f>
        <v>10.347103797940822</v>
      </c>
      <c r="H149" s="52" t="s">
        <v>20</v>
      </c>
      <c r="I149" s="53" t="s">
        <v>13</v>
      </c>
      <c r="J149" s="54">
        <f>J148*J72</f>
        <v>69.628575592773387</v>
      </c>
      <c r="K149" s="54">
        <f>K148*K72</f>
        <v>93.778730302410352</v>
      </c>
      <c r="L149" s="54">
        <f>L148*L72</f>
        <v>29.073570730954359</v>
      </c>
      <c r="M149" s="54">
        <f>M148*M72</f>
        <v>14.317432377649006</v>
      </c>
    </row>
    <row r="150" spans="1:13" s="40" customFormat="1" x14ac:dyDescent="0.25">
      <c r="A150" s="62" t="s">
        <v>103</v>
      </c>
      <c r="B150" s="63"/>
      <c r="C150" s="92">
        <f>C176</f>
        <v>3.7449395196614825E-2</v>
      </c>
      <c r="D150" s="92">
        <f>D176</f>
        <v>6.4213857324821849E-2</v>
      </c>
      <c r="E150" s="92">
        <f>E176</f>
        <v>4.7792272899466984E-2</v>
      </c>
      <c r="F150" s="92">
        <f>F176</f>
        <v>4.7239248930922094E-2</v>
      </c>
      <c r="H150" s="62" t="s">
        <v>103</v>
      </c>
      <c r="I150" s="63"/>
      <c r="J150" s="92">
        <f>J176</f>
        <v>5.062517208652962E-2</v>
      </c>
      <c r="K150" s="92">
        <f>K176</f>
        <v>8.8131530508016143E-2</v>
      </c>
      <c r="L150" s="92">
        <f>L176</f>
        <v>6.8612921001080823E-2</v>
      </c>
      <c r="M150" s="92">
        <f>M176</f>
        <v>6.8194644698793341E-2</v>
      </c>
    </row>
    <row r="151" spans="1:13" s="40" customFormat="1" x14ac:dyDescent="0.25">
      <c r="A151" s="62" t="s">
        <v>105</v>
      </c>
      <c r="B151" s="63" t="s">
        <v>29</v>
      </c>
      <c r="C151" s="65">
        <f>C178</f>
        <v>10.562725119437115</v>
      </c>
      <c r="D151" s="65">
        <f>D178</f>
        <v>12.696349856595555</v>
      </c>
      <c r="E151" s="65">
        <f>E178</f>
        <v>9.470172297419083</v>
      </c>
      <c r="F151" s="65">
        <f>F178</f>
        <v>11.435526281144744</v>
      </c>
      <c r="H151" s="62" t="s">
        <v>105</v>
      </c>
      <c r="I151" s="63" t="s">
        <v>29</v>
      </c>
      <c r="J151" s="65">
        <f>J178</f>
        <v>7.813655757552751</v>
      </c>
      <c r="K151" s="65">
        <f>K178</f>
        <v>9.2507368649781245</v>
      </c>
      <c r="L151" s="65">
        <f>L178</f>
        <v>6.5964406155525062</v>
      </c>
      <c r="M151" s="65">
        <f>M178</f>
        <v>7.9215263168701116</v>
      </c>
    </row>
    <row r="152" spans="1:13" s="40" customFormat="1" x14ac:dyDescent="0.25">
      <c r="A152" s="62" t="s">
        <v>100</v>
      </c>
      <c r="B152" s="91" t="str">
        <f>B182</f>
        <v>Half, 1E-3</v>
      </c>
      <c r="C152" s="65">
        <f>C182</f>
        <v>12.026445819145279</v>
      </c>
      <c r="D152" s="65">
        <f>D182</f>
        <v>11.970688657658812</v>
      </c>
      <c r="E152" s="65">
        <f>E182</f>
        <v>12.084262883141795</v>
      </c>
      <c r="F152" s="65">
        <f>F182</f>
        <v>12.313674785940737</v>
      </c>
      <c r="G152" s="49"/>
      <c r="H152" s="65" t="s">
        <v>100</v>
      </c>
      <c r="I152" s="96" t="str">
        <f>I182</f>
        <v>Half, 1E-3</v>
      </c>
      <c r="J152" s="65">
        <f>J182</f>
        <v>12.022525346253394</v>
      </c>
      <c r="K152" s="65">
        <f>K182</f>
        <v>11.950900116729189</v>
      </c>
      <c r="L152" s="65">
        <f>L182</f>
        <v>11.999374130564345</v>
      </c>
      <c r="M152" s="65">
        <f>M182</f>
        <v>12.165393686165629</v>
      </c>
    </row>
    <row r="153" spans="1:13" s="40" customFormat="1" x14ac:dyDescent="0.25">
      <c r="A153" s="62"/>
      <c r="B153" s="91"/>
      <c r="C153" s="93"/>
      <c r="D153" s="93"/>
      <c r="E153" s="93"/>
      <c r="F153" s="93"/>
      <c r="H153" s="62"/>
      <c r="I153" s="91"/>
      <c r="J153" s="93"/>
      <c r="K153" s="93"/>
      <c r="L153" s="93"/>
      <c r="M153" s="93"/>
    </row>
    <row r="154" spans="1:13" s="40" customFormat="1" x14ac:dyDescent="0.25">
      <c r="A154" s="36" t="s">
        <v>51</v>
      </c>
      <c r="B154" s="37" t="s">
        <v>46</v>
      </c>
      <c r="C154" s="41">
        <f>(PI()-ASIN(C72/C149))</f>
        <v>2.4685929835346676</v>
      </c>
      <c r="D154" s="41">
        <f>(PI()-ASIN(D72/D149))</f>
        <v>2.632016681237574</v>
      </c>
      <c r="E154" s="41">
        <f>(PI()-ASIN(E72/E149))</f>
        <v>2.9630362486721125</v>
      </c>
      <c r="F154" s="41">
        <f>(PI()-ASIN(F72/F149))</f>
        <v>2.9995939428720879</v>
      </c>
      <c r="H154" s="36" t="s">
        <v>51</v>
      </c>
      <c r="I154" s="37" t="s">
        <v>46</v>
      </c>
      <c r="J154" s="41">
        <f>(PI()-ASIN(J72/J149))</f>
        <v>2.5602472511753809</v>
      </c>
      <c r="K154" s="41">
        <f>(PI()-ASIN(K72/K149))</f>
        <v>2.7199258094029126</v>
      </c>
      <c r="L154" s="41">
        <f>(PI()-ASIN(L72/L149))</f>
        <v>3.0072952229746379</v>
      </c>
      <c r="M154" s="41">
        <f>(PI()-ASIN(M72/M149))</f>
        <v>3.0315198388919282</v>
      </c>
    </row>
    <row r="155" spans="1:13" s="40" customFormat="1" x14ac:dyDescent="0.25">
      <c r="A155" s="36" t="s">
        <v>51</v>
      </c>
      <c r="B155" s="37" t="s">
        <v>21</v>
      </c>
      <c r="C155" s="38">
        <f>180/PI()*C154</f>
        <v>141.43995929214438</v>
      </c>
      <c r="D155" s="38">
        <f>180/PI()*D154</f>
        <v>150.80344744294271</v>
      </c>
      <c r="E155" s="38">
        <f>180/PI()*E154</f>
        <v>169.76947159318792</v>
      </c>
      <c r="F155" s="38">
        <f>180/PI()*F154</f>
        <v>171.86407317957639</v>
      </c>
      <c r="H155" s="36" t="s">
        <v>51</v>
      </c>
      <c r="I155" s="37" t="s">
        <v>21</v>
      </c>
      <c r="J155" s="38">
        <f>180/PI()*J154</f>
        <v>146.69136200231972</v>
      </c>
      <c r="K155" s="38">
        <f>180/PI()*K154</f>
        <v>155.84026946749125</v>
      </c>
      <c r="L155" s="38">
        <f>180/PI()*L154</f>
        <v>172.30532402630058</v>
      </c>
      <c r="M155" s="38">
        <f>180/PI()*M154</f>
        <v>173.69329227868676</v>
      </c>
    </row>
    <row r="156" spans="1:13" s="40" customFormat="1" x14ac:dyDescent="0.25">
      <c r="A156" s="36" t="s">
        <v>197</v>
      </c>
      <c r="B156" s="37" t="s">
        <v>13</v>
      </c>
      <c r="C156" s="41">
        <f>C149*SIN(C154)</f>
        <v>38.074801901217228</v>
      </c>
      <c r="D156" s="41">
        <f>D149*SIN(D154)</f>
        <v>38.074801901217235</v>
      </c>
      <c r="E156" s="41">
        <f>E149*SIN(E154)</f>
        <v>3.7843427194403758</v>
      </c>
      <c r="F156" s="41">
        <f>F149*SIN(F154)</f>
        <v>1.4643427194403749</v>
      </c>
      <c r="H156" s="36" t="s">
        <v>197</v>
      </c>
      <c r="I156" s="37" t="s">
        <v>13</v>
      </c>
      <c r="J156" s="41">
        <f>J149*SIN(J154)</f>
        <v>38.236450078403848</v>
      </c>
      <c r="K156" s="41">
        <f>K149*SIN(K154)</f>
        <v>38.381933437871822</v>
      </c>
      <c r="L156" s="41">
        <f>L149*SIN(L154)</f>
        <v>3.8927796132288286</v>
      </c>
      <c r="M156" s="41">
        <f>M149*SIN(M154)</f>
        <v>1.5727796132288354</v>
      </c>
    </row>
    <row r="157" spans="1:13" s="40" customFormat="1" x14ac:dyDescent="0.25">
      <c r="A157" s="36" t="s">
        <v>198</v>
      </c>
      <c r="B157" s="37" t="s">
        <v>13</v>
      </c>
      <c r="C157" s="41">
        <f>C149*COS(C154)</f>
        <v>-47.763763281044966</v>
      </c>
      <c r="D157" s="41">
        <f>D149*COS(D154)</f>
        <v>-68.136462879115527</v>
      </c>
      <c r="E157" s="41">
        <f>E149*COS(E154)</f>
        <v>-20.968382593887338</v>
      </c>
      <c r="F157" s="41">
        <f>F149*COS(F154)</f>
        <v>-10.24296135916676</v>
      </c>
      <c r="H157" s="36" t="s">
        <v>198</v>
      </c>
      <c r="I157" s="37" t="s">
        <v>13</v>
      </c>
      <c r="J157" s="41">
        <f>J149*COS(J154)</f>
        <v>-58.190312118773591</v>
      </c>
      <c r="K157" s="41">
        <f>K149*COS(K154)</f>
        <v>-85.564463667477014</v>
      </c>
      <c r="L157" s="41">
        <f>L149*COS(L154)</f>
        <v>-28.811781998526854</v>
      </c>
      <c r="M157" s="41">
        <f>M149*COS(M154)</f>
        <v>-14.230784735100302</v>
      </c>
    </row>
    <row r="158" spans="1:13" s="40" customFormat="1" x14ac:dyDescent="0.25">
      <c r="A158" s="36"/>
      <c r="B158" s="37"/>
      <c r="C158" s="5"/>
      <c r="D158" s="5"/>
      <c r="E158" s="5"/>
      <c r="F158" s="5"/>
      <c r="H158" s="36"/>
      <c r="I158" s="37"/>
      <c r="J158" s="5"/>
      <c r="K158" s="5"/>
      <c r="L158" s="5"/>
      <c r="M158" s="5"/>
    </row>
    <row r="159" spans="1:13" s="40" customFormat="1" x14ac:dyDescent="0.25">
      <c r="A159" s="36" t="s">
        <v>193</v>
      </c>
      <c r="B159" s="37" t="s">
        <v>3</v>
      </c>
      <c r="C159" s="41">
        <f>C35*C156</f>
        <v>10.076703261627742</v>
      </c>
      <c r="D159" s="41">
        <f>D35*D156</f>
        <v>10.076703261627744</v>
      </c>
      <c r="E159" s="41">
        <f>E35*E156</f>
        <v>9.4489232474574631</v>
      </c>
      <c r="F159" s="41">
        <f>F35*F156</f>
        <v>2.8016608395542946</v>
      </c>
      <c r="H159" s="36" t="s">
        <v>190</v>
      </c>
      <c r="I159" s="37" t="s">
        <v>3</v>
      </c>
      <c r="J159" s="41">
        <f>J35*J156</f>
        <v>10.119484330286186</v>
      </c>
      <c r="K159" s="41">
        <f>K35*K156</f>
        <v>10.157987292078788</v>
      </c>
      <c r="L159" s="41">
        <f>L35*L156</f>
        <v>9.7196735368898395</v>
      </c>
      <c r="M159" s="41">
        <f>M35*M156</f>
        <v>3.0091282547002125</v>
      </c>
    </row>
    <row r="160" spans="1:13" s="40" customFormat="1" x14ac:dyDescent="0.25">
      <c r="A160" s="36" t="s">
        <v>192</v>
      </c>
      <c r="B160" s="37" t="s">
        <v>32</v>
      </c>
      <c r="C160" s="38">
        <f>1000*C159/C55</f>
        <v>592.74725068398482</v>
      </c>
      <c r="D160" s="38">
        <f>1000*D159/D55</f>
        <v>592.74725068398493</v>
      </c>
      <c r="E160" s="38">
        <f>1000*E159/E55</f>
        <v>555.81901455632135</v>
      </c>
      <c r="F160" s="38">
        <f>1000*F159/F55</f>
        <v>164.80357879731145</v>
      </c>
      <c r="H160" s="36" t="s">
        <v>189</v>
      </c>
      <c r="I160" s="37" t="s">
        <v>32</v>
      </c>
      <c r="J160" s="38">
        <f>1000*J159/J55</f>
        <v>562.19357390478808</v>
      </c>
      <c r="K160" s="38">
        <f>1000*K159/K55</f>
        <v>423.24947050328279</v>
      </c>
      <c r="L160" s="38">
        <f>1000*L159/L55</f>
        <v>539.9818631605466</v>
      </c>
      <c r="M160" s="38">
        <f>1000*M159/M55</f>
        <v>167.17379192778958</v>
      </c>
    </row>
    <row r="161" spans="1:13" s="40" customFormat="1" ht="15" customHeight="1" x14ac:dyDescent="0.25">
      <c r="A161" s="36" t="s">
        <v>191</v>
      </c>
      <c r="B161" s="37" t="s">
        <v>32</v>
      </c>
      <c r="C161" s="38">
        <f>C160/C56</f>
        <v>296.37362534199241</v>
      </c>
      <c r="D161" s="38">
        <f>D160/D56</f>
        <v>296.37362534199247</v>
      </c>
      <c r="E161" s="38">
        <f>E160/E56</f>
        <v>277.90950727816067</v>
      </c>
      <c r="F161" s="38">
        <f>F160/F56</f>
        <v>82.401789398655723</v>
      </c>
      <c r="H161" s="36" t="s">
        <v>168</v>
      </c>
      <c r="I161" s="37" t="s">
        <v>32</v>
      </c>
      <c r="J161" s="38">
        <f>J160/J56</f>
        <v>281.09678695239404</v>
      </c>
      <c r="K161" s="38">
        <f>K160/K56</f>
        <v>211.6247352516414</v>
      </c>
      <c r="L161" s="38">
        <f>L160/L56</f>
        <v>269.9909315802733</v>
      </c>
      <c r="M161" s="38">
        <f>M160/M56</f>
        <v>83.58689596389479</v>
      </c>
    </row>
    <row r="162" spans="1:13" s="40" customFormat="1" x14ac:dyDescent="0.25">
      <c r="A162" s="59" t="s">
        <v>116</v>
      </c>
      <c r="B162" s="60" t="s">
        <v>13</v>
      </c>
      <c r="C162" s="94">
        <f>C149/C55</f>
        <v>3.5930862208216285</v>
      </c>
      <c r="D162" s="94">
        <f>D149/D55</f>
        <v>4.5913519254615549</v>
      </c>
      <c r="E162" s="94">
        <f>E149/E55</f>
        <v>1.253361319259251</v>
      </c>
      <c r="F162" s="94">
        <f>F149/F55</f>
        <v>0.60865316458475416</v>
      </c>
      <c r="H162" s="59" t="s">
        <v>116</v>
      </c>
      <c r="I162" s="60" t="s">
        <v>13</v>
      </c>
      <c r="J162" s="94">
        <f>J149/J55</f>
        <v>3.8682541995985216</v>
      </c>
      <c r="K162" s="94">
        <f>K149/K55</f>
        <v>3.9074470959337648</v>
      </c>
      <c r="L162" s="94">
        <f>L149/L55</f>
        <v>1.6151983739419089</v>
      </c>
      <c r="M162" s="94">
        <f>M149/M55</f>
        <v>0.79541290986938917</v>
      </c>
    </row>
    <row r="163" spans="1:13" s="40" customFormat="1" x14ac:dyDescent="0.25">
      <c r="A163" s="59" t="s">
        <v>117</v>
      </c>
      <c r="B163" s="60" t="s">
        <v>58</v>
      </c>
      <c r="C163" s="61">
        <f>0.5*((1000000*C162)^2)/(2*PI()*C53*1000000*C59)</f>
        <v>70.452445937987108</v>
      </c>
      <c r="D163" s="61">
        <f>0.5*((1000000*D162)^2)/(2*PI()*D53*1000000*D59)</f>
        <v>115.03816958651869</v>
      </c>
      <c r="E163" s="61">
        <f>0.5*((1000000*E162)^2)/(2*PI()*E53*1000000*E59)</f>
        <v>8.5726160549940325</v>
      </c>
      <c r="F163" s="61">
        <f>0.5*((1000000*F162)^2)/(2*PI()*F53*1000000*F59)</f>
        <v>2.0216248561397023</v>
      </c>
      <c r="H163" s="59" t="s">
        <v>117</v>
      </c>
      <c r="I163" s="60" t="s">
        <v>58</v>
      </c>
      <c r="J163" s="61">
        <f>0.5*((1000000*J162)^2)/(2*PI()*J53*1000000*J59)</f>
        <v>54.43767269925366</v>
      </c>
      <c r="K163" s="61">
        <f>0.5*((1000000*K162)^2)/(2*PI()*K53*1000000*K59)</f>
        <v>55.546378874050319</v>
      </c>
      <c r="L163" s="61">
        <f>0.5*((1000000*L162)^2)/(2*PI()*L53*1000000*L59)</f>
        <v>9.4912033116379817</v>
      </c>
      <c r="M163" s="61">
        <f>0.5*((1000000*M162)^2)/(2*PI()*M53*1000000*M59)</f>
        <v>2.301732297832535</v>
      </c>
    </row>
    <row r="164" spans="1:13" s="40" customFormat="1" x14ac:dyDescent="0.25">
      <c r="A164" s="59" t="s">
        <v>169</v>
      </c>
      <c r="B164" s="60" t="s">
        <v>13</v>
      </c>
      <c r="C164" s="86">
        <f>C156/C55</f>
        <v>2.2396942294833662</v>
      </c>
      <c r="D164" s="86">
        <f>D156/D55</f>
        <v>2.2396942294833666</v>
      </c>
      <c r="E164" s="86">
        <f>E156/E55</f>
        <v>0.22260839526119858</v>
      </c>
      <c r="F164" s="86">
        <f>F156/F55</f>
        <v>8.61378070259044E-2</v>
      </c>
      <c r="H164" s="59" t="s">
        <v>169</v>
      </c>
      <c r="I164" s="60" t="s">
        <v>13</v>
      </c>
      <c r="J164" s="86">
        <f>J156/J55</f>
        <v>2.1242472265779915</v>
      </c>
      <c r="K164" s="86">
        <f>K156/K55</f>
        <v>1.5992472265779927</v>
      </c>
      <c r="L164" s="86">
        <f>L156/L55</f>
        <v>0.21626553406826826</v>
      </c>
      <c r="M164" s="86">
        <f>M156/M55</f>
        <v>8.737664517937975E-2</v>
      </c>
    </row>
    <row r="165" spans="1:13" s="40" customFormat="1" x14ac:dyDescent="0.25">
      <c r="A165" s="59" t="s">
        <v>170</v>
      </c>
      <c r="B165" s="60" t="s">
        <v>40</v>
      </c>
      <c r="C165" s="61">
        <f>(C162/C57)/(C54/2)</f>
        <v>9.4406955815618865</v>
      </c>
      <c r="D165" s="61">
        <f>(D162/D57)/(D54/2)</f>
        <v>12.063600251203759</v>
      </c>
      <c r="E165" s="61">
        <f>(E162/E57)/(E54/2)</f>
        <v>3.2931585636831859</v>
      </c>
      <c r="F165" s="61">
        <f>(F162/F57)/(F54/2)</f>
        <v>1.5992127271000671</v>
      </c>
      <c r="H165" s="59" t="s">
        <v>170</v>
      </c>
      <c r="I165" s="60" t="s">
        <v>40</v>
      </c>
      <c r="J165" s="61">
        <f>(J162/J57)/(J54/2)</f>
        <v>15.245533262832696</v>
      </c>
      <c r="K165" s="61">
        <f>(K162/K57)/(K54/2)</f>
        <v>15.4</v>
      </c>
      <c r="L165" s="61">
        <f>(L162/L57)/(L54/2)</f>
        <v>6.3658072203045144</v>
      </c>
      <c r="M165" s="61">
        <f>(M162/M57)/(M54/2)</f>
        <v>3.1348751377083244</v>
      </c>
    </row>
    <row r="166" spans="1:13" s="40" customFormat="1" x14ac:dyDescent="0.25">
      <c r="A166" s="59" t="s">
        <v>171</v>
      </c>
      <c r="B166" s="60" t="s">
        <v>52</v>
      </c>
      <c r="C166" s="61">
        <f>5.21*C165</f>
        <v>49.186023979937431</v>
      </c>
      <c r="D166" s="61">
        <f>5.21*D165</f>
        <v>62.851357308771583</v>
      </c>
      <c r="E166" s="61">
        <f>5.21*E165</f>
        <v>17.157356116789398</v>
      </c>
      <c r="F166" s="61">
        <f>5.21*F165</f>
        <v>8.3318983081913505</v>
      </c>
      <c r="H166" s="59" t="s">
        <v>171</v>
      </c>
      <c r="I166" s="60" t="s">
        <v>52</v>
      </c>
      <c r="J166" s="61">
        <f>5.21*J165</f>
        <v>79.429228299358343</v>
      </c>
      <c r="K166" s="61">
        <f>5.21*K165</f>
        <v>80.233999999999995</v>
      </c>
      <c r="L166" s="61">
        <f>5.21*L165</f>
        <v>33.165855617786519</v>
      </c>
      <c r="M166" s="61">
        <f>5.21*M165</f>
        <v>16.332699467460369</v>
      </c>
    </row>
    <row r="167" spans="1:13" s="40" customFormat="1" x14ac:dyDescent="0.25">
      <c r="A167" s="59" t="s">
        <v>172</v>
      </c>
      <c r="B167" s="60" t="s">
        <v>40</v>
      </c>
      <c r="C167" s="61">
        <f>2.75*C165</f>
        <v>25.961912849295189</v>
      </c>
      <c r="D167" s="61">
        <f>2.75*D165</f>
        <v>33.17490069081034</v>
      </c>
      <c r="E167" s="61">
        <f>2.75*E165</f>
        <v>9.0561860501287619</v>
      </c>
      <c r="F167" s="61">
        <f>2.75*F165</f>
        <v>4.3978349995251849</v>
      </c>
      <c r="H167" s="59" t="s">
        <v>172</v>
      </c>
      <c r="I167" s="60" t="s">
        <v>40</v>
      </c>
      <c r="J167" s="61">
        <f>2.75*J165</f>
        <v>41.925216472789913</v>
      </c>
      <c r="K167" s="61">
        <f>2.75*K165</f>
        <v>42.35</v>
      </c>
      <c r="L167" s="61">
        <f>2.75*L165</f>
        <v>17.505969855837414</v>
      </c>
      <c r="M167" s="61">
        <f>2.75*M165</f>
        <v>8.6209066286978917</v>
      </c>
    </row>
    <row r="168" spans="1:13" s="40" customFormat="1" x14ac:dyDescent="0.25">
      <c r="A168" s="36" t="s">
        <v>173</v>
      </c>
      <c r="B168" s="37" t="s">
        <v>31</v>
      </c>
      <c r="C168" s="38">
        <f>((C162*1000000)^2)/2/C61/1000000000</f>
        <v>7.9301404117065433</v>
      </c>
      <c r="D168" s="38">
        <f>((D162*1000000)^2)/2/D61/1000000000</f>
        <v>12.948717753955485</v>
      </c>
      <c r="E168" s="38">
        <f>((E162*1000000)^2)/2/E61/1000000000</f>
        <v>0.96493525590619778</v>
      </c>
      <c r="F168" s="38">
        <f>((F162*1000000)^2)/2/F61/1000000000</f>
        <v>0.22755446852520628</v>
      </c>
      <c r="H168" s="36" t="s">
        <v>173</v>
      </c>
      <c r="I168" s="37" t="s">
        <v>31</v>
      </c>
      <c r="J168" s="38">
        <f>((J162*1000000)^2)/2/J61/1000000000</f>
        <v>9.1912718382749361</v>
      </c>
      <c r="K168" s="38">
        <f>((K162*1000000)^2)/2/K61/1000000000</f>
        <v>9.3784660979860028</v>
      </c>
      <c r="L168" s="38">
        <f>((L162*1000000)^2)/2/L61/1000000000</f>
        <v>1.6024974122755444</v>
      </c>
      <c r="M168" s="38">
        <f>((M162*1000000)^2)/2/M61/1000000000</f>
        <v>0.38862512112216763</v>
      </c>
    </row>
    <row r="169" spans="1:13" s="40" customFormat="1" ht="15" customHeight="1" x14ac:dyDescent="0.25">
      <c r="A169" s="36" t="s">
        <v>174</v>
      </c>
      <c r="B169" s="37"/>
      <c r="C169" s="43">
        <f>1+1000*C160/C168</f>
        <v>74747.12300798182</v>
      </c>
      <c r="D169" s="43">
        <f>1+1000*D160/D168</f>
        <v>45777.521038379775</v>
      </c>
      <c r="E169" s="43">
        <f>1+1000*E160/E168</f>
        <v>576017.89973938826</v>
      </c>
      <c r="F169" s="43">
        <f>1+1000*F160/F168</f>
        <v>724238.93681316392</v>
      </c>
      <c r="H169" s="36" t="s">
        <v>174</v>
      </c>
      <c r="I169" s="37"/>
      <c r="J169" s="43">
        <f>1+1000*J160/J168</f>
        <v>61167.026181889472</v>
      </c>
      <c r="K169" s="43">
        <f>1+1000*K160/K168</f>
        <v>45130.924881231309</v>
      </c>
      <c r="L169" s="43">
        <f>1+1000*L160/L168</f>
        <v>336963.70522756915</v>
      </c>
      <c r="M169" s="43">
        <f>1+1000*M160/M168</f>
        <v>430168.23017047852</v>
      </c>
    </row>
    <row r="170" spans="1:13" s="40" customFormat="1" ht="15" customHeight="1" x14ac:dyDescent="0.25">
      <c r="A170" s="74" t="s">
        <v>175</v>
      </c>
      <c r="B170" s="75"/>
      <c r="C170" s="87">
        <f>C60/C169</f>
        <v>294325.70933400001</v>
      </c>
      <c r="D170" s="87">
        <f>D60/D169</f>
        <v>480585.21957873704</v>
      </c>
      <c r="E170" s="87">
        <f>E60/E169</f>
        <v>38193.257553200361</v>
      </c>
      <c r="F170" s="87">
        <f>F60/F169</f>
        <v>30376.715310013034</v>
      </c>
      <c r="H170" s="74" t="s">
        <v>175</v>
      </c>
      <c r="I170" s="75"/>
      <c r="J170" s="87">
        <f>J60/J169</f>
        <v>359670.91050952271</v>
      </c>
      <c r="K170" s="87">
        <f>K60/K169</f>
        <v>487470.62148396578</v>
      </c>
      <c r="L170" s="87">
        <f>L60/L169</f>
        <v>65288.930702914287</v>
      </c>
      <c r="M170" s="87">
        <f>M60/M169</f>
        <v>51142.781955983257</v>
      </c>
    </row>
    <row r="171" spans="1:13" s="40" customFormat="1" ht="15" customHeight="1" x14ac:dyDescent="0.25">
      <c r="A171" s="36" t="s">
        <v>176</v>
      </c>
      <c r="B171" s="37"/>
      <c r="C171" s="43">
        <f>C170*C56</f>
        <v>588651.41866800003</v>
      </c>
      <c r="D171" s="43">
        <f>D170*D56</f>
        <v>961170.43915747409</v>
      </c>
      <c r="E171" s="43">
        <f>E170*E56</f>
        <v>76386.515106400722</v>
      </c>
      <c r="F171" s="43">
        <f>F170*F56</f>
        <v>60753.430620026069</v>
      </c>
      <c r="H171" s="36" t="s">
        <v>176</v>
      </c>
      <c r="I171" s="37"/>
      <c r="J171" s="43">
        <f>J170*J56</f>
        <v>719341.82101904543</v>
      </c>
      <c r="K171" s="43">
        <f>K170*K56</f>
        <v>974941.24296793155</v>
      </c>
      <c r="L171" s="43">
        <f>L170*L56</f>
        <v>130577.86140582857</v>
      </c>
      <c r="M171" s="43">
        <f>M170*M56</f>
        <v>102285.56391196651</v>
      </c>
    </row>
    <row r="172" spans="1:13" s="40" customFormat="1" ht="18" customHeight="1" x14ac:dyDescent="0.25">
      <c r="A172" s="55" t="s">
        <v>194</v>
      </c>
      <c r="B172" s="56" t="s">
        <v>11</v>
      </c>
      <c r="C172" s="58">
        <f>1000000*C53/C170/2</f>
        <v>669.5290405855593</v>
      </c>
      <c r="D172" s="58">
        <f>1000000*D53/D170/2</f>
        <v>410.04092877178425</v>
      </c>
      <c r="E172" s="58">
        <f>1000000*E53/E170/2</f>
        <v>5159.5392023760705</v>
      </c>
      <c r="F172" s="58">
        <f>1000000*F53/F170/2</f>
        <v>6487.192799788354</v>
      </c>
      <c r="H172" s="55" t="s">
        <v>194</v>
      </c>
      <c r="I172" s="56" t="s">
        <v>11</v>
      </c>
      <c r="J172" s="58">
        <f>1000000*J53/J170/2</f>
        <v>821.83297577872861</v>
      </c>
      <c r="K172" s="58">
        <f>1000000*K53/K170/2</f>
        <v>606.37380317453358</v>
      </c>
      <c r="L172" s="58">
        <f>1000000*L53/L170/2</f>
        <v>4527.4047412922428</v>
      </c>
      <c r="M172" s="58">
        <f>1000000*M53/M170/2</f>
        <v>5779.6897617909972</v>
      </c>
    </row>
    <row r="173" spans="1:13" s="40" customFormat="1" ht="15" customHeight="1" x14ac:dyDescent="0.25">
      <c r="A173" s="55" t="s">
        <v>177</v>
      </c>
      <c r="B173" s="56" t="s">
        <v>11</v>
      </c>
      <c r="C173" s="58">
        <f>C53*1000000*C59*C35*COS(C154)/C162/1000000</f>
        <v>-839.89402899780941</v>
      </c>
      <c r="D173" s="58">
        <f>D53*1000000*D59*D35*COS(D154)/D162/1000000</f>
        <v>-733.76949613522243</v>
      </c>
      <c r="E173" s="58">
        <f>E53*1000000*E59*E35*COS(E154)/E162/1000000</f>
        <v>-28588.056686480777</v>
      </c>
      <c r="F173" s="58">
        <f>F53*1000000*F59*F35*COS(F154)/F162/1000000</f>
        <v>-45377.337249489603</v>
      </c>
      <c r="H173" s="55" t="s">
        <v>177</v>
      </c>
      <c r="I173" s="56" t="s">
        <v>11</v>
      </c>
      <c r="J173" s="58">
        <f>J53*1000000*J59*J35*COS(J154)/J162/1000000</f>
        <v>-1250.689732802349</v>
      </c>
      <c r="K173" s="58">
        <f>K53*1000000*K59*K35*COS(K154)/K162/1000000</f>
        <v>-1351.7531549196297</v>
      </c>
      <c r="L173" s="58">
        <f>L53*1000000*L59*L35*COS(L154)/L162/1000000</f>
        <v>-33508.758335614613</v>
      </c>
      <c r="M173" s="58">
        <f>M53*1000000*M59*M35*COS(M154)/M162/1000000</f>
        <v>-52295.521216546498</v>
      </c>
    </row>
    <row r="174" spans="1:13" s="40" customFormat="1" x14ac:dyDescent="0.25">
      <c r="A174" s="36"/>
      <c r="B174" s="37"/>
      <c r="C174" s="38"/>
      <c r="D174" s="38"/>
      <c r="E174" s="38"/>
      <c r="F174" s="38"/>
      <c r="H174" s="36"/>
      <c r="I174" s="37"/>
      <c r="J174" s="38"/>
      <c r="K174" s="38"/>
      <c r="L174" s="38"/>
      <c r="M174" s="38"/>
    </row>
    <row r="175" spans="1:13" s="35" customFormat="1" x14ac:dyDescent="0.25">
      <c r="A175" s="47" t="s">
        <v>167</v>
      </c>
      <c r="B175" s="37"/>
      <c r="C175" s="41"/>
      <c r="D175" s="41"/>
      <c r="E175" s="41"/>
      <c r="F175" s="41"/>
      <c r="G175" s="40"/>
      <c r="H175" s="47" t="s">
        <v>167</v>
      </c>
      <c r="I175" s="37"/>
      <c r="J175" s="41"/>
      <c r="K175" s="41"/>
      <c r="L175" s="41"/>
      <c r="M175" s="41"/>
    </row>
    <row r="176" spans="1:13" x14ac:dyDescent="0.25">
      <c r="A176" s="62" t="s">
        <v>103</v>
      </c>
      <c r="B176" s="89"/>
      <c r="C176" s="64">
        <f>SQRT(-C157*C52/(2*PI()*(C26*1000)*C46^2))</f>
        <v>3.7449395196614825E-2</v>
      </c>
      <c r="D176" s="64">
        <f>SQRT(-D157*D52/(2*PI()*(D26*1000)*D46^2))</f>
        <v>6.4213857324821849E-2</v>
      </c>
      <c r="E176" s="64">
        <f>SQRT(-E157*E52/(2*PI()*(E26*1000)*E46^2))</f>
        <v>4.7792272899466984E-2</v>
      </c>
      <c r="F176" s="64">
        <f>SQRT(-F157*F52/(2*PI()*(F26*1000)*F46^2))</f>
        <v>4.7239248930922094E-2</v>
      </c>
      <c r="H176" s="62" t="s">
        <v>103</v>
      </c>
      <c r="I176" s="89"/>
      <c r="J176" s="64">
        <f>SQRT(-J157*J52/(2*PI()*(J26*1000)*J46^2))</f>
        <v>5.062517208652962E-2</v>
      </c>
      <c r="K176" s="64">
        <f>SQRT(-K157*K52/(2*PI()*(K26*1000)*K46^2))</f>
        <v>8.8131530508016143E-2</v>
      </c>
      <c r="L176" s="64">
        <f>SQRT(-L157*L52/(2*PI()*(L26*1000)*L46^2))</f>
        <v>6.8612921001080823E-2</v>
      </c>
      <c r="M176" s="64">
        <f>SQRT(-M157*M52/(2*PI()*(M26*1000)*M46^2))</f>
        <v>6.8194644698793341E-2</v>
      </c>
    </row>
    <row r="177" spans="1:14" x14ac:dyDescent="0.25">
      <c r="A177" s="62" t="s">
        <v>104</v>
      </c>
      <c r="B177" s="63" t="s">
        <v>11</v>
      </c>
      <c r="C177" s="90">
        <f>C176*C29</f>
        <v>2928.477462031175</v>
      </c>
      <c r="D177" s="90">
        <f>D176*D29</f>
        <v>5021.4117728348419</v>
      </c>
      <c r="E177" s="90">
        <f>E176*E29</f>
        <v>3737.272476209479</v>
      </c>
      <c r="F177" s="90">
        <f>F176*F29</f>
        <v>3694.0269508884226</v>
      </c>
      <c r="H177" s="62" t="s">
        <v>104</v>
      </c>
      <c r="I177" s="63" t="s">
        <v>11</v>
      </c>
      <c r="J177" s="90">
        <f>J176*J29</f>
        <v>3958.80026068493</v>
      </c>
      <c r="K177" s="90">
        <f>K176*K29</f>
        <v>6891.7321476627721</v>
      </c>
      <c r="L177" s="90">
        <f>L176*L29</f>
        <v>5365.4108836605374</v>
      </c>
      <c r="M177" s="90">
        <f>M176*M29</f>
        <v>5332.7023846626953</v>
      </c>
    </row>
    <row r="178" spans="1:14" s="35" customFormat="1" x14ac:dyDescent="0.25">
      <c r="A178" s="62" t="s">
        <v>105</v>
      </c>
      <c r="B178" s="63" t="s">
        <v>29</v>
      </c>
      <c r="C178" s="65">
        <f>1000*(C48*0.001)*$E$1/(2*PI()*C176*(C46^2))</f>
        <v>10.562725119437115</v>
      </c>
      <c r="D178" s="65">
        <f>1000*(D48*0.001)*$E$1/(2*PI()*D176*(D46^2))</f>
        <v>12.696349856595555</v>
      </c>
      <c r="E178" s="65">
        <f>1000*(E48*0.001)*$E$1/(2*PI()*E176*(E46^2))</f>
        <v>9.470172297419083</v>
      </c>
      <c r="F178" s="65">
        <f>1000*(F48*0.001)*$E$1/(2*PI()*F176*(F46^2))</f>
        <v>11.435526281144744</v>
      </c>
      <c r="G178" s="40"/>
      <c r="H178" s="62" t="s">
        <v>105</v>
      </c>
      <c r="I178" s="63" t="s">
        <v>29</v>
      </c>
      <c r="J178" s="65">
        <f>1000*(J48*0.001)*$E$1/(2*PI()*J176*(J46^2))</f>
        <v>7.813655757552751</v>
      </c>
      <c r="K178" s="65">
        <f>1000*(K48*0.001)*$E$1/(2*PI()*K176*(K46^2))</f>
        <v>9.2507368649781245</v>
      </c>
      <c r="L178" s="65">
        <f>1000*(L48*0.001)*$E$1/(2*PI()*L176*(L46^2))</f>
        <v>6.5964406155525062</v>
      </c>
      <c r="M178" s="65">
        <f>1000*(M48*0.001)*$E$1/(2*PI()*M176*(M46^2))</f>
        <v>7.9215263168701116</v>
      </c>
    </row>
    <row r="179" spans="1:14" s="35" customFormat="1" x14ac:dyDescent="0.25">
      <c r="A179" s="36" t="s">
        <v>105</v>
      </c>
      <c r="B179" s="37" t="s">
        <v>18</v>
      </c>
      <c r="C179" s="38">
        <f>C178/0.3</f>
        <v>35.209083731457049</v>
      </c>
      <c r="D179" s="38">
        <f>D178/0.3</f>
        <v>42.321166188651851</v>
      </c>
      <c r="E179" s="38">
        <f>E178/0.3</f>
        <v>31.567240991396943</v>
      </c>
      <c r="F179" s="38">
        <f>F178/0.3</f>
        <v>38.118420937149146</v>
      </c>
      <c r="G179" s="40"/>
      <c r="H179" s="36" t="s">
        <v>105</v>
      </c>
      <c r="I179" s="37" t="s">
        <v>18</v>
      </c>
      <c r="J179" s="38">
        <f>J178/0.3</f>
        <v>26.045519191842505</v>
      </c>
      <c r="K179" s="38">
        <f>K178/0.3</f>
        <v>30.835789549927082</v>
      </c>
      <c r="L179" s="38">
        <f>L178/0.3</f>
        <v>21.988135385175021</v>
      </c>
      <c r="M179" s="38">
        <f>M178/0.3</f>
        <v>26.405087722900372</v>
      </c>
    </row>
    <row r="180" spans="1:14" s="35" customFormat="1" x14ac:dyDescent="0.25">
      <c r="A180" s="36" t="s">
        <v>106</v>
      </c>
      <c r="B180" s="37" t="s">
        <v>42</v>
      </c>
      <c r="C180" s="45">
        <f>(C47*C52*C54)/(2*PI()*C26*1000000000*300000000*C176)</f>
        <v>1.9893841654625681E-18</v>
      </c>
      <c r="D180" s="45">
        <f>(D47*D52*D54)/(2*PI()*D26*1000000000*300000000*D176)</f>
        <v>2.3912311527832447E-18</v>
      </c>
      <c r="E180" s="45">
        <f>(E47*E52*E54)/(2*PI()*E26*1000000000*300000000*E176)</f>
        <v>5.7831590844563138E-18</v>
      </c>
      <c r="F180" s="45">
        <f>(F47*F52*F54)/(2*PI()*F26*1000000000*300000000*F176)</f>
        <v>1.1701723652385022E-17</v>
      </c>
      <c r="G180" s="40"/>
      <c r="H180" s="36" t="s">
        <v>106</v>
      </c>
      <c r="I180" s="37" t="s">
        <v>42</v>
      </c>
      <c r="J180" s="45">
        <f>(J47*J52*J54)/(2*PI()*J26*1000000000*300000000*J176)</f>
        <v>1.4716243074286522E-18</v>
      </c>
      <c r="K180" s="45">
        <f>(K47*K52*K54)/(2*PI()*K26*1000000000*300000000*K176)</f>
        <v>1.7422842334676821E-18</v>
      </c>
      <c r="L180" s="45">
        <f>(L47*L52*L54)/(2*PI()*L26*1000000000*300000000*L176)</f>
        <v>4.0282546370677595E-18</v>
      </c>
      <c r="M180" s="45">
        <f>(M47*M52*M54)/(2*PI()*M26*1000000000*300000000*M176)</f>
        <v>8.1059244311255425E-18</v>
      </c>
    </row>
    <row r="181" spans="1:14" s="35" customFormat="1" x14ac:dyDescent="0.25">
      <c r="A181" s="62" t="s">
        <v>107</v>
      </c>
      <c r="B181" s="63" t="s">
        <v>108</v>
      </c>
      <c r="C181" s="65">
        <f>1000*2*SQRT(1-TAN(PI()-C154)*(PI()/2-(PI()-C154)))/(2*PI()*C53*1000000*C180)/C26/1000000000</f>
        <v>12.026445819145284</v>
      </c>
      <c r="D181" s="65">
        <f>1000*2*SQRT(1-TAN(PI()-D154)*(PI()/2-(PI()-D154)))/(2*PI()*D53*1000000*D180)/D26/1000000000</f>
        <v>11.97068865765881</v>
      </c>
      <c r="E181" s="65">
        <f>1000*2*SQRT(1-TAN(PI()-E154)*(PI()/2-(PI()-E154)))/(2*PI()*E53*1000000*E180)/E26/1000000000</f>
        <v>12.084262883141797</v>
      </c>
      <c r="F181" s="65">
        <f>1000*2*SQRT(1-TAN(PI()-F154)*(PI()/2-(PI()-F154)))/(2*PI()*F53*1000000*F180)/F26/1000000000</f>
        <v>12.313674785940739</v>
      </c>
      <c r="G181" s="40"/>
      <c r="H181" s="62" t="s">
        <v>107</v>
      </c>
      <c r="I181" s="63" t="s">
        <v>108</v>
      </c>
      <c r="J181" s="65">
        <f>1000*2*SQRT(1-TAN(PI()-J154)*(PI()/2-(PI()-J154)))/(2*PI()*J53*1000000*J180)/J26/1000000000</f>
        <v>12.022525346253394</v>
      </c>
      <c r="K181" s="65">
        <f>1000*2*SQRT(1-TAN(PI()-K154)*(PI()/2-(PI()-K154)))/(2*PI()*K53*1000000*K180)/K26/1000000000</f>
        <v>11.950900116729184</v>
      </c>
      <c r="L181" s="65">
        <f>1000*2*SQRT(1-TAN(PI()-L154)*(PI()/2-(PI()-L154)))/(2*PI()*L53*1000000*L180)/L26/1000000000</f>
        <v>11.999374130564348</v>
      </c>
      <c r="M181" s="65">
        <f>1000*2*SQRT(1-TAN(PI()-M154)*(PI()/2-(PI()-M154)))/(2*PI()*M53*1000000*M180)/M26/1000000000</f>
        <v>12.165393686165627</v>
      </c>
    </row>
    <row r="182" spans="1:14" x14ac:dyDescent="0.25">
      <c r="A182" s="62" t="s">
        <v>107</v>
      </c>
      <c r="B182" s="91" t="s">
        <v>109</v>
      </c>
      <c r="C182" s="65">
        <f>1000*SQRT(((2*C72*C46^2)/PI()/C52/C26/1000)*(SQRT(C148^2-1)-ACOS(1/C148)))</f>
        <v>12.026445819145279</v>
      </c>
      <c r="D182" s="65">
        <f>1000*SQRT(((2*D72*D46^2)/PI()/D52/D26/1000)*(SQRT(D148^2-1)-ACOS(1/D148)))</f>
        <v>11.970688657658812</v>
      </c>
      <c r="E182" s="65">
        <f>1000*SQRT(((2*E72*E46^2)/PI()/E52/E26/1000)*(SQRT(E148^2-1)-ACOS(1/E148)))</f>
        <v>12.084262883141795</v>
      </c>
      <c r="F182" s="65">
        <f>1000*SQRT(((2*F72*F46^2)/PI()/F52/F26/1000)*(SQRT(F148^2-1)-ACOS(1/F148)))</f>
        <v>12.313674785940737</v>
      </c>
      <c r="H182" s="62" t="s">
        <v>107</v>
      </c>
      <c r="I182" s="91" t="s">
        <v>109</v>
      </c>
      <c r="J182" s="65">
        <f>1000*SQRT(((2*J72*J46^2)/PI()/J52/J26/1000)*(SQRT(J148^2-1)-ACOS(1/J148)))</f>
        <v>12.022525346253394</v>
      </c>
      <c r="K182" s="65">
        <f>1000*SQRT(((2*K72*K46^2)/PI()/K52/K26/1000)*(SQRT(K148^2-1)-ACOS(1/K148)))</f>
        <v>11.950900116729189</v>
      </c>
      <c r="L182" s="65">
        <f>1000*SQRT(((2*L72*L46^2)/PI()/L52/L26/1000)*(SQRT(L148^2-1)-ACOS(1/L148)))</f>
        <v>11.999374130564345</v>
      </c>
      <c r="M182" s="65">
        <f>1000*SQRT(((2*M72*M46^2)/PI()/M52/M26/1000)*(SQRT(M148^2-1)-ACOS(1/M148)))</f>
        <v>12.165393686165629</v>
      </c>
    </row>
    <row r="183" spans="1:14" s="12" customFormat="1" x14ac:dyDescent="0.25">
      <c r="A183" s="62" t="s">
        <v>47</v>
      </c>
      <c r="B183" s="91" t="s">
        <v>110</v>
      </c>
      <c r="C183" s="65">
        <f>C182*0.001*C26*1000</f>
        <v>216.47602474461502</v>
      </c>
      <c r="D183" s="65">
        <f>D182*0.001*D26*1000</f>
        <v>215.47239583785858</v>
      </c>
      <c r="E183" s="65">
        <f>E182*0.001*E26*1000</f>
        <v>120.84262883141795</v>
      </c>
      <c r="F183" s="65">
        <f>F182*0.001*F26*1000</f>
        <v>61.568373929703689</v>
      </c>
      <c r="H183" s="62" t="s">
        <v>47</v>
      </c>
      <c r="I183" s="91" t="s">
        <v>110</v>
      </c>
      <c r="J183" s="65">
        <f>J182*0.001*J26*1000</f>
        <v>216.40545623256111</v>
      </c>
      <c r="K183" s="65">
        <f>K182*0.001*K26*1000</f>
        <v>215.11620210112542</v>
      </c>
      <c r="L183" s="65">
        <f>L182*0.001*L26*1000</f>
        <v>119.99374130564344</v>
      </c>
      <c r="M183" s="65">
        <f>M182*0.001*M26*1000</f>
        <v>60.826968430828146</v>
      </c>
    </row>
    <row r="184" spans="1:14" s="12" customFormat="1" x14ac:dyDescent="0.25">
      <c r="A184" s="36" t="s">
        <v>48</v>
      </c>
      <c r="B184" s="15" t="s">
        <v>111</v>
      </c>
      <c r="C184" s="38">
        <f>C183*1000000/511000</f>
        <v>423.63214235736797</v>
      </c>
      <c r="D184" s="38">
        <f>D183*1000000/511000</f>
        <v>421.66809361616163</v>
      </c>
      <c r="E184" s="38">
        <f>E183*1000000/511000</f>
        <v>236.48263959181594</v>
      </c>
      <c r="F184" s="38">
        <f>F183*1000000/511000</f>
        <v>120.48605465695438</v>
      </c>
      <c r="H184" s="36" t="s">
        <v>48</v>
      </c>
      <c r="I184" s="15" t="s">
        <v>111</v>
      </c>
      <c r="J184" s="38">
        <f>J183*1000000/511000</f>
        <v>423.49404350794737</v>
      </c>
      <c r="K184" s="38">
        <f>K183*1000000/511000</f>
        <v>420.97104129378749</v>
      </c>
      <c r="L184" s="38">
        <f>L183*1000000/511000</f>
        <v>234.82141155703218</v>
      </c>
      <c r="M184" s="38">
        <f>M183*1000000/511000</f>
        <v>119.0351632697224</v>
      </c>
    </row>
    <row r="185" spans="1:14" s="12" customFormat="1" ht="15.75" thickBot="1" x14ac:dyDescent="0.3">
      <c r="A185" s="6"/>
      <c r="B185" s="6"/>
      <c r="C185" s="48"/>
      <c r="D185" s="48"/>
      <c r="E185" s="48"/>
      <c r="F185" s="48"/>
      <c r="H185" s="6"/>
      <c r="I185" s="6"/>
      <c r="J185" s="48"/>
      <c r="K185" s="48"/>
      <c r="L185" s="48"/>
      <c r="M185" s="48"/>
    </row>
    <row r="186" spans="1:14" s="12" customFormat="1" ht="15.75" thickTop="1" x14ac:dyDescent="0.25">
      <c r="A186" s="10"/>
      <c r="B186" s="40"/>
      <c r="C186" s="11"/>
      <c r="D186" s="11"/>
      <c r="E186" s="11"/>
      <c r="F186" s="11"/>
      <c r="G186" s="11"/>
      <c r="H186" s="10"/>
      <c r="I186" s="40"/>
      <c r="J186" s="11"/>
      <c r="K186" s="11"/>
      <c r="L186" s="11"/>
      <c r="M186" s="11"/>
    </row>
    <row r="187" spans="1:14" x14ac:dyDescent="0.25">
      <c r="A187" s="40"/>
      <c r="B187" s="40"/>
      <c r="C187" s="40"/>
      <c r="D187" s="40"/>
      <c r="E187" s="40"/>
      <c r="F187" s="19"/>
      <c r="G187" s="12"/>
      <c r="M187"/>
      <c r="N187" s="12"/>
    </row>
    <row r="188" spans="1:14" x14ac:dyDescent="0.25">
      <c r="B188" s="10"/>
      <c r="C188" s="10"/>
      <c r="D188" s="10"/>
      <c r="E188" s="10"/>
      <c r="F188" s="72"/>
      <c r="G188" s="12"/>
      <c r="M188"/>
      <c r="N188" s="12"/>
    </row>
    <row r="189" spans="1:14" x14ac:dyDescent="0.25">
      <c r="B189" s="10"/>
      <c r="C189" s="8"/>
      <c r="D189" s="8"/>
      <c r="E189" s="8"/>
      <c r="F189" s="72"/>
      <c r="G189" s="12"/>
      <c r="M189"/>
    </row>
    <row r="190" spans="1:14" x14ac:dyDescent="0.25">
      <c r="A190" s="18"/>
      <c r="B190" s="10"/>
      <c r="C190" s="8"/>
      <c r="D190" s="8"/>
      <c r="E190" s="8"/>
      <c r="F190" s="72"/>
      <c r="G190" s="12"/>
      <c r="H190" s="13"/>
      <c r="I190" s="2"/>
      <c r="M190"/>
    </row>
    <row r="191" spans="1:14" x14ac:dyDescent="0.25">
      <c r="A191" s="18"/>
      <c r="B191" s="10"/>
      <c r="C191" s="8"/>
      <c r="D191" s="8"/>
      <c r="E191" s="8"/>
      <c r="F191" s="10"/>
      <c r="G191" s="12"/>
      <c r="H191" s="13"/>
      <c r="I191" s="2"/>
      <c r="M191"/>
    </row>
    <row r="192" spans="1:14" x14ac:dyDescent="0.25">
      <c r="B192" s="40"/>
      <c r="C192" s="40"/>
      <c r="D192" s="40"/>
      <c r="E192" s="40"/>
      <c r="F192" s="9"/>
      <c r="G192" s="12"/>
      <c r="H192" s="13"/>
      <c r="M192"/>
    </row>
    <row r="193" spans="1:20" s="12" customFormat="1" x14ac:dyDescent="0.25">
      <c r="A193" s="29"/>
      <c r="B193" s="11"/>
      <c r="C193" s="49"/>
      <c r="D193" s="49"/>
      <c r="E193" s="49"/>
      <c r="F193" s="9"/>
      <c r="H193" s="13"/>
    </row>
    <row r="194" spans="1:20" x14ac:dyDescent="0.25">
      <c r="A194" s="29"/>
      <c r="B194" s="11"/>
      <c r="C194" s="49"/>
      <c r="D194" s="49"/>
      <c r="E194" s="49"/>
      <c r="F194" s="9"/>
      <c r="G194" s="12"/>
      <c r="H194" s="13"/>
      <c r="M194"/>
    </row>
    <row r="195" spans="1:20" x14ac:dyDescent="0.25">
      <c r="A195" s="29"/>
      <c r="B195" s="11"/>
      <c r="C195" s="49"/>
      <c r="D195" s="49"/>
      <c r="E195" s="49"/>
      <c r="F195" s="9"/>
      <c r="G195" s="12"/>
      <c r="H195" s="13"/>
      <c r="M195"/>
    </row>
    <row r="196" spans="1:20" s="35" customFormat="1" x14ac:dyDescent="0.25">
      <c r="A196" s="29"/>
      <c r="B196" s="11"/>
      <c r="C196" s="49"/>
      <c r="D196" s="49"/>
      <c r="E196" s="49"/>
      <c r="F196" s="40"/>
      <c r="H196" s="13"/>
    </row>
    <row r="197" spans="1:20" x14ac:dyDescent="0.25">
      <c r="A197" s="29"/>
      <c r="B197" s="11"/>
      <c r="C197" s="49"/>
      <c r="D197" s="49"/>
      <c r="E197" s="49"/>
      <c r="F197" s="9"/>
      <c r="G197" s="12"/>
      <c r="H197" s="29"/>
      <c r="I197" s="44"/>
      <c r="M197"/>
      <c r="N197" s="35"/>
      <c r="P197" s="29"/>
      <c r="Q197" s="44"/>
      <c r="R197" s="35"/>
      <c r="S197" s="35"/>
      <c r="T197" s="35"/>
    </row>
    <row r="198" spans="1:20" s="35" customFormat="1" x14ac:dyDescent="0.25">
      <c r="A198" s="29"/>
      <c r="B198" s="11"/>
      <c r="C198" s="49"/>
      <c r="D198" s="49"/>
      <c r="E198" s="49"/>
      <c r="F198" s="40"/>
      <c r="H198" s="29"/>
      <c r="I198" s="44"/>
      <c r="P198" s="29"/>
      <c r="Q198" s="44"/>
    </row>
    <row r="199" spans="1:20" x14ac:dyDescent="0.25">
      <c r="A199" s="29"/>
      <c r="B199" s="11"/>
      <c r="C199" s="68"/>
      <c r="D199" s="68"/>
      <c r="E199" s="68"/>
      <c r="F199" s="9"/>
      <c r="G199" s="12"/>
      <c r="H199" s="29"/>
      <c r="K199" s="35"/>
      <c r="L199" s="35"/>
      <c r="M199"/>
      <c r="N199" s="35"/>
      <c r="P199" s="29"/>
      <c r="Q199" s="35"/>
      <c r="R199" s="35"/>
      <c r="S199" s="35"/>
      <c r="T199" s="35"/>
    </row>
    <row r="200" spans="1:20" x14ac:dyDescent="0.25">
      <c r="A200" s="29"/>
      <c r="B200" s="11"/>
      <c r="C200" s="69"/>
      <c r="D200" s="69"/>
      <c r="E200" s="69"/>
      <c r="F200" s="9"/>
      <c r="G200" s="12"/>
      <c r="H200" s="29"/>
      <c r="J200" s="31"/>
      <c r="K200" s="31"/>
      <c r="L200" s="31"/>
      <c r="M200"/>
      <c r="N200" s="31"/>
      <c r="P200" s="29"/>
      <c r="Q200" s="35"/>
      <c r="R200" s="31"/>
      <c r="S200" s="31"/>
      <c r="T200" s="31"/>
    </row>
    <row r="201" spans="1:20" x14ac:dyDescent="0.25">
      <c r="A201" s="29"/>
      <c r="B201" s="11"/>
      <c r="C201" s="49"/>
      <c r="D201" s="49"/>
      <c r="E201" s="49"/>
      <c r="F201" s="9"/>
      <c r="G201" s="12"/>
      <c r="H201" s="29"/>
      <c r="K201" s="35"/>
      <c r="L201" s="35"/>
      <c r="M201"/>
      <c r="N201" s="35"/>
      <c r="P201" s="29"/>
      <c r="Q201" s="35"/>
      <c r="R201" s="35"/>
      <c r="S201" s="35"/>
      <c r="T201" s="35"/>
    </row>
    <row r="202" spans="1:20" x14ac:dyDescent="0.25">
      <c r="A202" s="29"/>
      <c r="B202" s="11"/>
      <c r="C202" s="49"/>
      <c r="D202" s="49"/>
      <c r="E202" s="49"/>
      <c r="F202" s="9"/>
      <c r="G202" s="12"/>
      <c r="H202" s="29"/>
      <c r="I202" s="44"/>
      <c r="J202" s="3"/>
      <c r="K202" s="3"/>
      <c r="L202" s="3"/>
      <c r="M202"/>
      <c r="N202" s="3"/>
      <c r="P202" s="29"/>
      <c r="Q202" s="44"/>
      <c r="R202" s="3"/>
      <c r="S202" s="3"/>
      <c r="T202" s="3"/>
    </row>
    <row r="203" spans="1:20" x14ac:dyDescent="0.25">
      <c r="A203" s="29"/>
      <c r="B203" s="11"/>
      <c r="C203" s="49"/>
      <c r="D203" s="49"/>
      <c r="E203" s="49"/>
      <c r="F203" s="9"/>
      <c r="G203" s="12"/>
      <c r="H203" s="29"/>
      <c r="I203" s="44"/>
      <c r="J203" s="3"/>
      <c r="K203" s="3"/>
      <c r="L203" s="3"/>
      <c r="M203"/>
      <c r="N203" s="3"/>
      <c r="P203" s="29"/>
      <c r="Q203" s="44"/>
      <c r="R203" s="3"/>
      <c r="S203" s="3"/>
      <c r="T203" s="3"/>
    </row>
    <row r="204" spans="1:20" x14ac:dyDescent="0.25">
      <c r="B204" s="40"/>
      <c r="C204" s="40"/>
      <c r="D204" s="40"/>
      <c r="E204" s="40"/>
      <c r="F204" s="9"/>
      <c r="G204" s="12"/>
      <c r="K204" s="35"/>
      <c r="L204" s="35"/>
      <c r="M204"/>
      <c r="N204" s="35"/>
      <c r="P204" s="35"/>
      <c r="Q204" s="35"/>
      <c r="R204" s="35"/>
      <c r="S204" s="35"/>
      <c r="T204" s="35"/>
    </row>
    <row r="205" spans="1:20" s="35" customFormat="1" x14ac:dyDescent="0.25">
      <c r="B205" s="40"/>
      <c r="C205" s="40"/>
      <c r="D205" s="40"/>
      <c r="E205" s="40"/>
      <c r="F205" s="40"/>
      <c r="H205" s="29"/>
      <c r="P205" s="29"/>
    </row>
    <row r="206" spans="1:20" s="35" customFormat="1" x14ac:dyDescent="0.25">
      <c r="B206" s="40"/>
      <c r="C206" s="40"/>
      <c r="D206" s="40"/>
      <c r="E206" s="40"/>
      <c r="F206" s="40"/>
      <c r="H206" s="29"/>
      <c r="P206" s="29"/>
    </row>
    <row r="207" spans="1:20" s="35" customFormat="1" x14ac:dyDescent="0.25">
      <c r="B207" s="40"/>
      <c r="C207" s="40"/>
      <c r="D207" s="40"/>
      <c r="E207" s="40"/>
      <c r="F207" s="40"/>
      <c r="H207" s="29"/>
      <c r="I207" s="44"/>
      <c r="J207" s="30"/>
      <c r="K207" s="30"/>
      <c r="L207" s="30"/>
      <c r="P207" s="29"/>
      <c r="Q207" s="44"/>
      <c r="R207" s="4"/>
      <c r="S207" s="4"/>
      <c r="T207" s="4"/>
    </row>
    <row r="208" spans="1:20" s="35" customFormat="1" x14ac:dyDescent="0.25">
      <c r="B208" s="40"/>
      <c r="C208" s="40"/>
      <c r="D208" s="40"/>
      <c r="E208" s="40"/>
      <c r="F208" s="40"/>
      <c r="H208" s="29"/>
      <c r="I208" s="44"/>
      <c r="J208" s="4"/>
      <c r="K208" s="4"/>
      <c r="L208" s="4"/>
      <c r="N208" s="4"/>
      <c r="P208" s="29"/>
      <c r="Q208" s="44"/>
      <c r="R208" s="4"/>
      <c r="S208" s="4"/>
      <c r="T208" s="4"/>
    </row>
    <row r="209" spans="1:20" s="35" customFormat="1" x14ac:dyDescent="0.25">
      <c r="B209" s="40"/>
      <c r="C209" s="40"/>
      <c r="D209" s="40"/>
      <c r="E209" s="40"/>
      <c r="F209" s="40"/>
      <c r="H209" s="29"/>
      <c r="I209" s="44"/>
      <c r="J209" s="3"/>
      <c r="K209" s="3"/>
      <c r="L209" s="3"/>
      <c r="N209" s="3"/>
      <c r="P209" s="29"/>
      <c r="Q209" s="44"/>
      <c r="R209" s="3"/>
      <c r="S209" s="3"/>
      <c r="T209" s="3"/>
    </row>
    <row r="210" spans="1:20" s="35" customFormat="1" x14ac:dyDescent="0.25">
      <c r="B210" s="40"/>
      <c r="C210" s="40"/>
      <c r="D210" s="40"/>
      <c r="E210" s="40"/>
      <c r="F210" s="40"/>
    </row>
    <row r="211" spans="1:20" x14ac:dyDescent="0.25">
      <c r="B211" s="40"/>
      <c r="C211" s="97"/>
      <c r="D211" s="98"/>
      <c r="E211" s="98"/>
      <c r="F211" s="9"/>
      <c r="G211" s="12"/>
      <c r="H211" s="29"/>
      <c r="J211" s="31"/>
      <c r="K211" s="31"/>
      <c r="L211" s="31"/>
      <c r="M211"/>
      <c r="N211" s="31"/>
      <c r="P211" s="29"/>
      <c r="Q211" s="35"/>
      <c r="R211" s="31"/>
      <c r="S211" s="31"/>
      <c r="T211" s="31"/>
    </row>
    <row r="212" spans="1:20" x14ac:dyDescent="0.25">
      <c r="A212" s="29"/>
      <c r="B212" s="11"/>
      <c r="C212" s="49"/>
      <c r="D212" s="49"/>
      <c r="E212" s="49"/>
      <c r="F212" s="9"/>
      <c r="G212" s="12"/>
      <c r="H212" s="29"/>
      <c r="K212" s="35"/>
      <c r="L212" s="35"/>
      <c r="M212"/>
      <c r="N212" s="35"/>
      <c r="P212" s="29"/>
      <c r="Q212" s="35"/>
      <c r="R212" s="35"/>
      <c r="S212" s="35"/>
      <c r="T212" s="35"/>
    </row>
    <row r="213" spans="1:20" x14ac:dyDescent="0.25">
      <c r="A213" s="29"/>
      <c r="B213" s="11"/>
      <c r="C213" s="40"/>
      <c r="D213" s="40"/>
      <c r="E213" s="40"/>
      <c r="F213" s="9"/>
      <c r="G213" s="12"/>
      <c r="H213" s="29"/>
      <c r="J213" s="4"/>
      <c r="K213" s="4"/>
      <c r="L213" s="4"/>
      <c r="M213"/>
      <c r="N213" s="4"/>
      <c r="P213" s="29"/>
      <c r="Q213" s="35"/>
      <c r="R213" s="4"/>
      <c r="S213" s="4"/>
      <c r="T213" s="4"/>
    </row>
    <row r="214" spans="1:20" x14ac:dyDescent="0.25">
      <c r="A214" s="29"/>
      <c r="B214" s="40"/>
      <c r="C214" s="40"/>
      <c r="D214" s="40"/>
      <c r="E214" s="40"/>
      <c r="F214" s="9"/>
      <c r="G214" s="12"/>
      <c r="H214" s="29"/>
      <c r="I214" s="44"/>
      <c r="J214" s="4"/>
      <c r="K214" s="4"/>
      <c r="L214" s="4"/>
      <c r="M214"/>
      <c r="N214" s="4"/>
      <c r="P214" s="29"/>
      <c r="Q214" s="44"/>
      <c r="R214" s="4"/>
      <c r="S214" s="4"/>
      <c r="T214" s="4"/>
    </row>
    <row r="215" spans="1:20" s="12" customFormat="1" x14ac:dyDescent="0.25">
      <c r="A215" s="29"/>
      <c r="B215" s="40"/>
      <c r="C215" s="40"/>
      <c r="D215" s="40"/>
      <c r="E215" s="40"/>
      <c r="F215" s="9"/>
      <c r="H215" s="29"/>
      <c r="I215" s="44"/>
      <c r="J215" s="4"/>
      <c r="K215" s="4"/>
      <c r="L215" s="4"/>
      <c r="N215" s="4"/>
      <c r="P215" s="29"/>
      <c r="Q215" s="44"/>
      <c r="R215" s="4"/>
      <c r="S215" s="4"/>
      <c r="T215" s="4"/>
    </row>
    <row r="216" spans="1:20" s="12" customFormat="1" x14ac:dyDescent="0.25">
      <c r="A216" s="29"/>
      <c r="B216" s="40"/>
      <c r="C216" s="97"/>
      <c r="D216" s="98"/>
      <c r="E216" s="98"/>
      <c r="F216" s="9"/>
      <c r="H216" s="29"/>
      <c r="I216" s="44"/>
      <c r="J216" s="3"/>
      <c r="K216" s="3"/>
      <c r="L216" s="3"/>
      <c r="N216" s="3"/>
      <c r="P216" s="29"/>
      <c r="Q216" s="44"/>
      <c r="R216" s="3"/>
      <c r="S216" s="3"/>
      <c r="T216" s="3"/>
    </row>
    <row r="217" spans="1:20" x14ac:dyDescent="0.25">
      <c r="A217" s="29"/>
      <c r="B217" s="40"/>
      <c r="C217" s="40"/>
      <c r="D217" s="40"/>
      <c r="E217" s="40"/>
      <c r="F217" s="9"/>
      <c r="G217" s="12"/>
      <c r="H217" s="29"/>
      <c r="I217" s="44"/>
      <c r="J217" s="4"/>
      <c r="K217" s="4"/>
      <c r="L217" s="4"/>
      <c r="M217"/>
      <c r="N217" s="4"/>
      <c r="P217" s="29"/>
      <c r="Q217" s="44"/>
      <c r="R217" s="4"/>
      <c r="S217" s="4"/>
      <c r="T217" s="4"/>
    </row>
    <row r="218" spans="1:20" s="12" customFormat="1" x14ac:dyDescent="0.25">
      <c r="A218" s="29"/>
      <c r="B218" s="40"/>
      <c r="C218" s="40"/>
      <c r="D218" s="40"/>
      <c r="E218" s="40"/>
      <c r="F218" s="9"/>
      <c r="K218" s="35"/>
      <c r="L218" s="35"/>
      <c r="N218" s="35"/>
      <c r="P218" s="35"/>
      <c r="Q218" s="35"/>
      <c r="R218" s="35"/>
      <c r="S218" s="35"/>
      <c r="T218" s="35"/>
    </row>
    <row r="219" spans="1:20" s="12" customFormat="1" x14ac:dyDescent="0.25">
      <c r="A219" s="29"/>
      <c r="B219" s="40"/>
      <c r="C219" s="40"/>
      <c r="D219" s="40"/>
      <c r="E219" s="40"/>
      <c r="F219" s="9"/>
      <c r="H219" s="18"/>
      <c r="K219" s="35"/>
      <c r="L219" s="35"/>
      <c r="N219" s="35"/>
      <c r="P219" s="18"/>
      <c r="Q219" s="35"/>
      <c r="R219" s="35"/>
      <c r="S219" s="35"/>
      <c r="T219" s="35"/>
    </row>
    <row r="220" spans="1:20" x14ac:dyDescent="0.25">
      <c r="A220" s="29"/>
      <c r="B220" s="11"/>
      <c r="C220" s="49"/>
      <c r="D220" s="49"/>
      <c r="E220" s="49"/>
      <c r="F220" s="9"/>
      <c r="G220" s="12"/>
      <c r="H220" s="29"/>
      <c r="I220" s="44"/>
      <c r="J220" s="30"/>
      <c r="K220" s="30"/>
      <c r="L220" s="30"/>
      <c r="M220"/>
      <c r="N220" s="30"/>
      <c r="P220" s="29"/>
      <c r="Q220" s="44"/>
      <c r="R220" s="30"/>
      <c r="S220" s="30"/>
      <c r="T220" s="30"/>
    </row>
    <row r="221" spans="1:20" s="35" customFormat="1" x14ac:dyDescent="0.25">
      <c r="A221" s="29"/>
      <c r="B221" s="11"/>
      <c r="C221" s="49"/>
      <c r="D221" s="49"/>
      <c r="E221" s="49"/>
      <c r="F221" s="40"/>
      <c r="H221" s="29"/>
      <c r="I221" s="44"/>
      <c r="J221" s="30"/>
      <c r="K221" s="30"/>
      <c r="L221" s="30"/>
      <c r="N221" s="30"/>
      <c r="P221" s="29"/>
      <c r="Q221" s="44"/>
      <c r="R221" s="30"/>
      <c r="S221" s="30"/>
      <c r="T221" s="30"/>
    </row>
    <row r="222" spans="1:20" s="35" customFormat="1" x14ac:dyDescent="0.25">
      <c r="A222" s="29"/>
      <c r="B222" s="73"/>
      <c r="C222" s="49"/>
      <c r="D222" s="49"/>
      <c r="E222" s="49"/>
      <c r="F222" s="40"/>
      <c r="H222" s="29"/>
      <c r="I222" s="44"/>
      <c r="J222" s="30"/>
      <c r="K222" s="30"/>
      <c r="L222" s="30"/>
      <c r="N222" s="30"/>
      <c r="P222" s="29"/>
      <c r="Q222" s="44"/>
      <c r="R222" s="30"/>
      <c r="S222" s="30"/>
      <c r="T222" s="30"/>
    </row>
    <row r="223" spans="1:20" s="35" customFormat="1" x14ac:dyDescent="0.25">
      <c r="A223" s="29"/>
      <c r="B223" s="73"/>
      <c r="C223" s="49"/>
      <c r="D223" s="49"/>
      <c r="E223" s="49"/>
      <c r="F223" s="40"/>
      <c r="H223" s="29"/>
      <c r="I223" s="44"/>
      <c r="J223" s="30"/>
      <c r="K223" s="30"/>
      <c r="L223" s="30"/>
      <c r="N223" s="30"/>
      <c r="P223" s="29"/>
      <c r="Q223" s="44"/>
      <c r="R223" s="30"/>
      <c r="S223" s="30"/>
      <c r="T223" s="30"/>
    </row>
    <row r="224" spans="1:20" s="35" customFormat="1" x14ac:dyDescent="0.25">
      <c r="A224" s="29"/>
      <c r="B224" s="73"/>
      <c r="C224" s="49"/>
      <c r="D224" s="49"/>
      <c r="E224" s="49"/>
      <c r="F224" s="40"/>
      <c r="H224" s="29"/>
      <c r="I224" s="44"/>
      <c r="J224" s="30"/>
      <c r="K224" s="30"/>
      <c r="L224" s="30"/>
      <c r="N224" s="30"/>
      <c r="P224" s="29"/>
      <c r="Q224" s="44"/>
      <c r="R224" s="30"/>
      <c r="S224" s="30"/>
      <c r="T224" s="30"/>
    </row>
    <row r="225" spans="1:20" s="35" customFormat="1" x14ac:dyDescent="0.25">
      <c r="A225" s="29"/>
      <c r="B225" s="73"/>
      <c r="C225" s="49"/>
      <c r="D225" s="49"/>
      <c r="E225" s="49"/>
      <c r="F225" s="40"/>
      <c r="H225" s="29"/>
      <c r="I225" s="44"/>
      <c r="J225" s="30"/>
      <c r="K225" s="30"/>
      <c r="L225" s="30"/>
      <c r="N225" s="30"/>
      <c r="P225" s="29"/>
      <c r="Q225" s="44"/>
      <c r="R225" s="30"/>
      <c r="S225" s="30"/>
      <c r="T225" s="30"/>
    </row>
    <row r="226" spans="1:20" x14ac:dyDescent="0.25">
      <c r="A226" s="29"/>
      <c r="B226" s="11"/>
      <c r="C226" s="40"/>
      <c r="D226" s="40"/>
      <c r="E226" s="40"/>
      <c r="F226" s="9"/>
      <c r="G226" s="12"/>
      <c r="H226" s="29"/>
      <c r="I226" s="44"/>
      <c r="J226" s="30"/>
      <c r="K226" s="30"/>
      <c r="L226" s="30"/>
      <c r="M226"/>
      <c r="N226" s="30"/>
      <c r="P226" s="29"/>
      <c r="Q226" s="44"/>
      <c r="R226" s="30"/>
      <c r="S226" s="30"/>
      <c r="T226" s="30"/>
    </row>
    <row r="227" spans="1:20" x14ac:dyDescent="0.25">
      <c r="A227" s="29"/>
      <c r="B227" s="11"/>
      <c r="C227" s="69"/>
      <c r="D227" s="69"/>
      <c r="E227" s="69"/>
      <c r="F227" s="9"/>
      <c r="G227" s="12"/>
      <c r="H227" s="29"/>
      <c r="I227" s="44"/>
      <c r="J227" s="4"/>
      <c r="K227" s="4"/>
      <c r="L227" s="4"/>
      <c r="M227"/>
      <c r="N227" s="4"/>
      <c r="P227" s="29"/>
      <c r="Q227" s="44"/>
      <c r="R227" s="4"/>
      <c r="S227" s="4"/>
      <c r="T227" s="4"/>
    </row>
    <row r="228" spans="1:20" x14ac:dyDescent="0.25">
      <c r="A228" s="29"/>
      <c r="B228" s="70"/>
      <c r="C228" s="68"/>
      <c r="D228" s="68"/>
      <c r="E228" s="68"/>
      <c r="F228" s="9"/>
      <c r="G228" s="12"/>
      <c r="H228" s="29"/>
      <c r="I228" s="44"/>
      <c r="J228" s="4"/>
      <c r="K228" s="4"/>
      <c r="L228" s="4"/>
      <c r="M228"/>
      <c r="N228" s="4"/>
      <c r="P228" s="29"/>
      <c r="Q228" s="44"/>
      <c r="R228" s="4"/>
      <c r="S228" s="4"/>
      <c r="T228" s="4"/>
    </row>
    <row r="229" spans="1:20" s="12" customFormat="1" x14ac:dyDescent="0.25">
      <c r="A229" s="29"/>
      <c r="B229" s="70"/>
      <c r="C229" s="68"/>
      <c r="D229" s="68"/>
      <c r="E229" s="68"/>
      <c r="F229" s="9"/>
      <c r="H229" s="29"/>
      <c r="I229" s="44"/>
      <c r="J229" s="4"/>
      <c r="K229" s="4"/>
      <c r="L229" s="4"/>
      <c r="N229" s="4"/>
      <c r="P229" s="29"/>
      <c r="Q229" s="44"/>
      <c r="R229" s="4"/>
      <c r="S229" s="4"/>
      <c r="T229" s="4"/>
    </row>
    <row r="230" spans="1:20" s="12" customFormat="1" x14ac:dyDescent="0.25">
      <c r="A230" s="29"/>
      <c r="B230" s="70"/>
      <c r="C230" s="71"/>
      <c r="D230" s="71"/>
      <c r="E230" s="71"/>
      <c r="F230" s="9"/>
      <c r="H230" s="29"/>
      <c r="J230" s="66"/>
      <c r="K230" s="66"/>
      <c r="L230" s="66"/>
      <c r="N230" s="66"/>
      <c r="P230" s="29"/>
      <c r="Q230" s="35"/>
      <c r="R230" s="66"/>
      <c r="S230" s="66"/>
      <c r="T230" s="66"/>
    </row>
    <row r="231" spans="1:20" x14ac:dyDescent="0.25">
      <c r="B231" s="40"/>
      <c r="C231" s="40"/>
      <c r="D231" s="40"/>
      <c r="E231" s="40"/>
      <c r="F231" s="9"/>
      <c r="G231" s="12"/>
      <c r="H231" s="29"/>
      <c r="I231" s="44"/>
      <c r="J231" s="4"/>
      <c r="K231" s="4"/>
      <c r="L231" s="4"/>
      <c r="M231"/>
      <c r="N231" s="4"/>
      <c r="P231" s="29"/>
      <c r="Q231" s="44"/>
      <c r="R231" s="4"/>
      <c r="S231" s="4"/>
      <c r="T231" s="4"/>
    </row>
    <row r="232" spans="1:20" x14ac:dyDescent="0.25">
      <c r="A232" s="29"/>
      <c r="B232" s="11"/>
      <c r="C232" s="69"/>
      <c r="D232" s="69"/>
      <c r="E232" s="69"/>
      <c r="F232" s="9"/>
      <c r="G232" s="12"/>
      <c r="H232" s="29"/>
      <c r="I232" s="44"/>
      <c r="J232" s="4"/>
      <c r="K232" s="4"/>
      <c r="L232" s="4"/>
      <c r="M232"/>
      <c r="N232" s="4"/>
      <c r="P232" s="29"/>
      <c r="Q232" s="44"/>
      <c r="R232" s="4"/>
      <c r="S232" s="4"/>
      <c r="T232" s="4"/>
    </row>
    <row r="233" spans="1:20" x14ac:dyDescent="0.25">
      <c r="B233" s="40"/>
      <c r="C233" s="40"/>
      <c r="D233" s="40"/>
      <c r="E233" s="40"/>
      <c r="F233" s="9"/>
      <c r="G233" s="12"/>
      <c r="H233" s="29"/>
      <c r="J233" s="67"/>
      <c r="K233" s="67"/>
      <c r="L233" s="67"/>
      <c r="M233"/>
      <c r="N233" s="67"/>
      <c r="P233" s="29"/>
      <c r="Q233" s="35"/>
      <c r="R233" s="67"/>
      <c r="S233" s="67"/>
      <c r="T233" s="67"/>
    </row>
    <row r="234" spans="1:20" x14ac:dyDescent="0.25">
      <c r="A234" s="29"/>
      <c r="B234" s="11"/>
      <c r="C234" s="49"/>
      <c r="D234" s="49"/>
      <c r="E234" s="49"/>
      <c r="F234" s="9"/>
      <c r="G234" s="12"/>
      <c r="H234" s="29"/>
      <c r="I234" s="44"/>
      <c r="J234" s="31"/>
      <c r="K234" s="31"/>
      <c r="L234" s="31"/>
      <c r="M234"/>
      <c r="N234" s="31"/>
      <c r="P234" s="29"/>
      <c r="Q234" s="44"/>
      <c r="R234" s="31"/>
      <c r="S234" s="31"/>
      <c r="T234" s="31"/>
    </row>
    <row r="235" spans="1:20" x14ac:dyDescent="0.25">
      <c r="B235" s="40"/>
      <c r="C235" s="40"/>
      <c r="D235" s="40"/>
      <c r="E235" s="40"/>
      <c r="F235" s="9"/>
      <c r="G235" s="12"/>
      <c r="K235" s="35"/>
      <c r="L235" s="35"/>
      <c r="M235"/>
      <c r="N235" s="35"/>
      <c r="P235" s="35"/>
      <c r="Q235" s="35"/>
      <c r="R235" s="35"/>
      <c r="S235" s="35"/>
      <c r="T235" s="35"/>
    </row>
    <row r="236" spans="1:20" x14ac:dyDescent="0.25">
      <c r="B236" s="40"/>
      <c r="C236" s="40"/>
      <c r="D236" s="40"/>
      <c r="E236" s="40"/>
      <c r="H236" s="18"/>
      <c r="K236" s="35"/>
      <c r="L236" s="35"/>
      <c r="N236" s="35"/>
      <c r="P236" s="18"/>
      <c r="Q236" s="35"/>
      <c r="R236" s="35"/>
      <c r="S236" s="35"/>
      <c r="T236" s="35"/>
    </row>
    <row r="237" spans="1:20" x14ac:dyDescent="0.25">
      <c r="H237" s="29"/>
      <c r="I237" s="44"/>
      <c r="J237" s="30"/>
      <c r="K237" s="30"/>
      <c r="L237" s="30"/>
      <c r="N237" s="30"/>
      <c r="P237" s="29"/>
      <c r="Q237" s="44"/>
      <c r="R237" s="30"/>
      <c r="S237" s="30"/>
      <c r="T237" s="30"/>
    </row>
    <row r="238" spans="1:20" s="35" customFormat="1" x14ac:dyDescent="0.25">
      <c r="G238" s="40"/>
      <c r="H238" s="29"/>
      <c r="I238" s="44"/>
      <c r="J238" s="30"/>
      <c r="K238" s="30"/>
      <c r="L238" s="30"/>
      <c r="N238" s="30"/>
      <c r="P238" s="29"/>
      <c r="Q238" s="44"/>
      <c r="R238" s="30"/>
      <c r="S238" s="30"/>
      <c r="T238" s="30"/>
    </row>
    <row r="239" spans="1:20" x14ac:dyDescent="0.25">
      <c r="H239" s="29"/>
      <c r="I239" s="44"/>
      <c r="J239" s="4"/>
      <c r="K239" s="4"/>
      <c r="L239" s="4"/>
      <c r="N239" s="4"/>
      <c r="P239" s="29"/>
      <c r="Q239" s="44"/>
      <c r="R239" s="4"/>
      <c r="S239" s="4"/>
      <c r="T239" s="4"/>
    </row>
    <row r="240" spans="1:20" x14ac:dyDescent="0.25">
      <c r="H240" s="29"/>
      <c r="I240" s="44"/>
      <c r="J240" s="4"/>
      <c r="K240" s="4"/>
      <c r="L240" s="4"/>
      <c r="N240" s="4"/>
      <c r="P240" s="29"/>
      <c r="Q240" s="44"/>
      <c r="R240" s="4"/>
      <c r="S240" s="4"/>
      <c r="T240" s="4"/>
    </row>
    <row r="241" spans="7:20" s="35" customFormat="1" x14ac:dyDescent="0.25">
      <c r="G241" s="40"/>
      <c r="H241" s="29"/>
      <c r="I241" s="44"/>
      <c r="J241" s="4"/>
      <c r="K241" s="4"/>
      <c r="L241" s="4"/>
      <c r="N241" s="4"/>
      <c r="P241" s="29"/>
      <c r="Q241" s="44"/>
      <c r="R241" s="4"/>
      <c r="S241" s="4"/>
      <c r="T241" s="4"/>
    </row>
    <row r="242" spans="7:20" x14ac:dyDescent="0.25">
      <c r="H242" s="29"/>
      <c r="I242" s="44"/>
      <c r="J242" s="4"/>
      <c r="K242" s="4"/>
      <c r="L242" s="4"/>
      <c r="N242" s="4"/>
      <c r="P242" s="29"/>
      <c r="Q242" s="44"/>
      <c r="R242" s="4"/>
      <c r="S242" s="4"/>
      <c r="T242" s="4"/>
    </row>
    <row r="243" spans="7:20" x14ac:dyDescent="0.25">
      <c r="H243" s="29"/>
      <c r="I243" s="35"/>
      <c r="J243" s="66"/>
      <c r="K243" s="66"/>
      <c r="L243" s="66"/>
      <c r="N243" s="66"/>
      <c r="P243" s="29"/>
      <c r="Q243" s="35"/>
      <c r="R243" s="66"/>
      <c r="S243" s="66"/>
      <c r="T243" s="66"/>
    </row>
    <row r="244" spans="7:20" x14ac:dyDescent="0.25">
      <c r="H244" s="29"/>
      <c r="I244" s="44"/>
      <c r="J244" s="4"/>
      <c r="K244" s="4"/>
      <c r="L244" s="4"/>
      <c r="N244" s="4"/>
      <c r="P244" s="29"/>
      <c r="Q244" s="44"/>
      <c r="R244" s="4"/>
      <c r="S244" s="4"/>
      <c r="T244" s="4"/>
    </row>
    <row r="245" spans="7:20" x14ac:dyDescent="0.25">
      <c r="H245" s="29"/>
      <c r="I245" s="44"/>
      <c r="J245" s="4"/>
      <c r="K245" s="4"/>
      <c r="L245" s="4"/>
      <c r="N245" s="4"/>
      <c r="P245" s="29"/>
      <c r="Q245" s="44"/>
      <c r="R245" s="4"/>
      <c r="S245" s="4"/>
      <c r="T245" s="4"/>
    </row>
    <row r="246" spans="7:20" x14ac:dyDescent="0.25">
      <c r="H246" s="29"/>
      <c r="I246" s="35"/>
      <c r="J246" s="67"/>
      <c r="K246" s="67"/>
      <c r="L246" s="67"/>
      <c r="N246" s="67"/>
      <c r="P246" s="29"/>
      <c r="Q246" s="35"/>
      <c r="R246" s="67"/>
      <c r="S246" s="67"/>
      <c r="T246" s="67"/>
    </row>
    <row r="247" spans="7:20" x14ac:dyDescent="0.25">
      <c r="H247" s="29"/>
      <c r="I247" s="44"/>
      <c r="J247" s="31"/>
      <c r="K247" s="31"/>
      <c r="L247" s="31"/>
      <c r="N247" s="31"/>
      <c r="P247" s="29"/>
      <c r="Q247" s="44"/>
      <c r="R247" s="31"/>
      <c r="S247" s="31"/>
      <c r="T247" s="31"/>
    </row>
  </sheetData>
  <mergeCells count="4">
    <mergeCell ref="C216:E216"/>
    <mergeCell ref="J25:M25"/>
    <mergeCell ref="C25:F25"/>
    <mergeCell ref="C211:E211"/>
  </mergeCells>
  <printOptions gridLines="1"/>
  <pageMargins left="0.7" right="0.7" top="0.75" bottom="0.75" header="0.3" footer="0.3"/>
  <pageSetup paperSize="275" scale="20" orientation="landscape" r:id="rId1"/>
  <headerFoot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selection activeCell="I28" sqref="I28"/>
    </sheetView>
  </sheetViews>
  <sheetFormatPr defaultRowHeight="15" x14ac:dyDescent="0.25"/>
  <sheetData/>
  <printOptions gridLines="1"/>
  <pageMargins left="0.7" right="0.7" top="0.75" bottom="0.75" header="0.3" footer="0.3"/>
  <pageSetup paperSize="121" scale="80" fitToHeight="2" orientation="landscape" r:id="rId1"/>
  <headerFooter>
    <oddFooter>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314"/>
  <sheetViews>
    <sheetView topLeftCell="D322" workbookViewId="0">
      <selection activeCell="F314" sqref="F314"/>
    </sheetView>
  </sheetViews>
  <sheetFormatPr defaultRowHeight="15" x14ac:dyDescent="0.25"/>
  <sheetData>
    <row r="1" spans="14:14" s="12" customFormat="1" x14ac:dyDescent="0.25"/>
    <row r="2" spans="14:14" s="12" customFormat="1" x14ac:dyDescent="0.25"/>
    <row r="3" spans="14:14" s="12" customFormat="1" x14ac:dyDescent="0.25">
      <c r="N3" s="12" t="s">
        <v>37</v>
      </c>
    </row>
    <row r="4" spans="14:14" s="12" customFormat="1" x14ac:dyDescent="0.25"/>
    <row r="5" spans="14:14" s="12" customFormat="1" x14ac:dyDescent="0.25"/>
    <row r="6" spans="14:14" s="12" customFormat="1" x14ac:dyDescent="0.25"/>
    <row r="7" spans="14:14" s="12" customFormat="1" x14ac:dyDescent="0.25"/>
    <row r="8" spans="14:14" s="12" customFormat="1" x14ac:dyDescent="0.25"/>
    <row r="9" spans="14:14" s="12" customFormat="1" x14ac:dyDescent="0.25"/>
    <row r="10" spans="14:14" s="12" customFormat="1" x14ac:dyDescent="0.25"/>
    <row r="11" spans="14:14" s="12" customFormat="1" x14ac:dyDescent="0.25"/>
    <row r="12" spans="14:14" s="12" customFormat="1" x14ac:dyDescent="0.25"/>
    <row r="13" spans="14:14" s="12" customFormat="1" x14ac:dyDescent="0.25"/>
    <row r="14" spans="14:14" s="12" customFormat="1" x14ac:dyDescent="0.25"/>
    <row r="15" spans="14:14" s="12" customFormat="1" x14ac:dyDescent="0.25"/>
    <row r="16" spans="14:14" s="12" customFormat="1" x14ac:dyDescent="0.25"/>
    <row r="17" spans="2:2" s="12" customFormat="1" x14ac:dyDescent="0.25"/>
    <row r="18" spans="2:2" s="12" customFormat="1" x14ac:dyDescent="0.25"/>
    <row r="19" spans="2:2" x14ac:dyDescent="0.25">
      <c r="B19" t="s">
        <v>38</v>
      </c>
    </row>
    <row r="314" spans="3:6" x14ac:dyDescent="0.25">
      <c r="C314" t="s">
        <v>44</v>
      </c>
      <c r="F314" s="95" t="s">
        <v>45</v>
      </c>
    </row>
  </sheetData>
  <hyperlinks>
    <hyperlink ref="F314" r:id="rId1" xr:uid="{7E07D2D3-0AED-452A-BE0C-7AF6C93B3BE2}"/>
  </hyperlinks>
  <printOptions gridLines="1"/>
  <pageMargins left="0.7" right="0.7" top="0.75" bottom="0.75" header="0.3" footer="0.3"/>
  <pageSetup paperSize="121" scale="30" fitToHeight="2" orientation="landscape" r:id="rId2"/>
  <headerFooter>
    <oddFooter>&amp;Z&amp;F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4"/>
  <sheetViews>
    <sheetView workbookViewId="0">
      <selection activeCell="Q11" sqref="Q11"/>
    </sheetView>
  </sheetViews>
  <sheetFormatPr defaultRowHeight="15" x14ac:dyDescent="0.25"/>
  <sheetData>
    <row r="1" spans="2:3" s="12" customFormat="1" x14ac:dyDescent="0.25"/>
    <row r="2" spans="2:3" s="12" customFormat="1" x14ac:dyDescent="0.25"/>
    <row r="3" spans="2:3" s="12" customFormat="1" x14ac:dyDescent="0.25">
      <c r="B3" s="12" t="s">
        <v>35</v>
      </c>
    </row>
    <row r="4" spans="2:3" x14ac:dyDescent="0.25">
      <c r="C4" t="s">
        <v>36</v>
      </c>
    </row>
  </sheetData>
  <pageMargins left="0.7" right="0.7" top="0.75" bottom="0.75" header="0.3" footer="0.3"/>
  <pageSetup paperSize="12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41" sqref="J41"/>
    </sheetView>
  </sheetViews>
  <sheetFormatPr defaultRowHeight="15" x14ac:dyDescent="0.25"/>
  <sheetData/>
  <pageMargins left="0.7" right="0.7" top="0.75" bottom="0.75" header="0.3" footer="0.3"/>
  <pageSetup paperSize="12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535B213D56C2469C50FF0CD7332A38" ma:contentTypeVersion="9" ma:contentTypeDescription="Create a new document." ma:contentTypeScope="" ma:versionID="d7f7902e85c408a2b2880a113971d6d4">
  <xsd:schema xmlns:xsd="http://www.w3.org/2001/XMLSchema" xmlns:xs="http://www.w3.org/2001/XMLSchema" xmlns:p="http://schemas.microsoft.com/office/2006/metadata/properties" xmlns:ns3="16724daf-064e-4448-9e5f-20a6bc72ef1d" targetNamespace="http://schemas.microsoft.com/office/2006/metadata/properties" ma:root="true" ma:fieldsID="f8e1289f962a41ae2f3f4eda6b10496a" ns3:_="">
    <xsd:import namespace="16724daf-064e-4448-9e5f-20a6bc72ef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24daf-064e-4448-9e5f-20a6bc72e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4CE880-D67D-4F1D-86DA-6D3207569B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24daf-064e-4448-9e5f-20a6bc72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27BBD8-112F-4705-B141-F496D1B5BC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A7DFC-1172-4FF2-9E56-0F2DA1DBEA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724daf-064e-4448-9e5f-20a6bc72ef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Cavities</vt:lpstr>
      <vt:lpstr>LEP_ETC</vt:lpstr>
      <vt:lpstr>Formulae</vt:lpstr>
      <vt:lpstr>bbrat</vt:lpstr>
      <vt:lpstr>Couplers</vt:lpstr>
    </vt:vector>
  </TitlesOfParts>
  <Company>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C-AD</dc:creator>
  <cp:lastModifiedBy>loadletterpaper@outlook.com</cp:lastModifiedBy>
  <cp:lastPrinted>2018-02-02T21:54:04Z</cp:lastPrinted>
  <dcterms:created xsi:type="dcterms:W3CDTF">2017-01-20T17:26:34Z</dcterms:created>
  <dcterms:modified xsi:type="dcterms:W3CDTF">2020-05-27T19:48:06Z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0x01010031535B213D56C2469C50FF0CD7332A38</vt:lpwstr>
  </property>
</Properties>
</file>